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rjoosub\Documents\Sentio_RJoosub\Company Models\"/>
    </mc:Choice>
  </mc:AlternateContent>
  <xr:revisionPtr revIDLastSave="0" documentId="8_{0260E7C1-D5A1-4842-9A00-9BAE199A5C69}" xr6:coauthVersionLast="47" xr6:coauthVersionMax="47" xr10:uidLastSave="{00000000-0000-0000-0000-000000000000}"/>
  <bookViews>
    <workbookView xWindow="-110" yWindow="-110" windowWidth="19420" windowHeight="10300" tabRatio="711" activeTab="3" xr2:uid="{00000000-000D-0000-FFFF-FFFF00000000}"/>
  </bookViews>
  <sheets>
    <sheet name="Help" sheetId="44" r:id="rId1"/>
    <sheet name="Frontend" sheetId="39" r:id="rId2"/>
    <sheet name="Summary" sheetId="27" r:id="rId3"/>
    <sheet name="Fcsts" sheetId="13" r:id="rId4"/>
    <sheet name="WACC &amp; EV" sheetId="36" r:id="rId5"/>
    <sheet name="DCF" sheetId="11" r:id="rId6"/>
    <sheet name="NAV" sheetId="50" r:id="rId7"/>
    <sheet name="Divisional Resi" sheetId="51" r:id="rId8"/>
    <sheet name="Ratios" sheetId="42" r:id="rId9"/>
    <sheet name="Charts" sheetId="41" r:id="rId10"/>
    <sheet name="Details" sheetId="52" r:id="rId11"/>
    <sheet name="Financials DF" sheetId="15" r:id="rId12"/>
    <sheet name="Financials DF (Live)" sheetId="19" r:id="rId13"/>
    <sheet name="DF_Upload" sheetId="24" r:id="rId14"/>
    <sheet name="Mnemonic Changes" sheetId="37" r:id="rId15"/>
    <sheet name="Log" sheetId="43" r:id="rId16"/>
  </sheets>
  <definedNames>
    <definedName name="DCF_year">DCF!$A$17:$AJ$17</definedName>
    <definedName name="DCF_year_ends">DCF!$29:$29</definedName>
    <definedName name="IConnect_01">Fcsts!$U$56:$V$58</definedName>
    <definedName name="IConnect_03">Fcsts!$U$56:$V$58</definedName>
    <definedName name="int_term_period">DCF!$G$9</definedName>
    <definedName name="int_term_rate_finish">DCF!$G$8</definedName>
    <definedName name="int_term_rate_start">DCF!$G$7</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"12/13/2018 13:31:58"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SpreadsheetBuilder_1" localSheetId="0" hidden="1">#REF!</definedName>
    <definedName name="SpreadsheetBuilder_1" hidden="1">#REF!</definedName>
    <definedName name="SpreadsheetBuilder_2" localSheetId="0" hidden="1">#REF!</definedName>
    <definedName name="SpreadsheetBuilder_2" hidden="1">#REF!</definedName>
    <definedName name="SpreadsheetBuilder_3" hidden="1">#REF!</definedName>
    <definedName name="SpreadsheetBuilder_4" hidden="1">#REF!</definedName>
    <definedName name="tax_rate">DCF!$K$9</definedName>
    <definedName name="valuation_date">DCF!$C$7</definedName>
    <definedName name="WACC">DCF!$K$8</definedName>
    <definedName name="year_base">DCF!$S$7</definedName>
    <definedName name="year_end_day">DCF!$O$7</definedName>
    <definedName name="year_end_month">DCF!$O$8</definedName>
    <definedName name="year_last">DCF!$S$8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297" i="39" l="1"/>
  <c r="BM297" i="39"/>
  <c r="BL298" i="39"/>
  <c r="BO298" i="39" s="1"/>
  <c r="BM298" i="39"/>
  <c r="BL299" i="39"/>
  <c r="BM299" i="39"/>
  <c r="BO299" i="39"/>
  <c r="BL300" i="39"/>
  <c r="BM300" i="39"/>
  <c r="BL301" i="39"/>
  <c r="BM301" i="39"/>
  <c r="BL276" i="39"/>
  <c r="BM276" i="39"/>
  <c r="BL277" i="39"/>
  <c r="BO277" i="39" s="1"/>
  <c r="BM277" i="39"/>
  <c r="BL278" i="39"/>
  <c r="BO278" i="39" s="1"/>
  <c r="BM278" i="39"/>
  <c r="BL279" i="39"/>
  <c r="BM279" i="39"/>
  <c r="BL280" i="39"/>
  <c r="BO280" i="39" s="1"/>
  <c r="BM280" i="39"/>
  <c r="BL281" i="39"/>
  <c r="BM281" i="39"/>
  <c r="BO281" i="39"/>
  <c r="BL282" i="39"/>
  <c r="BM282" i="39"/>
  <c r="BL283" i="39"/>
  <c r="BM283" i="39"/>
  <c r="BL284" i="39"/>
  <c r="BM284" i="39"/>
  <c r="BL285" i="39"/>
  <c r="BM285" i="39"/>
  <c r="BO285" i="39"/>
  <c r="BL286" i="39"/>
  <c r="BO286" i="39" s="1"/>
  <c r="BM286" i="39"/>
  <c r="BL287" i="39"/>
  <c r="BM287" i="39"/>
  <c r="BL288" i="39"/>
  <c r="BM288" i="39"/>
  <c r="BO288" i="39"/>
  <c r="BL289" i="39"/>
  <c r="BM289" i="39"/>
  <c r="BO289" i="39"/>
  <c r="BL290" i="39"/>
  <c r="BM290" i="39"/>
  <c r="BL291" i="39"/>
  <c r="BM291" i="39"/>
  <c r="BL292" i="39"/>
  <c r="BM292" i="39"/>
  <c r="BL293" i="39"/>
  <c r="BM293" i="39"/>
  <c r="BO293" i="39"/>
  <c r="BL294" i="39"/>
  <c r="BO294" i="39" s="1"/>
  <c r="BM294" i="39"/>
  <c r="BL295" i="39"/>
  <c r="BM295" i="39"/>
  <c r="BL296" i="39"/>
  <c r="BM296" i="39"/>
  <c r="BO296" i="39"/>
  <c r="BL255" i="39"/>
  <c r="BL256" i="39"/>
  <c r="BL257" i="39"/>
  <c r="BL258" i="39"/>
  <c r="BL259" i="39"/>
  <c r="BL260" i="39"/>
  <c r="BL261" i="39"/>
  <c r="BL262" i="39"/>
  <c r="BL263" i="39"/>
  <c r="BO263" i="39" s="1"/>
  <c r="BM263" i="39"/>
  <c r="BL264" i="39"/>
  <c r="BM264" i="39"/>
  <c r="BL265" i="39"/>
  <c r="BM265" i="39"/>
  <c r="BL266" i="39"/>
  <c r="BM266" i="39"/>
  <c r="BL267" i="39"/>
  <c r="BM267" i="39"/>
  <c r="BO267" i="39"/>
  <c r="BL268" i="39"/>
  <c r="BO268" i="39" s="1"/>
  <c r="BM268" i="39"/>
  <c r="BL269" i="39"/>
  <c r="BM269" i="39"/>
  <c r="BL270" i="39"/>
  <c r="BO270" i="39" s="1"/>
  <c r="BM270" i="39"/>
  <c r="BL271" i="39"/>
  <c r="BM271" i="39"/>
  <c r="BL272" i="39"/>
  <c r="BM272" i="39"/>
  <c r="BO272" i="39"/>
  <c r="BL273" i="39"/>
  <c r="BM273" i="39"/>
  <c r="BL274" i="39"/>
  <c r="BM274" i="39"/>
  <c r="BL275" i="39"/>
  <c r="BM275" i="39"/>
  <c r="BO275" i="39"/>
  <c r="BL234" i="39"/>
  <c r="BL235" i="39"/>
  <c r="BL236" i="39"/>
  <c r="BL237" i="39"/>
  <c r="BL238" i="39"/>
  <c r="BL239" i="39"/>
  <c r="BL240" i="39"/>
  <c r="BL241" i="39"/>
  <c r="BL242" i="39"/>
  <c r="BL243" i="39"/>
  <c r="BL244" i="39"/>
  <c r="BL245" i="39"/>
  <c r="BL246" i="39"/>
  <c r="BL247" i="39"/>
  <c r="BL248" i="39"/>
  <c r="BL249" i="39"/>
  <c r="BL250" i="39"/>
  <c r="BL251" i="39"/>
  <c r="BL252" i="39"/>
  <c r="BL253" i="39"/>
  <c r="BL254" i="39"/>
  <c r="BL213" i="39"/>
  <c r="BL214" i="39"/>
  <c r="BL215" i="39"/>
  <c r="BL216" i="39"/>
  <c r="BL217" i="39"/>
  <c r="BL218" i="39"/>
  <c r="BL219" i="39"/>
  <c r="BL220" i="39"/>
  <c r="BL221" i="39"/>
  <c r="BL222" i="39"/>
  <c r="BL223" i="39"/>
  <c r="BL224" i="39"/>
  <c r="BL225" i="39"/>
  <c r="BL226" i="39"/>
  <c r="BL227" i="39"/>
  <c r="BL228" i="39"/>
  <c r="BL229" i="39"/>
  <c r="BL230" i="39"/>
  <c r="BL231" i="39"/>
  <c r="BL232" i="39"/>
  <c r="BL233" i="39"/>
  <c r="BL192" i="39"/>
  <c r="BL193" i="39"/>
  <c r="BL194" i="39"/>
  <c r="BL195" i="39"/>
  <c r="BL196" i="39"/>
  <c r="BL197" i="39"/>
  <c r="BL198" i="39"/>
  <c r="BL199" i="39"/>
  <c r="BL200" i="39"/>
  <c r="BL201" i="39"/>
  <c r="BL202" i="39"/>
  <c r="BL203" i="39"/>
  <c r="BL204" i="39"/>
  <c r="BL205" i="39"/>
  <c r="BL206" i="39"/>
  <c r="BL207" i="39"/>
  <c r="BL208" i="39"/>
  <c r="BL209" i="39"/>
  <c r="BP209" i="39" s="1"/>
  <c r="BS209" i="39" s="1"/>
  <c r="BL210" i="39"/>
  <c r="BL211" i="39"/>
  <c r="BL212" i="39"/>
  <c r="BL171" i="39"/>
  <c r="BL172" i="39"/>
  <c r="BP172" i="39" s="1"/>
  <c r="BS172" i="39" s="1"/>
  <c r="BL173" i="39"/>
  <c r="BL174" i="39"/>
  <c r="BL175" i="39"/>
  <c r="BL176" i="39"/>
  <c r="BL177" i="39"/>
  <c r="BL178" i="39"/>
  <c r="BL179" i="39"/>
  <c r="BL180" i="39"/>
  <c r="BL181" i="39"/>
  <c r="BL182" i="39"/>
  <c r="BL183" i="39"/>
  <c r="BL184" i="39"/>
  <c r="BL185" i="39"/>
  <c r="BL186" i="39"/>
  <c r="BL187" i="39"/>
  <c r="BL188" i="39"/>
  <c r="BL189" i="39"/>
  <c r="BL190" i="39"/>
  <c r="BL191" i="39"/>
  <c r="BL150" i="39"/>
  <c r="BL151" i="39"/>
  <c r="BL152" i="39"/>
  <c r="BL153" i="39"/>
  <c r="BL154" i="39"/>
  <c r="BL155" i="39"/>
  <c r="BL156" i="39"/>
  <c r="BL157" i="39"/>
  <c r="BL158" i="39"/>
  <c r="BL159" i="39"/>
  <c r="BL160" i="39"/>
  <c r="BL161" i="39"/>
  <c r="BL162" i="39"/>
  <c r="BL163" i="39"/>
  <c r="BL164" i="39"/>
  <c r="BL165" i="39"/>
  <c r="BL166" i="39"/>
  <c r="BL167" i="39"/>
  <c r="BL168" i="39"/>
  <c r="BL169" i="39"/>
  <c r="BL170" i="39"/>
  <c r="BL129" i="39"/>
  <c r="BL130" i="39"/>
  <c r="BL131" i="39"/>
  <c r="BL132" i="39"/>
  <c r="BL133" i="39"/>
  <c r="BL134" i="39"/>
  <c r="BL135" i="39"/>
  <c r="BL136" i="39"/>
  <c r="BL137" i="39"/>
  <c r="BL138" i="39"/>
  <c r="BL139" i="39"/>
  <c r="BL140" i="39"/>
  <c r="BL141" i="39"/>
  <c r="BL142" i="39"/>
  <c r="BL143" i="39"/>
  <c r="BL144" i="39"/>
  <c r="BL145" i="39"/>
  <c r="BL146" i="39"/>
  <c r="BL147" i="39"/>
  <c r="BL148" i="39"/>
  <c r="BL149" i="39"/>
  <c r="BL108" i="39"/>
  <c r="BL109" i="39"/>
  <c r="BL110" i="39"/>
  <c r="BL111" i="39"/>
  <c r="BL112" i="39"/>
  <c r="BL113" i="39"/>
  <c r="BL114" i="39"/>
  <c r="BL115" i="39"/>
  <c r="BL116" i="39"/>
  <c r="BL117" i="39"/>
  <c r="BL118" i="39"/>
  <c r="BL119" i="39"/>
  <c r="BL120" i="39"/>
  <c r="BL121" i="39"/>
  <c r="BL122" i="39"/>
  <c r="BL123" i="39"/>
  <c r="BL124" i="39"/>
  <c r="BL125" i="39"/>
  <c r="BL126" i="39"/>
  <c r="BQ126" i="39" s="1"/>
  <c r="BR126" i="39" s="1"/>
  <c r="BL127" i="39"/>
  <c r="BL128" i="39"/>
  <c r="BL87" i="39"/>
  <c r="BL88" i="39"/>
  <c r="BL89" i="39"/>
  <c r="BL90" i="39"/>
  <c r="BL91" i="39"/>
  <c r="BL92" i="39"/>
  <c r="BQ92" i="39" s="1"/>
  <c r="BR92" i="39" s="1"/>
  <c r="BL93" i="39"/>
  <c r="BL94" i="39"/>
  <c r="BL95" i="39"/>
  <c r="BL96" i="39"/>
  <c r="BL97" i="39"/>
  <c r="BL98" i="39"/>
  <c r="BL99" i="39"/>
  <c r="BL100" i="39"/>
  <c r="BL101" i="39"/>
  <c r="BL102" i="39"/>
  <c r="BQ102" i="39" s="1"/>
  <c r="BR102" i="39" s="1"/>
  <c r="BL103" i="39"/>
  <c r="BL104" i="39"/>
  <c r="BL105" i="39"/>
  <c r="BL106" i="39"/>
  <c r="BL107" i="39"/>
  <c r="BQ107" i="39" s="1"/>
  <c r="BR107" i="39" s="1"/>
  <c r="BL66" i="39"/>
  <c r="BL67" i="39"/>
  <c r="BL68" i="39"/>
  <c r="BL69" i="39"/>
  <c r="BL70" i="39"/>
  <c r="BL71" i="39"/>
  <c r="BL72" i="39"/>
  <c r="BL73" i="39"/>
  <c r="BQ73" i="39" s="1"/>
  <c r="BR73" i="39" s="1"/>
  <c r="BL74" i="39"/>
  <c r="BQ74" i="39" s="1"/>
  <c r="BR74" i="39" s="1"/>
  <c r="BL75" i="39"/>
  <c r="BL76" i="39"/>
  <c r="BL77" i="39"/>
  <c r="BL78" i="39"/>
  <c r="BL79" i="39"/>
  <c r="BL80" i="39"/>
  <c r="BL81" i="39"/>
  <c r="BL82" i="39"/>
  <c r="BL83" i="39"/>
  <c r="BL84" i="39"/>
  <c r="BL85" i="39"/>
  <c r="BL86" i="39"/>
  <c r="BL45" i="39"/>
  <c r="BL46" i="39"/>
  <c r="BL47" i="39"/>
  <c r="BL48" i="39"/>
  <c r="BL49" i="39"/>
  <c r="BL50" i="39"/>
  <c r="BL51" i="39"/>
  <c r="BP51" i="39" s="1"/>
  <c r="BS51" i="39" s="1"/>
  <c r="BL52" i="39"/>
  <c r="BL53" i="39"/>
  <c r="BL54" i="39"/>
  <c r="BL55" i="39"/>
  <c r="BL56" i="39"/>
  <c r="BL57" i="39"/>
  <c r="BL58" i="39"/>
  <c r="BL59" i="39"/>
  <c r="BL60" i="39"/>
  <c r="BL61" i="39"/>
  <c r="BL62" i="39"/>
  <c r="BL63" i="39"/>
  <c r="BL64" i="39"/>
  <c r="BL65" i="39"/>
  <c r="BL24" i="39"/>
  <c r="BL25" i="39"/>
  <c r="BL26" i="39"/>
  <c r="BL27" i="39"/>
  <c r="B28" i="39"/>
  <c r="C28" i="39"/>
  <c r="BQ9" i="39" s="1"/>
  <c r="BQ8" i="39" s="1"/>
  <c r="BR9" i="39" s="1"/>
  <c r="BL28" i="39"/>
  <c r="B29" i="39"/>
  <c r="BL29" i="39"/>
  <c r="B30" i="39"/>
  <c r="BL30" i="39"/>
  <c r="BL31" i="39"/>
  <c r="BL32" i="39"/>
  <c r="BP32" i="39" s="1"/>
  <c r="BS32" i="39" s="1"/>
  <c r="BL33" i="39"/>
  <c r="BP33" i="39" s="1"/>
  <c r="BS33" i="39" s="1"/>
  <c r="BL34" i="39"/>
  <c r="BL35" i="39"/>
  <c r="BL36" i="39"/>
  <c r="BP36" i="39" s="1"/>
  <c r="BS36" i="39" s="1"/>
  <c r="BL37" i="39"/>
  <c r="BP37" i="39" s="1"/>
  <c r="BS37" i="39" s="1"/>
  <c r="BL38" i="39"/>
  <c r="BL39" i="39"/>
  <c r="BL40" i="39"/>
  <c r="BP40" i="39" s="1"/>
  <c r="BS40" i="39" s="1"/>
  <c r="BL41" i="39"/>
  <c r="BP41" i="39" s="1"/>
  <c r="BS41" i="39" s="1"/>
  <c r="BL42" i="39"/>
  <c r="BL43" i="39"/>
  <c r="BL44" i="39"/>
  <c r="BP44" i="39" s="1"/>
  <c r="BS44" i="39" s="1"/>
  <c r="AO3" i="39"/>
  <c r="AW3" i="39"/>
  <c r="BM52" i="39" s="1"/>
  <c r="BO5" i="39"/>
  <c r="E7" i="39"/>
  <c r="BM8" i="39"/>
  <c r="BO8" i="39"/>
  <c r="BP8" i="39" s="1"/>
  <c r="C9" i="39"/>
  <c r="BL10" i="39"/>
  <c r="BP10" i="39" s="1"/>
  <c r="BS10" i="39" s="1"/>
  <c r="BL11" i="39"/>
  <c r="BL12" i="39"/>
  <c r="BL13" i="39"/>
  <c r="BP13" i="39" s="1"/>
  <c r="BS13" i="39" s="1"/>
  <c r="BL14" i="39"/>
  <c r="BQ14" i="39" s="1"/>
  <c r="BR14" i="39" s="1"/>
  <c r="BL15" i="39"/>
  <c r="BL16" i="39"/>
  <c r="C17" i="39"/>
  <c r="BN58" i="39" s="1"/>
  <c r="BL17" i="39"/>
  <c r="BP17" i="39" s="1"/>
  <c r="BS17" i="39" s="1"/>
  <c r="C18" i="39"/>
  <c r="B23" i="39" s="1"/>
  <c r="BL18" i="39"/>
  <c r="BL19" i="39"/>
  <c r="BM19" i="39"/>
  <c r="D20" i="39"/>
  <c r="BP180" i="39" s="1"/>
  <c r="BS180" i="39" s="1"/>
  <c r="BL20" i="39"/>
  <c r="BP20" i="39" s="1"/>
  <c r="BS20" i="39" s="1"/>
  <c r="D21" i="39"/>
  <c r="BL21" i="39"/>
  <c r="D22" i="39"/>
  <c r="C22" i="39" s="1"/>
  <c r="C23" i="39" s="1"/>
  <c r="BL22" i="39"/>
  <c r="D23" i="39"/>
  <c r="BL23" i="39"/>
  <c r="AQ37" i="19"/>
  <c r="AQ99" i="19"/>
  <c r="AQ56" i="19"/>
  <c r="AQ50" i="19"/>
  <c r="AQ148" i="19"/>
  <c r="AQ48" i="19"/>
  <c r="AQ36" i="19"/>
  <c r="AQ102" i="19"/>
  <c r="AQ114" i="19"/>
  <c r="AQ207" i="19"/>
  <c r="AQ176" i="19"/>
  <c r="AQ211" i="19"/>
  <c r="AQ136" i="19"/>
  <c r="AQ170" i="19"/>
  <c r="AQ69" i="19"/>
  <c r="AQ192" i="19"/>
  <c r="AQ46" i="19"/>
  <c r="AQ129" i="19"/>
  <c r="AQ165" i="19"/>
  <c r="AQ70" i="19"/>
  <c r="AQ74" i="19"/>
  <c r="AQ147" i="19"/>
  <c r="AQ143" i="19"/>
  <c r="AQ214" i="19"/>
  <c r="AQ43" i="19"/>
  <c r="AQ174" i="19"/>
  <c r="AQ66" i="19"/>
  <c r="AQ104" i="19"/>
  <c r="AQ128" i="19"/>
  <c r="AQ213" i="19"/>
  <c r="AQ141" i="19"/>
  <c r="AQ131" i="19"/>
  <c r="AQ61" i="19"/>
  <c r="AQ137" i="19"/>
  <c r="AQ34" i="19"/>
  <c r="AQ100" i="19"/>
  <c r="AQ105" i="19"/>
  <c r="AQ189" i="19"/>
  <c r="AQ62" i="19"/>
  <c r="AQ98" i="19"/>
  <c r="AQ54" i="19"/>
  <c r="AQ124" i="19"/>
  <c r="AQ65" i="19"/>
  <c r="AQ125" i="19"/>
  <c r="AQ142" i="19"/>
  <c r="AQ51" i="19"/>
  <c r="AQ217" i="19"/>
  <c r="AQ140" i="19"/>
  <c r="AQ209" i="19"/>
  <c r="AQ60" i="19"/>
  <c r="AQ177" i="19"/>
  <c r="AQ181" i="19"/>
  <c r="AQ122" i="19"/>
  <c r="AQ216" i="19"/>
  <c r="AQ38" i="19"/>
  <c r="AQ59" i="19"/>
  <c r="AQ91" i="19"/>
  <c r="AQ184" i="19"/>
  <c r="AQ95" i="19"/>
  <c r="AQ187" i="19"/>
  <c r="AQ40" i="19"/>
  <c r="AQ139" i="19"/>
  <c r="AQ205" i="19"/>
  <c r="AQ149" i="19"/>
  <c r="AQ171" i="19"/>
  <c r="AQ132" i="19"/>
  <c r="AQ169" i="19"/>
  <c r="AQ55" i="19"/>
  <c r="AQ179" i="19"/>
  <c r="AQ47" i="19"/>
  <c r="AQ164" i="19"/>
  <c r="AQ44" i="19"/>
  <c r="AQ144" i="19"/>
  <c r="AQ167" i="19"/>
  <c r="AQ41" i="19"/>
  <c r="AQ166" i="19"/>
  <c r="AQ53" i="19"/>
  <c r="AQ72" i="19"/>
  <c r="AQ113" i="19"/>
  <c r="AQ101" i="19"/>
  <c r="AQ106" i="19"/>
  <c r="AQ175" i="19"/>
  <c r="AQ145" i="19"/>
  <c r="AQ115" i="19"/>
  <c r="AQ168" i="19"/>
  <c r="AQ190" i="19"/>
  <c r="AQ123" i="19"/>
  <c r="AQ186" i="19"/>
  <c r="AQ215" i="19"/>
  <c r="AQ135" i="19"/>
  <c r="AQ96" i="19"/>
  <c r="AQ188" i="19"/>
  <c r="AQ172" i="19"/>
  <c r="AQ173" i="19"/>
  <c r="AQ208" i="19"/>
  <c r="AQ210" i="19"/>
  <c r="AQ146" i="19"/>
  <c r="AQ134" i="19"/>
  <c r="AQ75" i="19"/>
  <c r="AQ127" i="19"/>
  <c r="AQ94" i="19"/>
  <c r="AQ212" i="19"/>
  <c r="AQ93" i="19"/>
  <c r="AQ162" i="19"/>
  <c r="AQ130" i="19"/>
  <c r="AQ185" i="19"/>
  <c r="AQ180" i="19"/>
  <c r="AQ39" i="19"/>
  <c r="AQ52" i="19"/>
  <c r="AQ67" i="19"/>
  <c r="AQ57" i="19"/>
  <c r="AQ103" i="19"/>
  <c r="AQ182" i="19"/>
  <c r="AQ73" i="19"/>
  <c r="AQ97" i="19"/>
  <c r="AQ138" i="19"/>
  <c r="AQ191" i="19"/>
  <c r="AQ126" i="19"/>
  <c r="AQ58" i="19"/>
  <c r="AQ78" i="19"/>
  <c r="AQ45" i="19"/>
  <c r="AQ76" i="19"/>
  <c r="AQ133" i="19"/>
  <c r="AQ178" i="19"/>
  <c r="AQ68" i="19"/>
  <c r="AQ71" i="19"/>
  <c r="AQ49" i="19"/>
  <c r="AQ77" i="19"/>
  <c r="BP50" i="39" l="1"/>
  <c r="BS50" i="39" s="1"/>
  <c r="BQ46" i="39"/>
  <c r="BR46" i="39" s="1"/>
  <c r="BP34" i="39"/>
  <c r="BS34" i="39" s="1"/>
  <c r="BP9" i="39"/>
  <c r="BS9" i="39" s="1"/>
  <c r="BQ21" i="39"/>
  <c r="BR21" i="39" s="1"/>
  <c r="BQ12" i="39"/>
  <c r="BR12" i="39" s="1"/>
  <c r="BP46" i="39"/>
  <c r="BS46" i="39" s="1"/>
  <c r="BQ100" i="39"/>
  <c r="BR100" i="39" s="1"/>
  <c r="D19" i="39"/>
  <c r="BR6" i="39"/>
  <c r="BP38" i="39"/>
  <c r="BS38" i="39" s="1"/>
  <c r="BP30" i="39"/>
  <c r="BS30" i="39" s="1"/>
  <c r="BQ54" i="39"/>
  <c r="BR54" i="39" s="1"/>
  <c r="BN68" i="39"/>
  <c r="BQ15" i="39"/>
  <c r="BR15" i="39" s="1"/>
  <c r="BN45" i="39"/>
  <c r="BP12" i="39"/>
  <c r="BS12" i="39" s="1"/>
  <c r="BP39" i="39"/>
  <c r="BS39" i="39" s="1"/>
  <c r="BN24" i="39"/>
  <c r="BN12" i="39"/>
  <c r="BP166" i="39"/>
  <c r="BS166" i="39" s="1"/>
  <c r="C19" i="39"/>
  <c r="BP54" i="39"/>
  <c r="BS54" i="39" s="1"/>
  <c r="BN78" i="39"/>
  <c r="B19" i="39"/>
  <c r="BQ29" i="39"/>
  <c r="BR29" i="39" s="1"/>
  <c r="BQ66" i="39"/>
  <c r="BR66" i="39" s="1"/>
  <c r="BP227" i="39"/>
  <c r="BS227" i="39" s="1"/>
  <c r="BN17" i="39"/>
  <c r="BN10" i="39"/>
  <c r="B20" i="39"/>
  <c r="BQ82" i="39"/>
  <c r="BR82" i="39" s="1"/>
  <c r="BQ19" i="39"/>
  <c r="BR19" i="39" s="1"/>
  <c r="BP16" i="39"/>
  <c r="BS16" i="39" s="1"/>
  <c r="BQ47" i="39"/>
  <c r="BR47" i="39" s="1"/>
  <c r="BP31" i="39"/>
  <c r="BS31" i="39" s="1"/>
  <c r="BP55" i="39"/>
  <c r="BS55" i="39" s="1"/>
  <c r="BN21" i="39"/>
  <c r="BQ55" i="39"/>
  <c r="BR55" i="39" s="1"/>
  <c r="BQ68" i="39"/>
  <c r="BR68" i="39" s="1"/>
  <c r="BN64" i="39"/>
  <c r="B21" i="39"/>
  <c r="BP15" i="39"/>
  <c r="BS15" i="39" s="1"/>
  <c r="BQ11" i="39"/>
  <c r="BR11" i="39" s="1"/>
  <c r="BN23" i="39"/>
  <c r="BN18" i="39"/>
  <c r="BP11" i="39"/>
  <c r="BS11" i="39" s="1"/>
  <c r="BQ23" i="39"/>
  <c r="BR23" i="39" s="1"/>
  <c r="BQ20" i="39"/>
  <c r="BR20" i="39" s="1"/>
  <c r="BQ18" i="39"/>
  <c r="BR18" i="39" s="1"/>
  <c r="BN11" i="39"/>
  <c r="BP29" i="39"/>
  <c r="BS29" i="39" s="1"/>
  <c r="BN62" i="39"/>
  <c r="BP85" i="39"/>
  <c r="BS85" i="39" s="1"/>
  <c r="BQ76" i="39"/>
  <c r="BR76" i="39" s="1"/>
  <c r="BP14" i="39"/>
  <c r="BS14" i="39" s="1"/>
  <c r="BQ85" i="39"/>
  <c r="BR85" i="39" s="1"/>
  <c r="BN26" i="39"/>
  <c r="BQ16" i="39"/>
  <c r="BR16" i="39" s="1"/>
  <c r="BP19" i="39"/>
  <c r="BS19" i="39" s="1"/>
  <c r="BQ81" i="39"/>
  <c r="BR81" i="39" s="1"/>
  <c r="BP21" i="39"/>
  <c r="BS21" i="39" s="1"/>
  <c r="BN16" i="39"/>
  <c r="BN20" i="39"/>
  <c r="BQ17" i="39"/>
  <c r="BR17" i="39" s="1"/>
  <c r="BN14" i="39"/>
  <c r="BQ10" i="39"/>
  <c r="BR10" i="39" s="1"/>
  <c r="BP43" i="39"/>
  <c r="BS43" i="39" s="1"/>
  <c r="BP35" i="39"/>
  <c r="BS35" i="39" s="1"/>
  <c r="BQ28" i="39"/>
  <c r="BR28" i="39" s="1"/>
  <c r="BQ51" i="39"/>
  <c r="BR51" i="39" s="1"/>
  <c r="BQ84" i="39"/>
  <c r="BR84" i="39" s="1"/>
  <c r="BN94" i="39"/>
  <c r="BP185" i="39"/>
  <c r="BS185" i="39" s="1"/>
  <c r="BP293" i="39"/>
  <c r="BS293" i="39" s="1"/>
  <c r="BN22" i="39"/>
  <c r="BM20" i="39"/>
  <c r="BO20" i="39" s="1"/>
  <c r="BN60" i="39"/>
  <c r="BQ50" i="39"/>
  <c r="BR50" i="39" s="1"/>
  <c r="BP84" i="39"/>
  <c r="BS84" i="39" s="1"/>
  <c r="BN84" i="39"/>
  <c r="BM17" i="39"/>
  <c r="BO17" i="39" s="1"/>
  <c r="BQ13" i="39"/>
  <c r="BR13" i="39" s="1"/>
  <c r="BN104" i="39"/>
  <c r="B22" i="39"/>
  <c r="C20" i="39"/>
  <c r="BP22" i="39"/>
  <c r="BS22" i="39" s="1"/>
  <c r="BP42" i="39"/>
  <c r="BS42" i="39" s="1"/>
  <c r="BP47" i="39"/>
  <c r="BS47" i="39" s="1"/>
  <c r="AV9" i="39"/>
  <c r="AY9" i="39"/>
  <c r="BD9" i="39"/>
  <c r="BM39" i="39"/>
  <c r="BM33" i="39"/>
  <c r="BO33" i="39" s="1"/>
  <c r="BM67" i="39"/>
  <c r="BM118" i="39"/>
  <c r="BO118" i="39" s="1"/>
  <c r="BO9" i="39"/>
  <c r="BN96" i="39"/>
  <c r="BN101" i="39"/>
  <c r="BD8" i="39"/>
  <c r="BN9" i="39" s="1"/>
  <c r="BN15" i="39"/>
  <c r="BO29" i="39"/>
  <c r="BO49" i="39"/>
  <c r="BP80" i="39"/>
  <c r="BS80" i="39" s="1"/>
  <c r="BQ80" i="39"/>
  <c r="BR80" i="39" s="1"/>
  <c r="BN76" i="39"/>
  <c r="BN70" i="39"/>
  <c r="BP106" i="39"/>
  <c r="BS106" i="39" s="1"/>
  <c r="BQ106" i="39"/>
  <c r="BR106" i="39" s="1"/>
  <c r="BN102" i="39"/>
  <c r="BM255" i="39"/>
  <c r="BM256" i="39"/>
  <c r="BM257" i="39"/>
  <c r="BM258" i="39"/>
  <c r="BM259" i="39"/>
  <c r="BM260" i="39"/>
  <c r="BO260" i="39" s="1"/>
  <c r="BM261" i="39"/>
  <c r="BM262" i="39"/>
  <c r="BO262" i="39" s="1"/>
  <c r="BM237" i="39"/>
  <c r="BM245" i="39"/>
  <c r="BO245" i="39" s="1"/>
  <c r="BM252" i="39"/>
  <c r="BO252" i="39" s="1"/>
  <c r="BM218" i="39"/>
  <c r="BO218" i="39" s="1"/>
  <c r="BM226" i="39"/>
  <c r="BO226" i="39" s="1"/>
  <c r="BM239" i="39"/>
  <c r="BM250" i="39"/>
  <c r="BM216" i="39"/>
  <c r="BO216" i="39" s="1"/>
  <c r="BM224" i="39"/>
  <c r="BM236" i="39"/>
  <c r="BM244" i="39"/>
  <c r="BM249" i="39"/>
  <c r="BM215" i="39"/>
  <c r="BM223" i="39"/>
  <c r="BM246" i="39"/>
  <c r="BM219" i="39"/>
  <c r="BM221" i="39"/>
  <c r="BO221" i="39" s="1"/>
  <c r="BM171" i="39"/>
  <c r="BO171" i="39" s="1"/>
  <c r="BM179" i="39"/>
  <c r="BO179" i="39" s="1"/>
  <c r="BM238" i="39"/>
  <c r="BM230" i="39"/>
  <c r="BO230" i="39" s="1"/>
  <c r="BM192" i="39"/>
  <c r="BO192" i="39" s="1"/>
  <c r="BM196" i="39"/>
  <c r="BO196" i="39" s="1"/>
  <c r="BM200" i="39"/>
  <c r="BO200" i="39" s="1"/>
  <c r="BM204" i="39"/>
  <c r="BM210" i="39"/>
  <c r="BM176" i="39"/>
  <c r="BO176" i="39" s="1"/>
  <c r="BM247" i="39"/>
  <c r="BM220" i="39"/>
  <c r="BM209" i="39"/>
  <c r="BO209" i="39" s="1"/>
  <c r="BM175" i="39"/>
  <c r="BM241" i="39"/>
  <c r="BM243" i="39"/>
  <c r="BM222" i="39"/>
  <c r="BO222" i="39" s="1"/>
  <c r="BM225" i="39"/>
  <c r="BO225" i="39" s="1"/>
  <c r="BM233" i="39"/>
  <c r="BO233" i="39" s="1"/>
  <c r="BM195" i="39"/>
  <c r="BO195" i="39" s="1"/>
  <c r="BM199" i="39"/>
  <c r="BO199" i="39" s="1"/>
  <c r="BM203" i="39"/>
  <c r="BO203" i="39" s="1"/>
  <c r="BM208" i="39"/>
  <c r="BO208" i="39" s="1"/>
  <c r="BM174" i="39"/>
  <c r="BM234" i="39"/>
  <c r="BM254" i="39"/>
  <c r="BM227" i="39"/>
  <c r="BM229" i="39"/>
  <c r="BM207" i="39"/>
  <c r="BO207" i="39" s="1"/>
  <c r="BM251" i="39"/>
  <c r="BM172" i="39"/>
  <c r="BM185" i="39"/>
  <c r="BM151" i="39"/>
  <c r="BO151" i="39" s="1"/>
  <c r="BM159" i="39"/>
  <c r="BO159" i="39" s="1"/>
  <c r="BM167" i="39"/>
  <c r="BO167" i="39" s="1"/>
  <c r="BM213" i="39"/>
  <c r="BO213" i="39" s="1"/>
  <c r="BM242" i="39"/>
  <c r="BM214" i="39"/>
  <c r="BO214" i="39" s="1"/>
  <c r="BM217" i="39"/>
  <c r="BO217" i="39" s="1"/>
  <c r="BM231" i="39"/>
  <c r="BM197" i="39"/>
  <c r="BM205" i="39"/>
  <c r="BM178" i="39"/>
  <c r="BM182" i="39"/>
  <c r="BM190" i="39"/>
  <c r="BM156" i="39"/>
  <c r="BM164" i="39"/>
  <c r="BM130" i="39"/>
  <c r="BM235" i="39"/>
  <c r="BM228" i="39"/>
  <c r="BO228" i="39" s="1"/>
  <c r="BM173" i="39"/>
  <c r="BO173" i="39" s="1"/>
  <c r="BM181" i="39"/>
  <c r="BO181" i="39" s="1"/>
  <c r="BM189" i="39"/>
  <c r="BO189" i="39" s="1"/>
  <c r="BM155" i="39"/>
  <c r="BM163" i="39"/>
  <c r="BM129" i="39"/>
  <c r="BM253" i="39"/>
  <c r="BM180" i="39"/>
  <c r="BM188" i="39"/>
  <c r="BM154" i="39"/>
  <c r="BM162" i="39"/>
  <c r="BO162" i="39" s="1"/>
  <c r="BM170" i="39"/>
  <c r="BM240" i="39"/>
  <c r="BM232" i="39"/>
  <c r="BM198" i="39"/>
  <c r="BM206" i="39"/>
  <c r="BO206" i="39" s="1"/>
  <c r="BM177" i="39"/>
  <c r="BO177" i="39" s="1"/>
  <c r="BM187" i="39"/>
  <c r="BO187" i="39" s="1"/>
  <c r="BM153" i="39"/>
  <c r="BO153" i="39" s="1"/>
  <c r="BM161" i="39"/>
  <c r="BO161" i="39" s="1"/>
  <c r="BM169" i="39"/>
  <c r="BO169" i="39" s="1"/>
  <c r="BM202" i="39"/>
  <c r="BM186" i="39"/>
  <c r="BM166" i="39"/>
  <c r="BM134" i="39"/>
  <c r="BM142" i="39"/>
  <c r="BM108" i="39"/>
  <c r="BM116" i="39"/>
  <c r="BM124" i="39"/>
  <c r="BO124" i="39" s="1"/>
  <c r="BM184" i="39"/>
  <c r="BO184" i="39" s="1"/>
  <c r="BM152" i="39"/>
  <c r="BO152" i="39" s="1"/>
  <c r="BM132" i="39"/>
  <c r="BO132" i="39" s="1"/>
  <c r="BM140" i="39"/>
  <c r="BO140" i="39" s="1"/>
  <c r="BM148" i="39"/>
  <c r="BO148" i="39" s="1"/>
  <c r="BM114" i="39"/>
  <c r="BM122" i="39"/>
  <c r="BM194" i="39"/>
  <c r="BO194" i="39" s="1"/>
  <c r="BM157" i="39"/>
  <c r="BM135" i="39"/>
  <c r="BM143" i="39"/>
  <c r="BM109" i="39"/>
  <c r="BM117" i="39"/>
  <c r="BM150" i="39"/>
  <c r="BM160" i="39"/>
  <c r="BM146" i="39"/>
  <c r="BM111" i="39"/>
  <c r="BM115" i="39"/>
  <c r="BO115" i="39" s="1"/>
  <c r="BM88" i="39"/>
  <c r="BM96" i="39"/>
  <c r="BO96" i="39" s="1"/>
  <c r="BM104" i="39"/>
  <c r="BO104" i="39" s="1"/>
  <c r="BM70" i="39"/>
  <c r="BO70" i="39" s="1"/>
  <c r="BM78" i="39"/>
  <c r="BO78" i="39" s="1"/>
  <c r="BM45" i="39"/>
  <c r="BO45" i="39" s="1"/>
  <c r="BM49" i="39"/>
  <c r="BM53" i="39"/>
  <c r="BO53" i="39" s="1"/>
  <c r="BM136" i="39"/>
  <c r="BM139" i="39"/>
  <c r="BM127" i="39"/>
  <c r="BM93" i="39"/>
  <c r="BM193" i="39"/>
  <c r="BM211" i="39"/>
  <c r="BM133" i="39"/>
  <c r="BO133" i="39" s="1"/>
  <c r="BM112" i="39"/>
  <c r="BO112" i="39" s="1"/>
  <c r="BM119" i="39"/>
  <c r="BO119" i="39" s="1"/>
  <c r="BM123" i="39"/>
  <c r="BO123" i="39" s="1"/>
  <c r="BM90" i="39"/>
  <c r="BO90" i="39" s="1"/>
  <c r="BM98" i="39"/>
  <c r="BO98" i="39" s="1"/>
  <c r="BM183" i="39"/>
  <c r="BM158" i="39"/>
  <c r="BO158" i="39" s="1"/>
  <c r="BM144" i="39"/>
  <c r="BM147" i="39"/>
  <c r="BM87" i="39"/>
  <c r="BO87" i="39" s="1"/>
  <c r="BM95" i="39"/>
  <c r="BO95" i="39" s="1"/>
  <c r="BM103" i="39"/>
  <c r="BM69" i="39"/>
  <c r="BO69" i="39" s="1"/>
  <c r="BM77" i="39"/>
  <c r="BM28" i="39"/>
  <c r="BM212" i="39"/>
  <c r="BO212" i="39" s="1"/>
  <c r="BM168" i="39"/>
  <c r="BO168" i="39" s="1"/>
  <c r="BM137" i="39"/>
  <c r="BO137" i="39" s="1"/>
  <c r="BM141" i="39"/>
  <c r="BO141" i="39" s="1"/>
  <c r="BM120" i="39"/>
  <c r="BO120" i="39" s="1"/>
  <c r="BM126" i="39"/>
  <c r="BM92" i="39"/>
  <c r="BO92" i="39" s="1"/>
  <c r="BM100" i="39"/>
  <c r="BM66" i="39"/>
  <c r="BM74" i="39"/>
  <c r="BM82" i="39"/>
  <c r="BO82" i="39" s="1"/>
  <c r="BM85" i="39"/>
  <c r="BM47" i="39"/>
  <c r="BM51" i="39"/>
  <c r="BO51" i="39" s="1"/>
  <c r="BM55" i="39"/>
  <c r="BM201" i="39"/>
  <c r="BO201" i="39" s="1"/>
  <c r="BM165" i="39"/>
  <c r="BM110" i="39"/>
  <c r="BO110" i="39" s="1"/>
  <c r="BM113" i="39"/>
  <c r="BO113" i="39" s="1"/>
  <c r="BM89" i="39"/>
  <c r="BO89" i="39" s="1"/>
  <c r="BM97" i="39"/>
  <c r="BM105" i="39"/>
  <c r="BO105" i="39" s="1"/>
  <c r="BM71" i="39"/>
  <c r="BO71" i="39" s="1"/>
  <c r="BM79" i="39"/>
  <c r="BO79" i="39" s="1"/>
  <c r="BM29" i="39"/>
  <c r="BM191" i="39"/>
  <c r="BM138" i="39"/>
  <c r="BM145" i="39"/>
  <c r="BM149" i="39"/>
  <c r="BM128" i="39"/>
  <c r="BM94" i="39"/>
  <c r="BM102" i="39"/>
  <c r="BM68" i="39"/>
  <c r="BO68" i="39" s="1"/>
  <c r="BM76" i="39"/>
  <c r="BM84" i="39"/>
  <c r="BO84" i="39" s="1"/>
  <c r="BM46" i="39"/>
  <c r="BO46" i="39" s="1"/>
  <c r="BM50" i="39"/>
  <c r="BM54" i="39"/>
  <c r="BO54" i="39" s="1"/>
  <c r="BM10" i="39"/>
  <c r="BO10" i="39" s="1"/>
  <c r="BM11" i="39"/>
  <c r="BO11" i="39" s="1"/>
  <c r="BM12" i="39"/>
  <c r="BM13" i="39"/>
  <c r="BM14" i="39"/>
  <c r="BO14" i="39" s="1"/>
  <c r="BM15" i="39"/>
  <c r="BO15" i="39" s="1"/>
  <c r="BM16" i="39"/>
  <c r="BO16" i="39" s="1"/>
  <c r="BM37" i="39"/>
  <c r="BO37" i="39" s="1"/>
  <c r="BP53" i="39"/>
  <c r="BS53" i="39" s="1"/>
  <c r="BQ53" i="39"/>
  <c r="BR53" i="39" s="1"/>
  <c r="BM83" i="39"/>
  <c r="BO83" i="39" s="1"/>
  <c r="BM106" i="39"/>
  <c r="BO106" i="39" s="1"/>
  <c r="BP88" i="39"/>
  <c r="BS88" i="39" s="1"/>
  <c r="BO88" i="39"/>
  <c r="BQ88" i="39"/>
  <c r="BR88" i="39" s="1"/>
  <c r="BP23" i="39"/>
  <c r="BS23" i="39" s="1"/>
  <c r="BM21" i="39"/>
  <c r="BO21" i="39" s="1"/>
  <c r="BN27" i="39"/>
  <c r="BN25" i="39"/>
  <c r="BN65" i="39"/>
  <c r="BN63" i="39"/>
  <c r="BN61" i="39"/>
  <c r="BN59" i="39"/>
  <c r="BN57" i="39"/>
  <c r="BO52" i="39"/>
  <c r="BP52" i="39"/>
  <c r="BS52" i="39" s="1"/>
  <c r="BQ52" i="39"/>
  <c r="BR52" i="39" s="1"/>
  <c r="BN49" i="39"/>
  <c r="BN46" i="39"/>
  <c r="BM73" i="39"/>
  <c r="BO73" i="39" s="1"/>
  <c r="BP70" i="39"/>
  <c r="BS70" i="39" s="1"/>
  <c r="BQ70" i="39"/>
  <c r="BR70" i="39" s="1"/>
  <c r="BO97" i="39"/>
  <c r="BN128" i="39"/>
  <c r="BM131" i="39"/>
  <c r="BM248" i="39"/>
  <c r="BO248" i="39" s="1"/>
  <c r="BM41" i="39"/>
  <c r="BM31" i="39"/>
  <c r="BP86" i="39"/>
  <c r="BS86" i="39" s="1"/>
  <c r="BQ86" i="39"/>
  <c r="BR86" i="39" s="1"/>
  <c r="BM80" i="39"/>
  <c r="BO80" i="39" s="1"/>
  <c r="BQ22" i="39"/>
  <c r="BR22" i="39" s="1"/>
  <c r="BN13" i="39"/>
  <c r="BO44" i="39"/>
  <c r="BO40" i="39"/>
  <c r="BO38" i="39"/>
  <c r="BO36" i="39"/>
  <c r="BM27" i="39"/>
  <c r="BO27" i="39" s="1"/>
  <c r="BM25" i="39"/>
  <c r="BO25" i="39" s="1"/>
  <c r="BM65" i="39"/>
  <c r="BM63" i="39"/>
  <c r="BM61" i="39"/>
  <c r="BM59" i="39"/>
  <c r="BM57" i="39"/>
  <c r="BO57" i="39" s="1"/>
  <c r="BP49" i="39"/>
  <c r="BS49" i="39" s="1"/>
  <c r="BQ49" i="39"/>
  <c r="BR49" i="39" s="1"/>
  <c r="BN75" i="39"/>
  <c r="BP69" i="39"/>
  <c r="BS69" i="39" s="1"/>
  <c r="BQ69" i="39"/>
  <c r="BR69" i="39" s="1"/>
  <c r="BM101" i="39"/>
  <c r="BM91" i="39"/>
  <c r="BM43" i="39"/>
  <c r="BO43" i="39" s="1"/>
  <c r="BM35" i="39"/>
  <c r="BO50" i="39"/>
  <c r="BM23" i="39"/>
  <c r="BO23" i="39" s="1"/>
  <c r="BP18" i="39"/>
  <c r="BS18" i="39" s="1"/>
  <c r="BM44" i="39"/>
  <c r="BM42" i="39"/>
  <c r="BO42" i="39" s="1"/>
  <c r="BM40" i="39"/>
  <c r="BM38" i="39"/>
  <c r="BM36" i="39"/>
  <c r="BM34" i="39"/>
  <c r="BO34" i="39" s="1"/>
  <c r="BM32" i="39"/>
  <c r="BO32" i="39" s="1"/>
  <c r="BM30" i="39"/>
  <c r="BO30" i="39" s="1"/>
  <c r="BN54" i="39"/>
  <c r="BM48" i="39"/>
  <c r="BO48" i="39" s="1"/>
  <c r="BM75" i="39"/>
  <c r="BO75" i="39" s="1"/>
  <c r="BM72" i="39"/>
  <c r="BO72" i="39" s="1"/>
  <c r="BP96" i="39"/>
  <c r="BS96" i="39" s="1"/>
  <c r="BQ96" i="39"/>
  <c r="BR96" i="39" s="1"/>
  <c r="BM121" i="39"/>
  <c r="BO121" i="39" s="1"/>
  <c r="BP115" i="39"/>
  <c r="BS115" i="39" s="1"/>
  <c r="BQ115" i="39"/>
  <c r="BR115" i="39" s="1"/>
  <c r="BP48" i="39"/>
  <c r="BS48" i="39" s="1"/>
  <c r="BQ48" i="39"/>
  <c r="BR48" i="39" s="1"/>
  <c r="BP72" i="39"/>
  <c r="BS72" i="39" s="1"/>
  <c r="BQ72" i="39"/>
  <c r="BR72" i="39" s="1"/>
  <c r="BP45" i="39"/>
  <c r="BS45" i="39" s="1"/>
  <c r="BQ45" i="39"/>
  <c r="BR45" i="39" s="1"/>
  <c r="BO28" i="39"/>
  <c r="BP28" i="39"/>
  <c r="BS28" i="39" s="1"/>
  <c r="BM56" i="39"/>
  <c r="BO56" i="39" s="1"/>
  <c r="BM81" i="39"/>
  <c r="BO81" i="39" s="1"/>
  <c r="BP78" i="39"/>
  <c r="BS78" i="39" s="1"/>
  <c r="BQ78" i="39"/>
  <c r="BR78" i="39" s="1"/>
  <c r="BM107" i="39"/>
  <c r="BO107" i="39" s="1"/>
  <c r="BP104" i="39"/>
  <c r="BS104" i="39" s="1"/>
  <c r="BQ104" i="39"/>
  <c r="BR104" i="39" s="1"/>
  <c r="BM22" i="39"/>
  <c r="BO22" i="39" s="1"/>
  <c r="BO19" i="39"/>
  <c r="BM18" i="39"/>
  <c r="BO18" i="39" s="1"/>
  <c r="BO41" i="39"/>
  <c r="BO39" i="39"/>
  <c r="BO35" i="39"/>
  <c r="BO31" i="39"/>
  <c r="BM26" i="39"/>
  <c r="BM24" i="39"/>
  <c r="BO24" i="39" s="1"/>
  <c r="BM64" i="39"/>
  <c r="BO64" i="39" s="1"/>
  <c r="BM62" i="39"/>
  <c r="BM60" i="39"/>
  <c r="BM58" i="39"/>
  <c r="BO58" i="39" s="1"/>
  <c r="BP56" i="39"/>
  <c r="BS56" i="39" s="1"/>
  <c r="BQ56" i="39"/>
  <c r="BR56" i="39" s="1"/>
  <c r="BN53" i="39"/>
  <c r="BN50" i="39"/>
  <c r="BM86" i="39"/>
  <c r="BO86" i="39" s="1"/>
  <c r="BN83" i="39"/>
  <c r="BP77" i="39"/>
  <c r="BS77" i="39" s="1"/>
  <c r="BO77" i="39"/>
  <c r="BQ77" i="39"/>
  <c r="BR77" i="39" s="1"/>
  <c r="BN67" i="39"/>
  <c r="BP103" i="39"/>
  <c r="BS103" i="39" s="1"/>
  <c r="BO103" i="39"/>
  <c r="BQ103" i="39"/>
  <c r="BR103" i="39" s="1"/>
  <c r="BM99" i="39"/>
  <c r="BO99" i="39" s="1"/>
  <c r="BM125" i="39"/>
  <c r="BO125" i="39" s="1"/>
  <c r="BM9" i="39"/>
  <c r="BN29" i="39"/>
  <c r="BO55" i="39"/>
  <c r="BO47" i="39"/>
  <c r="BO85" i="39"/>
  <c r="BP81" i="39"/>
  <c r="BS81" i="39" s="1"/>
  <c r="BN79" i="39"/>
  <c r="BO74" i="39"/>
  <c r="BP73" i="39"/>
  <c r="BS73" i="39" s="1"/>
  <c r="BN71" i="39"/>
  <c r="BO66" i="39"/>
  <c r="BP107" i="39"/>
  <c r="BS107" i="39" s="1"/>
  <c r="BN105" i="39"/>
  <c r="BO100" i="39"/>
  <c r="BP99" i="39"/>
  <c r="BS99" i="39" s="1"/>
  <c r="BN97" i="39"/>
  <c r="BQ95" i="39"/>
  <c r="BR95" i="39" s="1"/>
  <c r="BP91" i="39"/>
  <c r="BS91" i="39" s="1"/>
  <c r="BN89" i="39"/>
  <c r="BQ87" i="39"/>
  <c r="BR87" i="39" s="1"/>
  <c r="BO126" i="39"/>
  <c r="BP125" i="39"/>
  <c r="BS125" i="39" s="1"/>
  <c r="BP121" i="39"/>
  <c r="BS121" i="39" s="1"/>
  <c r="BQ121" i="39"/>
  <c r="BR121" i="39" s="1"/>
  <c r="BP118" i="39"/>
  <c r="BS118" i="39" s="1"/>
  <c r="BQ118" i="39"/>
  <c r="BR118" i="39" s="1"/>
  <c r="BO114" i="39"/>
  <c r="BP114" i="39"/>
  <c r="BS114" i="39" s="1"/>
  <c r="BQ114" i="39"/>
  <c r="BR114" i="39" s="1"/>
  <c r="BO142" i="39"/>
  <c r="BP142" i="39"/>
  <c r="BS142" i="39" s="1"/>
  <c r="BQ142" i="39"/>
  <c r="BR142" i="39" s="1"/>
  <c r="BO131" i="39"/>
  <c r="BP131" i="39"/>
  <c r="BS131" i="39" s="1"/>
  <c r="BQ131" i="39"/>
  <c r="BR131" i="39" s="1"/>
  <c r="BP162" i="39"/>
  <c r="BS162" i="39" s="1"/>
  <c r="BP153" i="39"/>
  <c r="BS153" i="39" s="1"/>
  <c r="BQ188" i="39"/>
  <c r="BR188" i="39" s="1"/>
  <c r="BO185" i="39"/>
  <c r="BN297" i="39"/>
  <c r="BN298" i="39"/>
  <c r="BN299" i="39"/>
  <c r="BN300" i="39"/>
  <c r="BN301" i="39"/>
  <c r="BN276" i="39"/>
  <c r="BN277" i="39"/>
  <c r="BN278" i="39"/>
  <c r="BN279" i="39"/>
  <c r="BN280" i="39"/>
  <c r="BN281" i="39"/>
  <c r="BN282" i="39"/>
  <c r="BN283" i="39"/>
  <c r="BN284" i="39"/>
  <c r="BN285" i="39"/>
  <c r="BN286" i="39"/>
  <c r="BN287" i="39"/>
  <c r="BN288" i="39"/>
  <c r="BN289" i="39"/>
  <c r="BN290" i="39"/>
  <c r="BN291" i="39"/>
  <c r="BN292" i="39"/>
  <c r="BN293" i="39"/>
  <c r="BN294" i="39"/>
  <c r="BN295" i="39"/>
  <c r="BN296" i="39"/>
  <c r="BN255" i="39"/>
  <c r="BN256" i="39"/>
  <c r="BN257" i="39"/>
  <c r="BN258" i="39"/>
  <c r="BN259" i="39"/>
  <c r="BN260" i="39"/>
  <c r="BN261" i="39"/>
  <c r="BN262" i="39"/>
  <c r="BN263" i="39"/>
  <c r="BN264" i="39"/>
  <c r="BN265" i="39"/>
  <c r="BN266" i="39"/>
  <c r="BN267" i="39"/>
  <c r="BN268" i="39"/>
  <c r="BN269" i="39"/>
  <c r="BN270" i="39"/>
  <c r="BN271" i="39"/>
  <c r="BN272" i="39"/>
  <c r="BN273" i="39"/>
  <c r="BN274" i="39"/>
  <c r="BN275" i="39"/>
  <c r="BN234" i="39"/>
  <c r="BN235" i="39"/>
  <c r="BN236" i="39"/>
  <c r="BN237" i="39"/>
  <c r="BN238" i="39"/>
  <c r="BN239" i="39"/>
  <c r="BN240" i="39"/>
  <c r="BN241" i="39"/>
  <c r="BN242" i="39"/>
  <c r="BN243" i="39"/>
  <c r="BN244" i="39"/>
  <c r="BN245" i="39"/>
  <c r="BN246" i="39"/>
  <c r="BN247" i="39"/>
  <c r="BN248" i="39"/>
  <c r="BN249" i="39"/>
  <c r="BN250" i="39"/>
  <c r="BN251" i="39"/>
  <c r="BN252" i="39"/>
  <c r="BN253" i="39"/>
  <c r="BN254" i="39"/>
  <c r="BN213" i="39"/>
  <c r="BN214" i="39"/>
  <c r="BN215" i="39"/>
  <c r="BN216" i="39"/>
  <c r="BN217" i="39"/>
  <c r="BN218" i="39"/>
  <c r="BN219" i="39"/>
  <c r="BN220" i="39"/>
  <c r="BN221" i="39"/>
  <c r="BN222" i="39"/>
  <c r="BN223" i="39"/>
  <c r="BN224" i="39"/>
  <c r="BN225" i="39"/>
  <c r="BN226" i="39"/>
  <c r="BN227" i="39"/>
  <c r="BN228" i="39"/>
  <c r="BN229" i="39"/>
  <c r="BN232" i="39"/>
  <c r="BN194" i="39"/>
  <c r="BN198" i="39"/>
  <c r="BN202" i="39"/>
  <c r="BN206" i="39"/>
  <c r="BN172" i="39"/>
  <c r="BN180" i="39"/>
  <c r="BN181" i="39"/>
  <c r="BN182" i="39"/>
  <c r="BN183" i="39"/>
  <c r="BN184" i="39"/>
  <c r="BN185" i="39"/>
  <c r="BN186" i="39"/>
  <c r="BN187" i="39"/>
  <c r="BN188" i="39"/>
  <c r="BN189" i="39"/>
  <c r="BN190" i="39"/>
  <c r="BN191" i="39"/>
  <c r="BN150" i="39"/>
  <c r="BN151" i="39"/>
  <c r="BN152" i="39"/>
  <c r="BN153" i="39"/>
  <c r="BN154" i="39"/>
  <c r="BN155" i="39"/>
  <c r="BN156" i="39"/>
  <c r="BN157" i="39"/>
  <c r="BN158" i="39"/>
  <c r="BN159" i="39"/>
  <c r="BN160" i="39"/>
  <c r="BN161" i="39"/>
  <c r="BN162" i="39"/>
  <c r="BN163" i="39"/>
  <c r="BN164" i="39"/>
  <c r="BN165" i="39"/>
  <c r="BN166" i="39"/>
  <c r="BN167" i="39"/>
  <c r="BN168" i="39"/>
  <c r="BN169" i="39"/>
  <c r="BN170" i="39"/>
  <c r="BN129" i="39"/>
  <c r="BN130" i="39"/>
  <c r="BO223" i="39"/>
  <c r="BO231" i="39"/>
  <c r="BO193" i="39"/>
  <c r="BO197" i="39"/>
  <c r="BO205" i="39"/>
  <c r="BN211" i="39"/>
  <c r="BN177" i="39"/>
  <c r="BO178" i="39"/>
  <c r="BO258" i="39"/>
  <c r="BN230" i="39"/>
  <c r="BN192" i="39"/>
  <c r="BN196" i="39"/>
  <c r="BN200" i="39"/>
  <c r="BN204" i="39"/>
  <c r="BN210" i="39"/>
  <c r="BO211" i="39"/>
  <c r="BN176" i="39"/>
  <c r="BO236" i="39"/>
  <c r="BO247" i="39"/>
  <c r="BO215" i="39"/>
  <c r="BO220" i="39"/>
  <c r="BO204" i="39"/>
  <c r="BN209" i="39"/>
  <c r="BO210" i="39"/>
  <c r="BN175" i="39"/>
  <c r="BO256" i="39"/>
  <c r="BO241" i="39"/>
  <c r="BO243" i="39"/>
  <c r="BN233" i="39"/>
  <c r="BN195" i="39"/>
  <c r="BN199" i="39"/>
  <c r="BN203" i="39"/>
  <c r="BN208" i="39"/>
  <c r="BN193" i="39"/>
  <c r="BN201" i="39"/>
  <c r="BN179" i="39"/>
  <c r="BO237" i="39"/>
  <c r="BO172" i="39"/>
  <c r="BO246" i="39"/>
  <c r="BO249" i="39"/>
  <c r="BO202" i="39"/>
  <c r="BN212" i="39"/>
  <c r="BN131" i="39"/>
  <c r="BN132" i="39"/>
  <c r="BN133" i="39"/>
  <c r="BN134" i="39"/>
  <c r="BN135" i="39"/>
  <c r="BN136" i="39"/>
  <c r="BN137" i="39"/>
  <c r="BN138" i="39"/>
  <c r="BN139" i="39"/>
  <c r="BN140" i="39"/>
  <c r="BN141" i="39"/>
  <c r="BN142" i="39"/>
  <c r="BN143" i="39"/>
  <c r="BN144" i="39"/>
  <c r="BN145" i="39"/>
  <c r="BN146" i="39"/>
  <c r="BN147" i="39"/>
  <c r="BN148" i="39"/>
  <c r="BN149" i="39"/>
  <c r="BN108" i="39"/>
  <c r="BN109" i="39"/>
  <c r="BN110" i="39"/>
  <c r="BN111" i="39"/>
  <c r="BN112" i="39"/>
  <c r="BN113" i="39"/>
  <c r="BN114" i="39"/>
  <c r="BN115" i="39"/>
  <c r="BN116" i="39"/>
  <c r="BN117" i="39"/>
  <c r="BN118" i="39"/>
  <c r="BN119" i="39"/>
  <c r="BN120" i="39"/>
  <c r="BN121" i="39"/>
  <c r="BN122" i="39"/>
  <c r="BN123" i="39"/>
  <c r="BN124" i="39"/>
  <c r="BN231" i="39"/>
  <c r="BN197" i="39"/>
  <c r="BN205" i="39"/>
  <c r="BN178" i="39"/>
  <c r="BO235" i="39"/>
  <c r="BN171" i="39"/>
  <c r="BN173" i="39"/>
  <c r="BO155" i="39"/>
  <c r="BO163" i="39"/>
  <c r="BO244" i="39"/>
  <c r="BO229" i="39"/>
  <c r="BO175" i="39"/>
  <c r="BO180" i="39"/>
  <c r="BO188" i="39"/>
  <c r="BO154" i="39"/>
  <c r="BO170" i="39"/>
  <c r="BN207" i="39"/>
  <c r="BN174" i="39"/>
  <c r="BO254" i="39"/>
  <c r="BQ27" i="39"/>
  <c r="BR27" i="39" s="1"/>
  <c r="BQ26" i="39"/>
  <c r="BR26" i="39" s="1"/>
  <c r="BQ25" i="39"/>
  <c r="BR25" i="39" s="1"/>
  <c r="BQ24" i="39"/>
  <c r="BR24" i="39" s="1"/>
  <c r="BQ65" i="39"/>
  <c r="BR65" i="39" s="1"/>
  <c r="BQ64" i="39"/>
  <c r="BR64" i="39" s="1"/>
  <c r="BQ63" i="39"/>
  <c r="BR63" i="39" s="1"/>
  <c r="BQ62" i="39"/>
  <c r="BR62" i="39" s="1"/>
  <c r="BQ61" i="39"/>
  <c r="BR61" i="39" s="1"/>
  <c r="BQ60" i="39"/>
  <c r="BR60" i="39" s="1"/>
  <c r="BQ59" i="39"/>
  <c r="BR59" i="39" s="1"/>
  <c r="BQ58" i="39"/>
  <c r="BR58" i="39" s="1"/>
  <c r="BQ57" i="39"/>
  <c r="BR57" i="39" s="1"/>
  <c r="BN55" i="39"/>
  <c r="BN51" i="39"/>
  <c r="BN47" i="39"/>
  <c r="BN85" i="39"/>
  <c r="BN82" i="39"/>
  <c r="BP76" i="39"/>
  <c r="BS76" i="39" s="1"/>
  <c r="BN74" i="39"/>
  <c r="BP68" i="39"/>
  <c r="BS68" i="39" s="1"/>
  <c r="BN66" i="39"/>
  <c r="BP102" i="39"/>
  <c r="BS102" i="39" s="1"/>
  <c r="BN100" i="39"/>
  <c r="BQ98" i="39"/>
  <c r="BR98" i="39" s="1"/>
  <c r="BP94" i="39"/>
  <c r="BS94" i="39" s="1"/>
  <c r="BN92" i="39"/>
  <c r="BQ90" i="39"/>
  <c r="BR90" i="39" s="1"/>
  <c r="BP128" i="39"/>
  <c r="BS128" i="39" s="1"/>
  <c r="BN126" i="39"/>
  <c r="BO149" i="39"/>
  <c r="BP149" i="39"/>
  <c r="BS149" i="39" s="1"/>
  <c r="BQ149" i="39"/>
  <c r="BR149" i="39" s="1"/>
  <c r="BP168" i="39"/>
  <c r="BS168" i="39" s="1"/>
  <c r="BP159" i="39"/>
  <c r="BS159" i="39" s="1"/>
  <c r="BQ152" i="39"/>
  <c r="BR152" i="39" s="1"/>
  <c r="BQ185" i="39"/>
  <c r="BR185" i="39" s="1"/>
  <c r="BO232" i="39"/>
  <c r="BQ230" i="39"/>
  <c r="BR230" i="39" s="1"/>
  <c r="BQ231" i="39"/>
  <c r="BR231" i="39" s="1"/>
  <c r="BQ232" i="39"/>
  <c r="BR232" i="39" s="1"/>
  <c r="BQ233" i="39"/>
  <c r="BR233" i="39" s="1"/>
  <c r="BQ192" i="39"/>
  <c r="BR192" i="39" s="1"/>
  <c r="BQ193" i="39"/>
  <c r="BR193" i="39" s="1"/>
  <c r="BQ194" i="39"/>
  <c r="BR194" i="39" s="1"/>
  <c r="BQ195" i="39"/>
  <c r="BR195" i="39" s="1"/>
  <c r="BQ196" i="39"/>
  <c r="BR196" i="39" s="1"/>
  <c r="BQ197" i="39"/>
  <c r="BR197" i="39" s="1"/>
  <c r="BQ198" i="39"/>
  <c r="BR198" i="39" s="1"/>
  <c r="BQ199" i="39"/>
  <c r="BR199" i="39" s="1"/>
  <c r="BQ200" i="39"/>
  <c r="BR200" i="39" s="1"/>
  <c r="BQ201" i="39"/>
  <c r="BR201" i="39" s="1"/>
  <c r="BQ202" i="39"/>
  <c r="BR202" i="39" s="1"/>
  <c r="BQ203" i="39"/>
  <c r="BR203" i="39" s="1"/>
  <c r="BQ204" i="39"/>
  <c r="BR204" i="39" s="1"/>
  <c r="BQ205" i="39"/>
  <c r="BR205" i="39" s="1"/>
  <c r="BP270" i="39"/>
  <c r="BS270" i="39" s="1"/>
  <c r="BP249" i="39"/>
  <c r="BS249" i="39" s="1"/>
  <c r="BQ217" i="39"/>
  <c r="BR217" i="39" s="1"/>
  <c r="BQ222" i="39"/>
  <c r="BR222" i="39" s="1"/>
  <c r="BP233" i="39"/>
  <c r="BS233" i="39" s="1"/>
  <c r="BP195" i="39"/>
  <c r="BS195" i="39" s="1"/>
  <c r="BP199" i="39"/>
  <c r="BS199" i="39" s="1"/>
  <c r="BP203" i="39"/>
  <c r="BS203" i="39" s="1"/>
  <c r="BP208" i="39"/>
  <c r="BS208" i="39" s="1"/>
  <c r="BQ209" i="39"/>
  <c r="BR209" i="39" s="1"/>
  <c r="BP174" i="39"/>
  <c r="BS174" i="39" s="1"/>
  <c r="BQ175" i="39"/>
  <c r="BR175" i="39" s="1"/>
  <c r="BP285" i="39"/>
  <c r="BS285" i="39" s="1"/>
  <c r="BP260" i="39"/>
  <c r="BS260" i="39" s="1"/>
  <c r="BP275" i="39"/>
  <c r="BS275" i="39" s="1"/>
  <c r="BP248" i="39"/>
  <c r="BS248" i="39" s="1"/>
  <c r="BQ206" i="39"/>
  <c r="BR206" i="39" s="1"/>
  <c r="BP171" i="39"/>
  <c r="BS171" i="39" s="1"/>
  <c r="BQ172" i="39"/>
  <c r="BR172" i="39" s="1"/>
  <c r="BP255" i="39"/>
  <c r="BS255" i="39" s="1"/>
  <c r="BP267" i="39"/>
  <c r="BS267" i="39" s="1"/>
  <c r="BQ248" i="39"/>
  <c r="BR248" i="39" s="1"/>
  <c r="BP250" i="39"/>
  <c r="BS250" i="39" s="1"/>
  <c r="BP223" i="39"/>
  <c r="BS223" i="39" s="1"/>
  <c r="BP231" i="39"/>
  <c r="BS231" i="39" s="1"/>
  <c r="BP193" i="39"/>
  <c r="BS193" i="39" s="1"/>
  <c r="BP197" i="39"/>
  <c r="BS197" i="39" s="1"/>
  <c r="BP201" i="39"/>
  <c r="BS201" i="39" s="1"/>
  <c r="BP205" i="39"/>
  <c r="BS205" i="39" s="1"/>
  <c r="BP212" i="39"/>
  <c r="BS212" i="39" s="1"/>
  <c r="BQ171" i="39"/>
  <c r="BR171" i="39" s="1"/>
  <c r="BP178" i="39"/>
  <c r="BS178" i="39" s="1"/>
  <c r="BQ179" i="39"/>
  <c r="BR179" i="39" s="1"/>
  <c r="BP298" i="39"/>
  <c r="BS298" i="39" s="1"/>
  <c r="BP288" i="39"/>
  <c r="BS288" i="39" s="1"/>
  <c r="BP258" i="39"/>
  <c r="BS258" i="39" s="1"/>
  <c r="BQ250" i="39"/>
  <c r="BR250" i="39" s="1"/>
  <c r="BQ223" i="39"/>
  <c r="BR223" i="39" s="1"/>
  <c r="BP211" i="39"/>
  <c r="BS211" i="39" s="1"/>
  <c r="BQ212" i="39"/>
  <c r="BR212" i="39" s="1"/>
  <c r="BP261" i="39"/>
  <c r="BS261" i="39" s="1"/>
  <c r="BP236" i="39"/>
  <c r="BS236" i="39" s="1"/>
  <c r="BP247" i="39"/>
  <c r="BS247" i="39" s="1"/>
  <c r="BP215" i="39"/>
  <c r="BS215" i="39" s="1"/>
  <c r="BQ220" i="39"/>
  <c r="BR220" i="39" s="1"/>
  <c r="BQ225" i="39"/>
  <c r="BR225" i="39" s="1"/>
  <c r="BP230" i="39"/>
  <c r="BS230" i="39" s="1"/>
  <c r="BP192" i="39"/>
  <c r="BS192" i="39" s="1"/>
  <c r="BP196" i="39"/>
  <c r="BS196" i="39" s="1"/>
  <c r="BP200" i="39"/>
  <c r="BS200" i="39" s="1"/>
  <c r="BP204" i="39"/>
  <c r="BS204" i="39" s="1"/>
  <c r="BP210" i="39"/>
  <c r="BS210" i="39" s="1"/>
  <c r="BQ211" i="39"/>
  <c r="BR211" i="39" s="1"/>
  <c r="BP296" i="39"/>
  <c r="BS296" i="39" s="1"/>
  <c r="BP241" i="39"/>
  <c r="BS241" i="39" s="1"/>
  <c r="BP232" i="39"/>
  <c r="BS232" i="39" s="1"/>
  <c r="BP198" i="39"/>
  <c r="BS198" i="39" s="1"/>
  <c r="BP206" i="39"/>
  <c r="BS206" i="39" s="1"/>
  <c r="BQ177" i="39"/>
  <c r="BR177" i="39" s="1"/>
  <c r="BQ180" i="39"/>
  <c r="BR180" i="39" s="1"/>
  <c r="BQ154" i="39"/>
  <c r="BR154" i="39" s="1"/>
  <c r="BQ162" i="39"/>
  <c r="BR162" i="39" s="1"/>
  <c r="BP169" i="39"/>
  <c r="BS169" i="39" s="1"/>
  <c r="BQ170" i="39"/>
  <c r="BR170" i="39" s="1"/>
  <c r="BP291" i="39"/>
  <c r="BS291" i="39" s="1"/>
  <c r="BQ251" i="39"/>
  <c r="BR251" i="39" s="1"/>
  <c r="BP216" i="39"/>
  <c r="BS216" i="39" s="1"/>
  <c r="BP277" i="39"/>
  <c r="BS277" i="39" s="1"/>
  <c r="BP280" i="39"/>
  <c r="BS280" i="39" s="1"/>
  <c r="BQ249" i="39"/>
  <c r="BR249" i="39" s="1"/>
  <c r="BP207" i="39"/>
  <c r="BS207" i="39" s="1"/>
  <c r="BQ174" i="39"/>
  <c r="BR174" i="39" s="1"/>
  <c r="BP176" i="39"/>
  <c r="BS176" i="39" s="1"/>
  <c r="BP184" i="39"/>
  <c r="BS184" i="39" s="1"/>
  <c r="BP150" i="39"/>
  <c r="BS150" i="39" s="1"/>
  <c r="BP158" i="39"/>
  <c r="BS158" i="39" s="1"/>
  <c r="BP301" i="39"/>
  <c r="BS301" i="39" s="1"/>
  <c r="BP256" i="39"/>
  <c r="BS256" i="39" s="1"/>
  <c r="BP264" i="39"/>
  <c r="BS264" i="39" s="1"/>
  <c r="BP239" i="39"/>
  <c r="BS239" i="39" s="1"/>
  <c r="BP214" i="39"/>
  <c r="BS214" i="39" s="1"/>
  <c r="BP194" i="39"/>
  <c r="BS194" i="39" s="1"/>
  <c r="BP202" i="39"/>
  <c r="BS202" i="39" s="1"/>
  <c r="BQ207" i="39"/>
  <c r="BR207" i="39" s="1"/>
  <c r="BQ176" i="39"/>
  <c r="BR176" i="39" s="1"/>
  <c r="BQ184" i="39"/>
  <c r="BR184" i="39" s="1"/>
  <c r="BQ150" i="39"/>
  <c r="BR150" i="39" s="1"/>
  <c r="BQ158" i="39"/>
  <c r="BR158" i="39" s="1"/>
  <c r="BP274" i="39"/>
  <c r="BS274" i="39" s="1"/>
  <c r="BQ214" i="39"/>
  <c r="BR214" i="39" s="1"/>
  <c r="BP221" i="39"/>
  <c r="BS221" i="39" s="1"/>
  <c r="BQ210" i="39"/>
  <c r="BR210" i="39" s="1"/>
  <c r="BQ178" i="39"/>
  <c r="BR178" i="39" s="1"/>
  <c r="BP284" i="39"/>
  <c r="BS284" i="39" s="1"/>
  <c r="BP173" i="39"/>
  <c r="BS173" i="39" s="1"/>
  <c r="BP181" i="39"/>
  <c r="BS181" i="39" s="1"/>
  <c r="BP189" i="39"/>
  <c r="BS189" i="39" s="1"/>
  <c r="BP155" i="39"/>
  <c r="BS155" i="39" s="1"/>
  <c r="BP163" i="39"/>
  <c r="BS163" i="39" s="1"/>
  <c r="BP129" i="39"/>
  <c r="BS129" i="39" s="1"/>
  <c r="BP188" i="39"/>
  <c r="BS188" i="39" s="1"/>
  <c r="BQ163" i="39"/>
  <c r="BR163" i="39" s="1"/>
  <c r="BQ168" i="39"/>
  <c r="BR168" i="39" s="1"/>
  <c r="BQ208" i="39"/>
  <c r="BR208" i="39" s="1"/>
  <c r="BQ181" i="39"/>
  <c r="BR181" i="39" s="1"/>
  <c r="BQ186" i="39"/>
  <c r="BR186" i="39" s="1"/>
  <c r="BP154" i="39"/>
  <c r="BS154" i="39" s="1"/>
  <c r="BQ129" i="39"/>
  <c r="BR129" i="39" s="1"/>
  <c r="BP175" i="39"/>
  <c r="BS175" i="39" s="1"/>
  <c r="BP152" i="39"/>
  <c r="BS152" i="39" s="1"/>
  <c r="BQ169" i="39"/>
  <c r="BR169" i="39" s="1"/>
  <c r="BN19" i="39"/>
  <c r="AZ8" i="39"/>
  <c r="BN28" i="39"/>
  <c r="BP27" i="39"/>
  <c r="BS27" i="39" s="1"/>
  <c r="BP26" i="39"/>
  <c r="BS26" i="39" s="1"/>
  <c r="BP25" i="39"/>
  <c r="BS25" i="39" s="1"/>
  <c r="BP24" i="39"/>
  <c r="BS24" i="39" s="1"/>
  <c r="BP65" i="39"/>
  <c r="BS65" i="39" s="1"/>
  <c r="BP64" i="39"/>
  <c r="BS64" i="39" s="1"/>
  <c r="BP63" i="39"/>
  <c r="BS63" i="39" s="1"/>
  <c r="BP62" i="39"/>
  <c r="BS62" i="39" s="1"/>
  <c r="BP61" i="39"/>
  <c r="BS61" i="39" s="1"/>
  <c r="BP60" i="39"/>
  <c r="BS60" i="39" s="1"/>
  <c r="BP59" i="39"/>
  <c r="BS59" i="39" s="1"/>
  <c r="BP58" i="39"/>
  <c r="BS58" i="39" s="1"/>
  <c r="BP57" i="39"/>
  <c r="BS57" i="39" s="1"/>
  <c r="BQ83" i="39"/>
  <c r="BR83" i="39" s="1"/>
  <c r="BP79" i="39"/>
  <c r="BS79" i="39" s="1"/>
  <c r="BN77" i="39"/>
  <c r="BQ75" i="39"/>
  <c r="BR75" i="39" s="1"/>
  <c r="BP71" i="39"/>
  <c r="BS71" i="39" s="1"/>
  <c r="BN69" i="39"/>
  <c r="BQ67" i="39"/>
  <c r="BR67" i="39" s="1"/>
  <c r="BP105" i="39"/>
  <c r="BS105" i="39" s="1"/>
  <c r="BN103" i="39"/>
  <c r="BQ101" i="39"/>
  <c r="BR101" i="39" s="1"/>
  <c r="BP97" i="39"/>
  <c r="BS97" i="39" s="1"/>
  <c r="BN95" i="39"/>
  <c r="BQ93" i="39"/>
  <c r="BR93" i="39" s="1"/>
  <c r="BP89" i="39"/>
  <c r="BS89" i="39" s="1"/>
  <c r="BN87" i="39"/>
  <c r="BQ127" i="39"/>
  <c r="BR127" i="39" s="1"/>
  <c r="BP124" i="39"/>
  <c r="BS124" i="39" s="1"/>
  <c r="BQ124" i="39"/>
  <c r="BR124" i="39" s="1"/>
  <c r="BP113" i="39"/>
  <c r="BS113" i="39" s="1"/>
  <c r="BQ113" i="39"/>
  <c r="BR113" i="39" s="1"/>
  <c r="BP110" i="39"/>
  <c r="BS110" i="39" s="1"/>
  <c r="BQ110" i="39"/>
  <c r="BR110" i="39" s="1"/>
  <c r="BP148" i="39"/>
  <c r="BS148" i="39" s="1"/>
  <c r="BQ148" i="39"/>
  <c r="BR148" i="39" s="1"/>
  <c r="BO134" i="39"/>
  <c r="BP134" i="39"/>
  <c r="BS134" i="39" s="1"/>
  <c r="BQ134" i="39"/>
  <c r="BR134" i="39" s="1"/>
  <c r="BO130" i="39"/>
  <c r="BP130" i="39"/>
  <c r="BS130" i="39" s="1"/>
  <c r="BQ130" i="39"/>
  <c r="BR130" i="39" s="1"/>
  <c r="BO165" i="39"/>
  <c r="BP165" i="39"/>
  <c r="BS165" i="39" s="1"/>
  <c r="BQ165" i="39"/>
  <c r="BR165" i="39" s="1"/>
  <c r="BQ161" i="39"/>
  <c r="BR161" i="39" s="1"/>
  <c r="BQ155" i="39"/>
  <c r="BR155" i="39" s="1"/>
  <c r="BQ187" i="39"/>
  <c r="BR187" i="39" s="1"/>
  <c r="BQ246" i="39"/>
  <c r="BR246" i="39" s="1"/>
  <c r="BQ44" i="39"/>
  <c r="BR44" i="39" s="1"/>
  <c r="BQ43" i="39"/>
  <c r="BR43" i="39" s="1"/>
  <c r="BQ42" i="39"/>
  <c r="BR42" i="39" s="1"/>
  <c r="BQ41" i="39"/>
  <c r="BR41" i="39" s="1"/>
  <c r="BQ40" i="39"/>
  <c r="BR40" i="39" s="1"/>
  <c r="BQ39" i="39"/>
  <c r="BR39" i="39" s="1"/>
  <c r="BQ38" i="39"/>
  <c r="BR38" i="39" s="1"/>
  <c r="BQ37" i="39"/>
  <c r="BR37" i="39" s="1"/>
  <c r="BQ36" i="39"/>
  <c r="BR36" i="39" s="1"/>
  <c r="BQ35" i="39"/>
  <c r="BR35" i="39" s="1"/>
  <c r="BQ34" i="39"/>
  <c r="BR34" i="39" s="1"/>
  <c r="BQ33" i="39"/>
  <c r="BR33" i="39" s="1"/>
  <c r="BQ32" i="39"/>
  <c r="BR32" i="39" s="1"/>
  <c r="BQ31" i="39"/>
  <c r="BR31" i="39" s="1"/>
  <c r="BQ30" i="39"/>
  <c r="BR30" i="39" s="1"/>
  <c r="BO26" i="39"/>
  <c r="BO65" i="39"/>
  <c r="BO63" i="39"/>
  <c r="BO62" i="39"/>
  <c r="BO61" i="39"/>
  <c r="BO60" i="39"/>
  <c r="BO59" i="39"/>
  <c r="BN56" i="39"/>
  <c r="BN52" i="39"/>
  <c r="BN48" i="39"/>
  <c r="BN86" i="39"/>
  <c r="BP82" i="39"/>
  <c r="BS82" i="39" s="1"/>
  <c r="BN80" i="39"/>
  <c r="BP74" i="39"/>
  <c r="BS74" i="39" s="1"/>
  <c r="BN72" i="39"/>
  <c r="BO67" i="39"/>
  <c r="BP66" i="39"/>
  <c r="BS66" i="39" s="1"/>
  <c r="BN106" i="39"/>
  <c r="BO101" i="39"/>
  <c r="BP100" i="39"/>
  <c r="BS100" i="39" s="1"/>
  <c r="BN98" i="39"/>
  <c r="BO93" i="39"/>
  <c r="BP92" i="39"/>
  <c r="BS92" i="39" s="1"/>
  <c r="BN90" i="39"/>
  <c r="BO127" i="39"/>
  <c r="BP126" i="39"/>
  <c r="BS126" i="39" s="1"/>
  <c r="BP141" i="39"/>
  <c r="BS141" i="39" s="1"/>
  <c r="BQ141" i="39"/>
  <c r="BR141" i="39" s="1"/>
  <c r="BO129" i="39"/>
  <c r="BP161" i="39"/>
  <c r="BS161" i="39" s="1"/>
  <c r="BO190" i="39"/>
  <c r="BP190" i="39"/>
  <c r="BS190" i="39" s="1"/>
  <c r="BQ190" i="39"/>
  <c r="BR190" i="39" s="1"/>
  <c r="BP179" i="39"/>
  <c r="BS179" i="39" s="1"/>
  <c r="BO174" i="39"/>
  <c r="BQ224" i="39"/>
  <c r="BR224" i="39" s="1"/>
  <c r="BQ99" i="39"/>
  <c r="BR99" i="39" s="1"/>
  <c r="BP95" i="39"/>
  <c r="BS95" i="39" s="1"/>
  <c r="BN93" i="39"/>
  <c r="BQ91" i="39"/>
  <c r="BR91" i="39" s="1"/>
  <c r="BP87" i="39"/>
  <c r="BS87" i="39" s="1"/>
  <c r="BN127" i="39"/>
  <c r="BQ125" i="39"/>
  <c r="BR125" i="39" s="1"/>
  <c r="BO116" i="39"/>
  <c r="BP116" i="39"/>
  <c r="BS116" i="39" s="1"/>
  <c r="BQ116" i="39"/>
  <c r="BR116" i="39" s="1"/>
  <c r="BO147" i="39"/>
  <c r="BP147" i="39"/>
  <c r="BS147" i="39" s="1"/>
  <c r="BQ147" i="39"/>
  <c r="BR147" i="39" s="1"/>
  <c r="BO144" i="39"/>
  <c r="BP144" i="39"/>
  <c r="BS144" i="39" s="1"/>
  <c r="BQ144" i="39"/>
  <c r="BR144" i="39" s="1"/>
  <c r="BP140" i="39"/>
  <c r="BS140" i="39" s="1"/>
  <c r="BQ140" i="39"/>
  <c r="BR140" i="39" s="1"/>
  <c r="BP167" i="39"/>
  <c r="BS167" i="39" s="1"/>
  <c r="BQ160" i="39"/>
  <c r="BR160" i="39" s="1"/>
  <c r="BQ151" i="39"/>
  <c r="BR151" i="39" s="1"/>
  <c r="BP151" i="39"/>
  <c r="BS151" i="39" s="1"/>
  <c r="BO183" i="39"/>
  <c r="BP183" i="39"/>
  <c r="BS183" i="39" s="1"/>
  <c r="BQ183" i="39"/>
  <c r="BR183" i="39" s="1"/>
  <c r="BP244" i="39"/>
  <c r="BS244" i="39" s="1"/>
  <c r="BP98" i="39"/>
  <c r="BS98" i="39" s="1"/>
  <c r="BQ94" i="39"/>
  <c r="BR94" i="39" s="1"/>
  <c r="BO91" i="39"/>
  <c r="BP90" i="39"/>
  <c r="BS90" i="39" s="1"/>
  <c r="BN88" i="39"/>
  <c r="BQ128" i="39"/>
  <c r="BR128" i="39" s="1"/>
  <c r="BP123" i="39"/>
  <c r="BS123" i="39" s="1"/>
  <c r="BQ123" i="39"/>
  <c r="BR123" i="39" s="1"/>
  <c r="BP133" i="39"/>
  <c r="BS133" i="39" s="1"/>
  <c r="BQ133" i="39"/>
  <c r="BR133" i="39" s="1"/>
  <c r="BP170" i="39"/>
  <c r="BS170" i="39" s="1"/>
  <c r="BP160" i="39"/>
  <c r="BS160" i="39" s="1"/>
  <c r="BO150" i="39"/>
  <c r="BQ189" i="39"/>
  <c r="BR189" i="39" s="1"/>
  <c r="BP186" i="39"/>
  <c r="BS186" i="39" s="1"/>
  <c r="BQ173" i="39"/>
  <c r="BR173" i="39" s="1"/>
  <c r="BO198" i="39"/>
  <c r="BP222" i="39"/>
  <c r="BS222" i="39" s="1"/>
  <c r="BQ215" i="39"/>
  <c r="BR215" i="39" s="1"/>
  <c r="BP257" i="39"/>
  <c r="BS257" i="39" s="1"/>
  <c r="BO13" i="39"/>
  <c r="BO12" i="39"/>
  <c r="BN44" i="39"/>
  <c r="BN43" i="39"/>
  <c r="BN42" i="39"/>
  <c r="BN41" i="39"/>
  <c r="BN40" i="39"/>
  <c r="BN39" i="39"/>
  <c r="BN38" i="39"/>
  <c r="BN37" i="39"/>
  <c r="BN36" i="39"/>
  <c r="BN35" i="39"/>
  <c r="BN34" i="39"/>
  <c r="BN33" i="39"/>
  <c r="BN32" i="39"/>
  <c r="BN31" i="39"/>
  <c r="BN30" i="39"/>
  <c r="BP83" i="39"/>
  <c r="BS83" i="39" s="1"/>
  <c r="BN81" i="39"/>
  <c r="BQ79" i="39"/>
  <c r="BR79" i="39" s="1"/>
  <c r="BO76" i="39"/>
  <c r="BP75" i="39"/>
  <c r="BS75" i="39" s="1"/>
  <c r="BN73" i="39"/>
  <c r="BQ71" i="39"/>
  <c r="BR71" i="39" s="1"/>
  <c r="BP67" i="39"/>
  <c r="BS67" i="39" s="1"/>
  <c r="BN107" i="39"/>
  <c r="BQ105" i="39"/>
  <c r="BR105" i="39" s="1"/>
  <c r="BO102" i="39"/>
  <c r="BP101" i="39"/>
  <c r="BS101" i="39" s="1"/>
  <c r="BN99" i="39"/>
  <c r="BQ97" i="39"/>
  <c r="BR97" i="39" s="1"/>
  <c r="BO94" i="39"/>
  <c r="BP93" i="39"/>
  <c r="BS93" i="39" s="1"/>
  <c r="BN91" i="39"/>
  <c r="BQ89" i="39"/>
  <c r="BR89" i="39" s="1"/>
  <c r="BO128" i="39"/>
  <c r="BP127" i="39"/>
  <c r="BS127" i="39" s="1"/>
  <c r="BN125" i="39"/>
  <c r="BO122" i="39"/>
  <c r="BP122" i="39"/>
  <c r="BS122" i="39" s="1"/>
  <c r="BQ122" i="39"/>
  <c r="BR122" i="39" s="1"/>
  <c r="BO108" i="39"/>
  <c r="BP108" i="39"/>
  <c r="BS108" i="39" s="1"/>
  <c r="BQ108" i="39"/>
  <c r="BR108" i="39" s="1"/>
  <c r="BO139" i="39"/>
  <c r="BP139" i="39"/>
  <c r="BS139" i="39" s="1"/>
  <c r="BQ139" i="39"/>
  <c r="BR139" i="39" s="1"/>
  <c r="BO136" i="39"/>
  <c r="BP136" i="39"/>
  <c r="BS136" i="39" s="1"/>
  <c r="BQ136" i="39"/>
  <c r="BR136" i="39" s="1"/>
  <c r="BP132" i="39"/>
  <c r="BS132" i="39" s="1"/>
  <c r="BQ132" i="39"/>
  <c r="BR132" i="39" s="1"/>
  <c r="BO166" i="39"/>
  <c r="BQ153" i="39"/>
  <c r="BR153" i="39" s="1"/>
  <c r="BO186" i="39"/>
  <c r="BO182" i="39"/>
  <c r="BP182" i="39"/>
  <c r="BS182" i="39" s="1"/>
  <c r="BQ182" i="39"/>
  <c r="BR182" i="39" s="1"/>
  <c r="BP177" i="39"/>
  <c r="BS177" i="39" s="1"/>
  <c r="BP120" i="39"/>
  <c r="BS120" i="39" s="1"/>
  <c r="BQ120" i="39"/>
  <c r="BR120" i="39" s="1"/>
  <c r="BP112" i="39"/>
  <c r="BS112" i="39" s="1"/>
  <c r="BQ112" i="39"/>
  <c r="BR112" i="39" s="1"/>
  <c r="BO146" i="39"/>
  <c r="BP146" i="39"/>
  <c r="BS146" i="39" s="1"/>
  <c r="BQ146" i="39"/>
  <c r="BR146" i="39" s="1"/>
  <c r="BO138" i="39"/>
  <c r="BP138" i="39"/>
  <c r="BS138" i="39" s="1"/>
  <c r="BQ138" i="39"/>
  <c r="BR138" i="39" s="1"/>
  <c r="BO160" i="39"/>
  <c r="BP187" i="39"/>
  <c r="BS187" i="39" s="1"/>
  <c r="BP226" i="39"/>
  <c r="BS226" i="39" s="1"/>
  <c r="BQ226" i="39"/>
  <c r="BR226" i="39" s="1"/>
  <c r="BO219" i="39"/>
  <c r="BQ219" i="39"/>
  <c r="BR219" i="39" s="1"/>
  <c r="BP219" i="39"/>
  <c r="BS219" i="39" s="1"/>
  <c r="BO117" i="39"/>
  <c r="BP117" i="39"/>
  <c r="BS117" i="39" s="1"/>
  <c r="BQ117" i="39"/>
  <c r="BR117" i="39" s="1"/>
  <c r="BO109" i="39"/>
  <c r="BP109" i="39"/>
  <c r="BS109" i="39" s="1"/>
  <c r="BQ109" i="39"/>
  <c r="BR109" i="39" s="1"/>
  <c r="BO143" i="39"/>
  <c r="BP143" i="39"/>
  <c r="BS143" i="39" s="1"/>
  <c r="BQ143" i="39"/>
  <c r="BR143" i="39" s="1"/>
  <c r="BO135" i="39"/>
  <c r="BP135" i="39"/>
  <c r="BS135" i="39" s="1"/>
  <c r="BQ135" i="39"/>
  <c r="BR135" i="39" s="1"/>
  <c r="BQ167" i="39"/>
  <c r="BR167" i="39" s="1"/>
  <c r="BO164" i="39"/>
  <c r="BP164" i="39"/>
  <c r="BS164" i="39" s="1"/>
  <c r="BQ164" i="39"/>
  <c r="BR164" i="39" s="1"/>
  <c r="BO157" i="39"/>
  <c r="BP157" i="39"/>
  <c r="BS157" i="39" s="1"/>
  <c r="BQ157" i="39"/>
  <c r="BR157" i="39" s="1"/>
  <c r="BP119" i="39"/>
  <c r="BS119" i="39" s="1"/>
  <c r="BQ119" i="39"/>
  <c r="BR119" i="39" s="1"/>
  <c r="BO111" i="39"/>
  <c r="BP111" i="39"/>
  <c r="BS111" i="39" s="1"/>
  <c r="BQ111" i="39"/>
  <c r="BR111" i="39" s="1"/>
  <c r="BO145" i="39"/>
  <c r="BP145" i="39"/>
  <c r="BS145" i="39" s="1"/>
  <c r="BQ145" i="39"/>
  <c r="BR145" i="39" s="1"/>
  <c r="BP137" i="39"/>
  <c r="BS137" i="39" s="1"/>
  <c r="BQ137" i="39"/>
  <c r="BR137" i="39" s="1"/>
  <c r="BQ159" i="39"/>
  <c r="BR159" i="39" s="1"/>
  <c r="BO156" i="39"/>
  <c r="BP156" i="39"/>
  <c r="BS156" i="39" s="1"/>
  <c r="BQ156" i="39"/>
  <c r="BR156" i="39" s="1"/>
  <c r="BO191" i="39"/>
  <c r="BP191" i="39"/>
  <c r="BS191" i="39" s="1"/>
  <c r="BQ191" i="39"/>
  <c r="BR191" i="39" s="1"/>
  <c r="BQ269" i="39"/>
  <c r="BR269" i="39" s="1"/>
  <c r="BP269" i="39"/>
  <c r="BS269" i="39" s="1"/>
  <c r="BO269" i="39"/>
  <c r="BQ240" i="39"/>
  <c r="BR240" i="39" s="1"/>
  <c r="BO240" i="39"/>
  <c r="BP240" i="39"/>
  <c r="BS240" i="39" s="1"/>
  <c r="BQ265" i="39"/>
  <c r="BR265" i="39" s="1"/>
  <c r="BO265" i="39"/>
  <c r="BP265" i="39"/>
  <c r="BS265" i="39" s="1"/>
  <c r="BQ257" i="39"/>
  <c r="BR257" i="39" s="1"/>
  <c r="BO257" i="39"/>
  <c r="BQ290" i="39"/>
  <c r="BR290" i="39" s="1"/>
  <c r="BP290" i="39"/>
  <c r="BS290" i="39" s="1"/>
  <c r="BO290" i="39"/>
  <c r="BQ276" i="39"/>
  <c r="BR276" i="39" s="1"/>
  <c r="BO276" i="39"/>
  <c r="BP276" i="39"/>
  <c r="BS276" i="39" s="1"/>
  <c r="BP299" i="39"/>
  <c r="BS299" i="39" s="1"/>
  <c r="BQ166" i="39"/>
  <c r="BR166" i="39" s="1"/>
  <c r="BO253" i="39"/>
  <c r="BQ253" i="39"/>
  <c r="BR253" i="39" s="1"/>
  <c r="BP253" i="39"/>
  <c r="BS253" i="39" s="1"/>
  <c r="BQ271" i="39"/>
  <c r="BR271" i="39" s="1"/>
  <c r="BP271" i="39"/>
  <c r="BS271" i="39" s="1"/>
  <c r="BO271" i="39"/>
  <c r="BQ287" i="39"/>
  <c r="BR287" i="39" s="1"/>
  <c r="BO287" i="39"/>
  <c r="BP287" i="39"/>
  <c r="BS287" i="39" s="1"/>
  <c r="BP228" i="39"/>
  <c r="BS228" i="39" s="1"/>
  <c r="BQ228" i="39"/>
  <c r="BR228" i="39" s="1"/>
  <c r="BQ221" i="39"/>
  <c r="BR221" i="39" s="1"/>
  <c r="BO224" i="39"/>
  <c r="BP224" i="39"/>
  <c r="BS224" i="39" s="1"/>
  <c r="BQ238" i="39"/>
  <c r="BR238" i="39" s="1"/>
  <c r="BO238" i="39"/>
  <c r="BP238" i="39"/>
  <c r="BS238" i="39" s="1"/>
  <c r="BQ292" i="39"/>
  <c r="BR292" i="39" s="1"/>
  <c r="BO292" i="39"/>
  <c r="BP292" i="39"/>
  <c r="BS292" i="39" s="1"/>
  <c r="BP289" i="39"/>
  <c r="BS289" i="39" s="1"/>
  <c r="BQ283" i="39"/>
  <c r="BR283" i="39" s="1"/>
  <c r="BO283" i="39"/>
  <c r="BP283" i="39"/>
  <c r="BS283" i="39" s="1"/>
  <c r="BP246" i="39"/>
  <c r="BS246" i="39" s="1"/>
  <c r="BO242" i="39"/>
  <c r="BQ273" i="39"/>
  <c r="BR273" i="39" s="1"/>
  <c r="BO273" i="39"/>
  <c r="BP273" i="39"/>
  <c r="BS273" i="39" s="1"/>
  <c r="BQ216" i="39"/>
  <c r="BR216" i="39" s="1"/>
  <c r="BQ213" i="39"/>
  <c r="BR213" i="39" s="1"/>
  <c r="BP213" i="39"/>
  <c r="BS213" i="39" s="1"/>
  <c r="BQ259" i="39"/>
  <c r="BR259" i="39" s="1"/>
  <c r="BO259" i="39"/>
  <c r="BP259" i="39"/>
  <c r="BS259" i="39" s="1"/>
  <c r="BQ300" i="39"/>
  <c r="BR300" i="39" s="1"/>
  <c r="BP300" i="39"/>
  <c r="BS300" i="39" s="1"/>
  <c r="BO300" i="39"/>
  <c r="BQ239" i="39"/>
  <c r="BR239" i="39" s="1"/>
  <c r="BO239" i="39"/>
  <c r="BQ266" i="39"/>
  <c r="BR266" i="39" s="1"/>
  <c r="BO266" i="39"/>
  <c r="BQ264" i="39"/>
  <c r="BR264" i="39" s="1"/>
  <c r="BQ282" i="39"/>
  <c r="BR282" i="39" s="1"/>
  <c r="BP282" i="39"/>
  <c r="BS282" i="39" s="1"/>
  <c r="BQ229" i="39"/>
  <c r="BR229" i="39" s="1"/>
  <c r="BO227" i="39"/>
  <c r="BQ227" i="39"/>
  <c r="BR227" i="39" s="1"/>
  <c r="BP254" i="39"/>
  <c r="BS254" i="39" s="1"/>
  <c r="BP252" i="39"/>
  <c r="BS252" i="39" s="1"/>
  <c r="BQ252" i="39"/>
  <c r="BR252" i="39" s="1"/>
  <c r="BO234" i="39"/>
  <c r="BQ274" i="39"/>
  <c r="BR274" i="39" s="1"/>
  <c r="BO274" i="39"/>
  <c r="BQ272" i="39"/>
  <c r="BR272" i="39" s="1"/>
  <c r="BQ261" i="39"/>
  <c r="BR261" i="39" s="1"/>
  <c r="BO261" i="39"/>
  <c r="BQ291" i="39"/>
  <c r="BR291" i="39" s="1"/>
  <c r="BO291" i="39"/>
  <c r="BQ284" i="39"/>
  <c r="BR284" i="39" s="1"/>
  <c r="BO284" i="39"/>
  <c r="BQ301" i="39"/>
  <c r="BR301" i="39" s="1"/>
  <c r="BO301" i="39"/>
  <c r="BQ245" i="39"/>
  <c r="BR245" i="39" s="1"/>
  <c r="BP245" i="39"/>
  <c r="BS245" i="39" s="1"/>
  <c r="BQ243" i="39"/>
  <c r="BR243" i="39" s="1"/>
  <c r="BP243" i="39"/>
  <c r="BS243" i="39" s="1"/>
  <c r="BP220" i="39"/>
  <c r="BS220" i="39" s="1"/>
  <c r="BP218" i="39"/>
  <c r="BS218" i="39" s="1"/>
  <c r="BQ218" i="39"/>
  <c r="BR218" i="39" s="1"/>
  <c r="BO250" i="39"/>
  <c r="BQ247" i="39"/>
  <c r="BR247" i="39" s="1"/>
  <c r="BQ263" i="39"/>
  <c r="BR263" i="39" s="1"/>
  <c r="BP263" i="39"/>
  <c r="BS263" i="39" s="1"/>
  <c r="BO255" i="39"/>
  <c r="BQ295" i="39"/>
  <c r="BR295" i="39" s="1"/>
  <c r="BO295" i="39"/>
  <c r="BP295" i="39"/>
  <c r="BS295" i="39" s="1"/>
  <c r="BP281" i="39"/>
  <c r="BS281" i="39" s="1"/>
  <c r="BQ279" i="39"/>
  <c r="BR279" i="39" s="1"/>
  <c r="BO279" i="39"/>
  <c r="BP279" i="39"/>
  <c r="BS279" i="39" s="1"/>
  <c r="BP229" i="39"/>
  <c r="BS229" i="39" s="1"/>
  <c r="BQ254" i="39"/>
  <c r="BR254" i="39" s="1"/>
  <c r="BO251" i="39"/>
  <c r="BQ237" i="39"/>
  <c r="BR237" i="39" s="1"/>
  <c r="BP237" i="39"/>
  <c r="BS237" i="39" s="1"/>
  <c r="BQ235" i="39"/>
  <c r="BR235" i="39" s="1"/>
  <c r="BP235" i="39"/>
  <c r="BS235" i="39" s="1"/>
  <c r="BP272" i="39"/>
  <c r="BS272" i="39" s="1"/>
  <c r="BP266" i="39"/>
  <c r="BS266" i="39" s="1"/>
  <c r="BO264" i="39"/>
  <c r="BO282" i="39"/>
  <c r="BQ297" i="39"/>
  <c r="BR297" i="39" s="1"/>
  <c r="BP225" i="39"/>
  <c r="BS225" i="39" s="1"/>
  <c r="BP217" i="39"/>
  <c r="BS217" i="39" s="1"/>
  <c r="BP251" i="39"/>
  <c r="BS251" i="39" s="1"/>
  <c r="BP242" i="39"/>
  <c r="BS242" i="39" s="1"/>
  <c r="BQ241" i="39"/>
  <c r="BR241" i="39" s="1"/>
  <c r="BP234" i="39"/>
  <c r="BS234" i="39" s="1"/>
  <c r="BQ275" i="39"/>
  <c r="BR275" i="39" s="1"/>
  <c r="BP268" i="39"/>
  <c r="BS268" i="39" s="1"/>
  <c r="BQ267" i="39"/>
  <c r="BR267" i="39" s="1"/>
  <c r="BQ260" i="39"/>
  <c r="BR260" i="39" s="1"/>
  <c r="BQ258" i="39"/>
  <c r="BR258" i="39" s="1"/>
  <c r="BQ256" i="39"/>
  <c r="BR256" i="39" s="1"/>
  <c r="BP294" i="39"/>
  <c r="BS294" i="39" s="1"/>
  <c r="BQ293" i="39"/>
  <c r="BR293" i="39" s="1"/>
  <c r="BP286" i="39"/>
  <c r="BS286" i="39" s="1"/>
  <c r="BQ285" i="39"/>
  <c r="BR285" i="39" s="1"/>
  <c r="BP278" i="39"/>
  <c r="BS278" i="39" s="1"/>
  <c r="BQ277" i="39"/>
  <c r="BR277" i="39" s="1"/>
  <c r="BQ244" i="39"/>
  <c r="BR244" i="39" s="1"/>
  <c r="BQ236" i="39"/>
  <c r="BR236" i="39" s="1"/>
  <c r="BQ270" i="39"/>
  <c r="BR270" i="39" s="1"/>
  <c r="BQ296" i="39"/>
  <c r="BR296" i="39" s="1"/>
  <c r="BQ288" i="39"/>
  <c r="BR288" i="39" s="1"/>
  <c r="BQ280" i="39"/>
  <c r="BR280" i="39" s="1"/>
  <c r="BQ298" i="39"/>
  <c r="BR298" i="39" s="1"/>
  <c r="BQ242" i="39"/>
  <c r="BR242" i="39" s="1"/>
  <c r="BQ234" i="39"/>
  <c r="BR234" i="39" s="1"/>
  <c r="BQ268" i="39"/>
  <c r="BR268" i="39" s="1"/>
  <c r="BQ294" i="39"/>
  <c r="BR294" i="39" s="1"/>
  <c r="BQ286" i="39"/>
  <c r="BR286" i="39" s="1"/>
  <c r="BQ278" i="39"/>
  <c r="BR278" i="39" s="1"/>
  <c r="BP297" i="39"/>
  <c r="BS297" i="39" s="1"/>
  <c r="BQ255" i="39"/>
  <c r="BR255" i="39" s="1"/>
  <c r="BQ289" i="39"/>
  <c r="BR289" i="39" s="1"/>
  <c r="BQ281" i="39"/>
  <c r="BR281" i="39" s="1"/>
  <c r="BQ299" i="39"/>
  <c r="BR299" i="39" s="1"/>
  <c r="BO297" i="39"/>
  <c r="C21" i="39" l="1"/>
  <c r="BO6" i="39" s="1"/>
  <c r="BS262" i="39" s="1"/>
  <c r="BP262" i="39"/>
  <c r="N7" i="13" l="1"/>
  <c r="O7" i="13"/>
  <c r="M7" i="13"/>
  <c r="E6" i="52"/>
  <c r="D6" i="52" s="1"/>
  <c r="C6" i="52" s="1"/>
  <c r="E8" i="52"/>
  <c r="D8" i="52" s="1"/>
  <c r="C8" i="52" s="1"/>
  <c r="E13" i="52"/>
  <c r="E11" i="52" s="1"/>
  <c r="E4" i="52" l="1"/>
  <c r="D13" i="52"/>
  <c r="C4" i="52"/>
  <c r="D4" i="52"/>
  <c r="E16" i="52"/>
  <c r="E25" i="52" l="1"/>
  <c r="E26" i="52" s="1"/>
  <c r="E22" i="52"/>
  <c r="E20" i="52" s="1"/>
  <c r="C13" i="52"/>
  <c r="C11" i="52" s="1"/>
  <c r="C16" i="52" s="1"/>
  <c r="D11" i="52"/>
  <c r="D16" i="52" s="1"/>
  <c r="C22" i="52" l="1"/>
  <c r="C20" i="52"/>
  <c r="C25" i="52"/>
  <c r="D17" i="52"/>
  <c r="N6" i="13" s="1"/>
  <c r="D22" i="52"/>
  <c r="D20" i="52" s="1"/>
  <c r="D25" i="52"/>
  <c r="D26" i="52" s="1"/>
  <c r="C17" i="52"/>
  <c r="M6" i="13" s="1"/>
  <c r="C26" i="52" l="1"/>
  <c r="K17" i="52" l="1"/>
  <c r="H14" i="52"/>
  <c r="I14" i="52"/>
  <c r="J14" i="52"/>
  <c r="K14" i="52"/>
  <c r="L14" i="52"/>
  <c r="M14" i="52"/>
  <c r="H9" i="52"/>
  <c r="I9" i="52"/>
  <c r="J9" i="52"/>
  <c r="K9" i="52"/>
  <c r="L9" i="52"/>
  <c r="M9" i="52"/>
  <c r="H7" i="52"/>
  <c r="I7" i="52"/>
  <c r="J7" i="52"/>
  <c r="K7" i="52"/>
  <c r="L7" i="52"/>
  <c r="M7" i="52"/>
  <c r="I11" i="52"/>
  <c r="J11" i="52"/>
  <c r="K11" i="52"/>
  <c r="L11" i="52"/>
  <c r="M11" i="52"/>
  <c r="N11" i="52"/>
  <c r="I4" i="52"/>
  <c r="J4" i="52"/>
  <c r="K4" i="52"/>
  <c r="L4" i="52"/>
  <c r="M4" i="52"/>
  <c r="N4" i="52"/>
  <c r="M17" i="52"/>
  <c r="N17" i="52"/>
  <c r="O17" i="52"/>
  <c r="P17" i="52"/>
  <c r="I34" i="52"/>
  <c r="J34" i="52"/>
  <c r="K34" i="52"/>
  <c r="L34" i="52"/>
  <c r="M34" i="52"/>
  <c r="N34" i="52"/>
  <c r="O34" i="52"/>
  <c r="P34" i="52"/>
  <c r="I23" i="52"/>
  <c r="J23" i="52"/>
  <c r="K23" i="52"/>
  <c r="L23" i="52"/>
  <c r="M23" i="52"/>
  <c r="N23" i="52"/>
  <c r="O23" i="52"/>
  <c r="P23" i="52"/>
  <c r="I27" i="52"/>
  <c r="J27" i="52"/>
  <c r="K27" i="52"/>
  <c r="L27" i="52"/>
  <c r="M27" i="52"/>
  <c r="N27" i="52"/>
  <c r="O27" i="52"/>
  <c r="P27" i="52"/>
  <c r="G26" i="52"/>
  <c r="H26" i="52"/>
  <c r="I26" i="52"/>
  <c r="J26" i="52"/>
  <c r="K26" i="52"/>
  <c r="L26" i="52"/>
  <c r="M26" i="52"/>
  <c r="N26" i="52"/>
  <c r="O26" i="52"/>
  <c r="P26" i="52"/>
  <c r="F26" i="52"/>
  <c r="F14" i="52"/>
  <c r="F9" i="52"/>
  <c r="F7" i="52"/>
  <c r="F11" i="52"/>
  <c r="F16" i="52" s="1"/>
  <c r="F4" i="52"/>
  <c r="G7" i="52"/>
  <c r="G9" i="52"/>
  <c r="G14" i="52"/>
  <c r="I17" i="52"/>
  <c r="J17" i="52"/>
  <c r="L17" i="52"/>
  <c r="G4" i="52"/>
  <c r="H11" i="52"/>
  <c r="G11" i="52"/>
  <c r="H4" i="52"/>
  <c r="AE210" i="19"/>
  <c r="AG210" i="19"/>
  <c r="AH210" i="19"/>
  <c r="AI210" i="19"/>
  <c r="AJ210" i="19"/>
  <c r="AK210" i="19"/>
  <c r="AL210" i="19"/>
  <c r="AM210" i="19"/>
  <c r="BZ210" i="19"/>
  <c r="CA210" i="19"/>
  <c r="CC210" i="19"/>
  <c r="CD210" i="19"/>
  <c r="AE211" i="19"/>
  <c r="AG211" i="19"/>
  <c r="AH211" i="19"/>
  <c r="AI211" i="19"/>
  <c r="AJ211" i="19"/>
  <c r="AK211" i="19"/>
  <c r="AL211" i="19"/>
  <c r="AM211" i="19"/>
  <c r="BZ211" i="19"/>
  <c r="CA211" i="19"/>
  <c r="CC211" i="19"/>
  <c r="CD211" i="19"/>
  <c r="AE212" i="19"/>
  <c r="AG212" i="19"/>
  <c r="AH212" i="19"/>
  <c r="AI212" i="19"/>
  <c r="AJ212" i="19"/>
  <c r="AK212" i="19"/>
  <c r="AL212" i="19"/>
  <c r="AM212" i="19"/>
  <c r="BZ212" i="19"/>
  <c r="CA212" i="19"/>
  <c r="CC212" i="19"/>
  <c r="CD212" i="19"/>
  <c r="AE213" i="19"/>
  <c r="AG213" i="19"/>
  <c r="AH213" i="19"/>
  <c r="AI213" i="19"/>
  <c r="AJ213" i="19"/>
  <c r="AK213" i="19"/>
  <c r="AL213" i="19"/>
  <c r="AM213" i="19"/>
  <c r="BZ213" i="19"/>
  <c r="CA213" i="19"/>
  <c r="CC213" i="19"/>
  <c r="CD213" i="19"/>
  <c r="AE214" i="19"/>
  <c r="AG214" i="19"/>
  <c r="AH214" i="19"/>
  <c r="AI214" i="19"/>
  <c r="AJ214" i="19"/>
  <c r="AK214" i="19"/>
  <c r="AL214" i="19"/>
  <c r="AM214" i="19"/>
  <c r="BZ214" i="19"/>
  <c r="CA214" i="19"/>
  <c r="CC214" i="19"/>
  <c r="CD214" i="19"/>
  <c r="AE215" i="19"/>
  <c r="AG215" i="19"/>
  <c r="AH215" i="19"/>
  <c r="AI215" i="19"/>
  <c r="AJ215" i="19"/>
  <c r="AK215" i="19"/>
  <c r="AL215" i="19"/>
  <c r="AM215" i="19"/>
  <c r="BZ215" i="19"/>
  <c r="CA215" i="19"/>
  <c r="CC215" i="19"/>
  <c r="CD215" i="19"/>
  <c r="AE216" i="19"/>
  <c r="AG216" i="19"/>
  <c r="AH216" i="19"/>
  <c r="AI216" i="19"/>
  <c r="AJ216" i="19"/>
  <c r="AK216" i="19"/>
  <c r="AL216" i="19"/>
  <c r="AM216" i="19"/>
  <c r="AE217" i="19"/>
  <c r="AG217" i="19"/>
  <c r="AH217" i="19"/>
  <c r="AI217" i="19"/>
  <c r="AJ217" i="19"/>
  <c r="AK217" i="19"/>
  <c r="AL217" i="19"/>
  <c r="AM217" i="19"/>
  <c r="BZ197" i="19"/>
  <c r="CA197" i="19"/>
  <c r="CC197" i="19"/>
  <c r="CD197" i="19"/>
  <c r="BZ198" i="19"/>
  <c r="CA198" i="19"/>
  <c r="CC198" i="19"/>
  <c r="CD198" i="19"/>
  <c r="BZ199" i="19"/>
  <c r="CA199" i="19"/>
  <c r="CC199" i="19"/>
  <c r="CD199" i="19"/>
  <c r="BZ200" i="19"/>
  <c r="CA200" i="19"/>
  <c r="CC200" i="19"/>
  <c r="CD200" i="19"/>
  <c r="BZ201" i="19"/>
  <c r="CA201" i="19"/>
  <c r="CC201" i="19"/>
  <c r="CD201" i="19"/>
  <c r="BZ202" i="19"/>
  <c r="CA202" i="19"/>
  <c r="CC202" i="19"/>
  <c r="CD202" i="19"/>
  <c r="BZ203" i="19"/>
  <c r="CA203" i="19"/>
  <c r="CC203" i="19"/>
  <c r="CD203" i="19"/>
  <c r="BZ204" i="19"/>
  <c r="CA204" i="19"/>
  <c r="CC204" i="19"/>
  <c r="CD204" i="19"/>
  <c r="AE205" i="19"/>
  <c r="AF205" i="19"/>
  <c r="AG205" i="19"/>
  <c r="AH205" i="19"/>
  <c r="AI205" i="19"/>
  <c r="AJ205" i="19"/>
  <c r="AK205" i="19"/>
  <c r="AL205" i="19"/>
  <c r="AM205" i="19"/>
  <c r="BZ205" i="19"/>
  <c r="CA205" i="19"/>
  <c r="CC205" i="19"/>
  <c r="CD205" i="19"/>
  <c r="AE206" i="19"/>
  <c r="AF206" i="19"/>
  <c r="AG206" i="19"/>
  <c r="AH206" i="19"/>
  <c r="AI206" i="19"/>
  <c r="AJ206" i="19"/>
  <c r="AK206" i="19"/>
  <c r="AL206" i="19"/>
  <c r="AM206" i="19"/>
  <c r="BZ206" i="19"/>
  <c r="CA206" i="19"/>
  <c r="CC206" i="19"/>
  <c r="CD206" i="19"/>
  <c r="AE207" i="19"/>
  <c r="AG207" i="19"/>
  <c r="AH207" i="19"/>
  <c r="AI207" i="19"/>
  <c r="AJ207" i="19"/>
  <c r="AK207" i="19"/>
  <c r="AL207" i="19"/>
  <c r="AM207" i="19"/>
  <c r="BZ207" i="19"/>
  <c r="CA207" i="19"/>
  <c r="CC207" i="19"/>
  <c r="CD207" i="19"/>
  <c r="AE208" i="19"/>
  <c r="AG208" i="19"/>
  <c r="AH208" i="19"/>
  <c r="AI208" i="19"/>
  <c r="AJ208" i="19"/>
  <c r="AK208" i="19"/>
  <c r="AL208" i="19"/>
  <c r="AM208" i="19"/>
  <c r="BZ208" i="19"/>
  <c r="CA208" i="19"/>
  <c r="CC208" i="19"/>
  <c r="CD208" i="19"/>
  <c r="AE209" i="19"/>
  <c r="AG209" i="19"/>
  <c r="AH209" i="19"/>
  <c r="AI209" i="19"/>
  <c r="AJ209" i="19"/>
  <c r="AK209" i="19"/>
  <c r="AL209" i="19"/>
  <c r="AM209" i="19"/>
  <c r="BZ209" i="19"/>
  <c r="CA209" i="19"/>
  <c r="CC209" i="19"/>
  <c r="CD209" i="19"/>
  <c r="AE184" i="19"/>
  <c r="AG184" i="19"/>
  <c r="AH184" i="19"/>
  <c r="AI184" i="19"/>
  <c r="AJ184" i="19"/>
  <c r="AK184" i="19"/>
  <c r="AL184" i="19"/>
  <c r="AM184" i="19"/>
  <c r="BZ184" i="19"/>
  <c r="CA184" i="19"/>
  <c r="CC184" i="19"/>
  <c r="CD184" i="19"/>
  <c r="AE185" i="19"/>
  <c r="AG185" i="19"/>
  <c r="AH185" i="19"/>
  <c r="AI185" i="19"/>
  <c r="AJ185" i="19"/>
  <c r="AK185" i="19"/>
  <c r="AL185" i="19"/>
  <c r="AM185" i="19"/>
  <c r="BZ185" i="19"/>
  <c r="CA185" i="19"/>
  <c r="CC185" i="19"/>
  <c r="CD185" i="19"/>
  <c r="AE186" i="19"/>
  <c r="AG186" i="19"/>
  <c r="AH186" i="19"/>
  <c r="AI186" i="19"/>
  <c r="AJ186" i="19"/>
  <c r="AK186" i="19"/>
  <c r="AL186" i="19"/>
  <c r="AM186" i="19"/>
  <c r="BZ186" i="19"/>
  <c r="CA186" i="19"/>
  <c r="CC186" i="19"/>
  <c r="CD186" i="19"/>
  <c r="AE187" i="19"/>
  <c r="AG187" i="19"/>
  <c r="AH187" i="19"/>
  <c r="AI187" i="19"/>
  <c r="AJ187" i="19"/>
  <c r="AK187" i="19"/>
  <c r="AL187" i="19"/>
  <c r="AM187" i="19"/>
  <c r="BZ187" i="19"/>
  <c r="CA187" i="19"/>
  <c r="CC187" i="19"/>
  <c r="CD187" i="19"/>
  <c r="AE188" i="19"/>
  <c r="AG188" i="19"/>
  <c r="AH188" i="19"/>
  <c r="AI188" i="19"/>
  <c r="AJ188" i="19"/>
  <c r="AK188" i="19"/>
  <c r="AL188" i="19"/>
  <c r="AM188" i="19"/>
  <c r="BZ188" i="19"/>
  <c r="CA188" i="19"/>
  <c r="CC188" i="19"/>
  <c r="CD188" i="19"/>
  <c r="AE189" i="19"/>
  <c r="AG189" i="19"/>
  <c r="AH189" i="19"/>
  <c r="AI189" i="19"/>
  <c r="AJ189" i="19"/>
  <c r="AK189" i="19"/>
  <c r="AL189" i="19"/>
  <c r="AM189" i="19"/>
  <c r="BZ189" i="19"/>
  <c r="CA189" i="19"/>
  <c r="CC189" i="19"/>
  <c r="CD189" i="19"/>
  <c r="AE190" i="19"/>
  <c r="AG190" i="19"/>
  <c r="AH190" i="19"/>
  <c r="AI190" i="19"/>
  <c r="AJ190" i="19"/>
  <c r="AK190" i="19"/>
  <c r="AL190" i="19"/>
  <c r="AM190" i="19"/>
  <c r="BZ190" i="19"/>
  <c r="CA190" i="19"/>
  <c r="CC190" i="19"/>
  <c r="CD190" i="19"/>
  <c r="AE191" i="19"/>
  <c r="AG191" i="19"/>
  <c r="AH191" i="19"/>
  <c r="AI191" i="19"/>
  <c r="AJ191" i="19"/>
  <c r="AK191" i="19"/>
  <c r="AL191" i="19"/>
  <c r="AM191" i="19"/>
  <c r="BZ191" i="19"/>
  <c r="CA191" i="19"/>
  <c r="CC191" i="19"/>
  <c r="CD191" i="19"/>
  <c r="AE192" i="19"/>
  <c r="AG192" i="19"/>
  <c r="AH192" i="19"/>
  <c r="AI192" i="19"/>
  <c r="AJ192" i="19"/>
  <c r="AK192" i="19"/>
  <c r="AL192" i="19"/>
  <c r="AM192" i="19"/>
  <c r="BZ192" i="19"/>
  <c r="CA192" i="19"/>
  <c r="CC192" i="19"/>
  <c r="CD192" i="19"/>
  <c r="BZ193" i="19"/>
  <c r="CA193" i="19"/>
  <c r="CC193" i="19"/>
  <c r="CD193" i="19"/>
  <c r="BZ194" i="19"/>
  <c r="CA194" i="19"/>
  <c r="CC194" i="19"/>
  <c r="CD194" i="19"/>
  <c r="BZ195" i="19"/>
  <c r="CA195" i="19"/>
  <c r="CC195" i="19"/>
  <c r="CD195" i="19"/>
  <c r="BZ196" i="19"/>
  <c r="CA196" i="19"/>
  <c r="CC196" i="19"/>
  <c r="CD196" i="19"/>
  <c r="AE171" i="19"/>
  <c r="AG171" i="19"/>
  <c r="AH171" i="19"/>
  <c r="AI171" i="19"/>
  <c r="AJ171" i="19"/>
  <c r="AK171" i="19"/>
  <c r="AL171" i="19"/>
  <c r="AM171" i="19"/>
  <c r="BZ171" i="19"/>
  <c r="CA171" i="19"/>
  <c r="CC171" i="19"/>
  <c r="CD171" i="19"/>
  <c r="AE172" i="19"/>
  <c r="AG172" i="19"/>
  <c r="AH172" i="19"/>
  <c r="AI172" i="19"/>
  <c r="AJ172" i="19"/>
  <c r="AK172" i="19"/>
  <c r="AL172" i="19"/>
  <c r="AM172" i="19"/>
  <c r="BZ172" i="19"/>
  <c r="CA172" i="19"/>
  <c r="CC172" i="19"/>
  <c r="CD172" i="19"/>
  <c r="AE173" i="19"/>
  <c r="AG173" i="19"/>
  <c r="AH173" i="19"/>
  <c r="AI173" i="19"/>
  <c r="AJ173" i="19"/>
  <c r="AK173" i="19"/>
  <c r="AL173" i="19"/>
  <c r="AM173" i="19"/>
  <c r="BZ173" i="19"/>
  <c r="CA173" i="19"/>
  <c r="CC173" i="19"/>
  <c r="CD173" i="19"/>
  <c r="AE174" i="19"/>
  <c r="AG174" i="19"/>
  <c r="AH174" i="19"/>
  <c r="AI174" i="19"/>
  <c r="AJ174" i="19"/>
  <c r="AK174" i="19"/>
  <c r="AL174" i="19"/>
  <c r="AM174" i="19"/>
  <c r="BZ174" i="19"/>
  <c r="CA174" i="19"/>
  <c r="CC174" i="19"/>
  <c r="CD174" i="19"/>
  <c r="AE175" i="19"/>
  <c r="AG175" i="19"/>
  <c r="AH175" i="19"/>
  <c r="AI175" i="19"/>
  <c r="AJ175" i="19"/>
  <c r="AK175" i="19"/>
  <c r="AL175" i="19"/>
  <c r="AM175" i="19"/>
  <c r="BZ175" i="19"/>
  <c r="CA175" i="19"/>
  <c r="CC175" i="19"/>
  <c r="CD175" i="19"/>
  <c r="AE176" i="19"/>
  <c r="AG176" i="19"/>
  <c r="AH176" i="19"/>
  <c r="AI176" i="19"/>
  <c r="AJ176" i="19"/>
  <c r="AK176" i="19"/>
  <c r="AL176" i="19"/>
  <c r="AM176" i="19"/>
  <c r="BZ176" i="19"/>
  <c r="CA176" i="19"/>
  <c r="CC176" i="19"/>
  <c r="CD176" i="19"/>
  <c r="AE177" i="19"/>
  <c r="AG177" i="19"/>
  <c r="AH177" i="19"/>
  <c r="AI177" i="19"/>
  <c r="AJ177" i="19"/>
  <c r="AK177" i="19"/>
  <c r="AL177" i="19"/>
  <c r="AM177" i="19"/>
  <c r="BZ177" i="19"/>
  <c r="CA177" i="19"/>
  <c r="CC177" i="19"/>
  <c r="CD177" i="19"/>
  <c r="AE178" i="19"/>
  <c r="AG178" i="19"/>
  <c r="AH178" i="19"/>
  <c r="AI178" i="19"/>
  <c r="AJ178" i="19"/>
  <c r="AK178" i="19"/>
  <c r="AL178" i="19"/>
  <c r="AM178" i="19"/>
  <c r="BZ178" i="19"/>
  <c r="CA178" i="19"/>
  <c r="CC178" i="19"/>
  <c r="CD178" i="19"/>
  <c r="AE179" i="19"/>
  <c r="AG179" i="19"/>
  <c r="AH179" i="19"/>
  <c r="AI179" i="19"/>
  <c r="AJ179" i="19"/>
  <c r="AK179" i="19"/>
  <c r="AL179" i="19"/>
  <c r="AM179" i="19"/>
  <c r="BZ179" i="19"/>
  <c r="CA179" i="19"/>
  <c r="CC179" i="19"/>
  <c r="CD179" i="19"/>
  <c r="AE180" i="19"/>
  <c r="AG180" i="19"/>
  <c r="AH180" i="19"/>
  <c r="AI180" i="19"/>
  <c r="AJ180" i="19"/>
  <c r="AK180" i="19"/>
  <c r="AL180" i="19"/>
  <c r="AM180" i="19"/>
  <c r="BZ180" i="19"/>
  <c r="CA180" i="19"/>
  <c r="CC180" i="19"/>
  <c r="CD180" i="19"/>
  <c r="AE181" i="19"/>
  <c r="AG181" i="19"/>
  <c r="AH181" i="19"/>
  <c r="AI181" i="19"/>
  <c r="AJ181" i="19"/>
  <c r="AK181" i="19"/>
  <c r="AL181" i="19"/>
  <c r="AM181" i="19"/>
  <c r="BZ181" i="19"/>
  <c r="CA181" i="19"/>
  <c r="CC181" i="19"/>
  <c r="CD181" i="19"/>
  <c r="AE182" i="19"/>
  <c r="AG182" i="19"/>
  <c r="AH182" i="19"/>
  <c r="AI182" i="19"/>
  <c r="AJ182" i="19"/>
  <c r="AK182" i="19"/>
  <c r="AL182" i="19"/>
  <c r="AM182" i="19"/>
  <c r="BZ182" i="19"/>
  <c r="CA182" i="19"/>
  <c r="CC182" i="19"/>
  <c r="CD182" i="19"/>
  <c r="AE183" i="19"/>
  <c r="BZ183" i="19"/>
  <c r="CA183" i="19"/>
  <c r="CC183" i="19"/>
  <c r="CD183" i="19"/>
  <c r="BZ158" i="19"/>
  <c r="CC158" i="19"/>
  <c r="BZ159" i="19"/>
  <c r="CC159" i="19"/>
  <c r="BZ160" i="19"/>
  <c r="CC160" i="19"/>
  <c r="BZ161" i="19"/>
  <c r="CC161" i="19"/>
  <c r="AE162" i="19"/>
  <c r="AF162" i="19"/>
  <c r="AG162" i="19"/>
  <c r="AH162" i="19"/>
  <c r="AI162" i="19"/>
  <c r="AJ162" i="19"/>
  <c r="AK162" i="19"/>
  <c r="AL162" i="19"/>
  <c r="AM162" i="19"/>
  <c r="BZ162" i="19"/>
  <c r="CC162" i="19"/>
  <c r="AE163" i="19"/>
  <c r="AF163" i="19"/>
  <c r="AG163" i="19"/>
  <c r="AH163" i="19"/>
  <c r="AI163" i="19"/>
  <c r="AJ163" i="19"/>
  <c r="AK163" i="19"/>
  <c r="AL163" i="19"/>
  <c r="AM163" i="19"/>
  <c r="BZ163" i="19"/>
  <c r="CC163" i="19"/>
  <c r="AE164" i="19"/>
  <c r="AG164" i="19"/>
  <c r="AH164" i="19"/>
  <c r="AI164" i="19"/>
  <c r="AJ164" i="19"/>
  <c r="AK164" i="19"/>
  <c r="AL164" i="19"/>
  <c r="AM164" i="19"/>
  <c r="BZ164" i="19"/>
  <c r="CC164" i="19"/>
  <c r="AE165" i="19"/>
  <c r="AG165" i="19"/>
  <c r="AH165" i="19"/>
  <c r="AI165" i="19"/>
  <c r="AJ165" i="19"/>
  <c r="AK165" i="19"/>
  <c r="AL165" i="19"/>
  <c r="AM165" i="19"/>
  <c r="BZ165" i="19"/>
  <c r="CC165" i="19"/>
  <c r="AE166" i="19"/>
  <c r="AG166" i="19"/>
  <c r="AH166" i="19"/>
  <c r="AI166" i="19"/>
  <c r="AJ166" i="19"/>
  <c r="AK166" i="19"/>
  <c r="AL166" i="19"/>
  <c r="AM166" i="19"/>
  <c r="BZ166" i="19"/>
  <c r="CC166" i="19"/>
  <c r="AE167" i="19"/>
  <c r="AG167" i="19"/>
  <c r="AH167" i="19"/>
  <c r="AI167" i="19"/>
  <c r="AJ167" i="19"/>
  <c r="AK167" i="19"/>
  <c r="AL167" i="19"/>
  <c r="AM167" i="19"/>
  <c r="BZ167" i="19"/>
  <c r="CA167" i="19"/>
  <c r="CC167" i="19"/>
  <c r="CD167" i="19"/>
  <c r="AE168" i="19"/>
  <c r="AG168" i="19"/>
  <c r="AH168" i="19"/>
  <c r="AI168" i="19"/>
  <c r="AJ168" i="19"/>
  <c r="AK168" i="19"/>
  <c r="AL168" i="19"/>
  <c r="AM168" i="19"/>
  <c r="BZ168" i="19"/>
  <c r="CA168" i="19"/>
  <c r="CC168" i="19"/>
  <c r="CD168" i="19"/>
  <c r="AE169" i="19"/>
  <c r="AG169" i="19"/>
  <c r="AH169" i="19"/>
  <c r="AI169" i="19"/>
  <c r="AJ169" i="19"/>
  <c r="AK169" i="19"/>
  <c r="AL169" i="19"/>
  <c r="AM169" i="19"/>
  <c r="BZ169" i="19"/>
  <c r="CA169" i="19"/>
  <c r="CC169" i="19"/>
  <c r="CD169" i="19"/>
  <c r="AE170" i="19"/>
  <c r="AG170" i="19"/>
  <c r="AH170" i="19"/>
  <c r="AI170" i="19"/>
  <c r="AJ170" i="19"/>
  <c r="AK170" i="19"/>
  <c r="AL170" i="19"/>
  <c r="AM170" i="19"/>
  <c r="BZ170" i="19"/>
  <c r="CA170" i="19"/>
  <c r="CC170" i="19"/>
  <c r="CD170" i="19"/>
  <c r="AE145" i="19"/>
  <c r="AG145" i="19"/>
  <c r="AH145" i="19"/>
  <c r="AI145" i="19"/>
  <c r="AJ145" i="19"/>
  <c r="AK145" i="19"/>
  <c r="AL145" i="19"/>
  <c r="AM145" i="19"/>
  <c r="BZ145" i="19"/>
  <c r="CC145" i="19"/>
  <c r="AE146" i="19"/>
  <c r="AG146" i="19"/>
  <c r="AH146" i="19"/>
  <c r="AI146" i="19"/>
  <c r="AJ146" i="19"/>
  <c r="AK146" i="19"/>
  <c r="AL146" i="19"/>
  <c r="AM146" i="19"/>
  <c r="BZ146" i="19"/>
  <c r="CC146" i="19"/>
  <c r="AE147" i="19"/>
  <c r="AG147" i="19"/>
  <c r="AH147" i="19"/>
  <c r="AI147" i="19"/>
  <c r="AJ147" i="19"/>
  <c r="AK147" i="19"/>
  <c r="AL147" i="19"/>
  <c r="AM147" i="19"/>
  <c r="BZ147" i="19"/>
  <c r="CC147" i="19"/>
  <c r="AE148" i="19"/>
  <c r="AG148" i="19"/>
  <c r="AH148" i="19"/>
  <c r="AI148" i="19"/>
  <c r="AJ148" i="19"/>
  <c r="AK148" i="19"/>
  <c r="AL148" i="19"/>
  <c r="AM148" i="19"/>
  <c r="BZ148" i="19"/>
  <c r="CC148" i="19"/>
  <c r="AE149" i="19"/>
  <c r="AG149" i="19"/>
  <c r="AH149" i="19"/>
  <c r="AI149" i="19"/>
  <c r="AJ149" i="19"/>
  <c r="AK149" i="19"/>
  <c r="AL149" i="19"/>
  <c r="AM149" i="19"/>
  <c r="BZ149" i="19"/>
  <c r="CC149" i="19"/>
  <c r="BZ150" i="19"/>
  <c r="CC150" i="19"/>
  <c r="BZ151" i="19"/>
  <c r="CC151" i="19"/>
  <c r="BZ152" i="19"/>
  <c r="CC152" i="19"/>
  <c r="BZ153" i="19"/>
  <c r="CC153" i="19"/>
  <c r="BZ154" i="19"/>
  <c r="CC154" i="19"/>
  <c r="BZ155" i="19"/>
  <c r="CC155" i="19"/>
  <c r="BZ156" i="19"/>
  <c r="CC156" i="19"/>
  <c r="BZ157" i="19"/>
  <c r="CC157" i="19"/>
  <c r="AE132" i="19"/>
  <c r="AG132" i="19"/>
  <c r="AH132" i="19"/>
  <c r="AI132" i="19"/>
  <c r="AJ132" i="19"/>
  <c r="AK132" i="19"/>
  <c r="AL132" i="19"/>
  <c r="AM132" i="19"/>
  <c r="BZ132" i="19"/>
  <c r="CC132" i="19"/>
  <c r="AE133" i="19"/>
  <c r="AG133" i="19"/>
  <c r="AH133" i="19"/>
  <c r="AI133" i="19"/>
  <c r="AJ133" i="19"/>
  <c r="AK133" i="19"/>
  <c r="AL133" i="19"/>
  <c r="AM133" i="19"/>
  <c r="BZ133" i="19"/>
  <c r="CC133" i="19"/>
  <c r="AE134" i="19"/>
  <c r="AG134" i="19"/>
  <c r="AH134" i="19"/>
  <c r="AI134" i="19"/>
  <c r="AJ134" i="19"/>
  <c r="AK134" i="19"/>
  <c r="AL134" i="19"/>
  <c r="AM134" i="19"/>
  <c r="BZ134" i="19"/>
  <c r="CC134" i="19"/>
  <c r="AE135" i="19"/>
  <c r="AG135" i="19"/>
  <c r="AH135" i="19"/>
  <c r="AI135" i="19"/>
  <c r="AJ135" i="19"/>
  <c r="AK135" i="19"/>
  <c r="AL135" i="19"/>
  <c r="AM135" i="19"/>
  <c r="BZ135" i="19"/>
  <c r="CC135" i="19"/>
  <c r="AE136" i="19"/>
  <c r="AG136" i="19"/>
  <c r="AH136" i="19"/>
  <c r="AI136" i="19"/>
  <c r="AJ136" i="19"/>
  <c r="AK136" i="19"/>
  <c r="AL136" i="19"/>
  <c r="AM136" i="19"/>
  <c r="BZ136" i="19"/>
  <c r="CC136" i="19"/>
  <c r="AE137" i="19"/>
  <c r="AG137" i="19"/>
  <c r="AH137" i="19"/>
  <c r="AI137" i="19"/>
  <c r="AJ137" i="19"/>
  <c r="AK137" i="19"/>
  <c r="AL137" i="19"/>
  <c r="AM137" i="19"/>
  <c r="BZ137" i="19"/>
  <c r="CC137" i="19"/>
  <c r="AE138" i="19"/>
  <c r="AG138" i="19"/>
  <c r="AH138" i="19"/>
  <c r="AI138" i="19"/>
  <c r="AJ138" i="19"/>
  <c r="AK138" i="19"/>
  <c r="AL138" i="19"/>
  <c r="AM138" i="19"/>
  <c r="BZ138" i="19"/>
  <c r="CC138" i="19"/>
  <c r="AE139" i="19"/>
  <c r="AG139" i="19"/>
  <c r="AH139" i="19"/>
  <c r="AI139" i="19"/>
  <c r="AJ139" i="19"/>
  <c r="AK139" i="19"/>
  <c r="AL139" i="19"/>
  <c r="AM139" i="19"/>
  <c r="BZ139" i="19"/>
  <c r="CC139" i="19"/>
  <c r="AE140" i="19"/>
  <c r="AG140" i="19"/>
  <c r="AH140" i="19"/>
  <c r="AI140" i="19"/>
  <c r="AJ140" i="19"/>
  <c r="AK140" i="19"/>
  <c r="AL140" i="19"/>
  <c r="AM140" i="19"/>
  <c r="BZ140" i="19"/>
  <c r="CC140" i="19"/>
  <c r="AE141" i="19"/>
  <c r="AG141" i="19"/>
  <c r="AH141" i="19"/>
  <c r="AI141" i="19"/>
  <c r="AJ141" i="19"/>
  <c r="AK141" i="19"/>
  <c r="AL141" i="19"/>
  <c r="AM141" i="19"/>
  <c r="BZ141" i="19"/>
  <c r="CC141" i="19"/>
  <c r="AE142" i="19"/>
  <c r="AG142" i="19"/>
  <c r="AH142" i="19"/>
  <c r="AI142" i="19"/>
  <c r="AJ142" i="19"/>
  <c r="AK142" i="19"/>
  <c r="AL142" i="19"/>
  <c r="AM142" i="19"/>
  <c r="BZ142" i="19"/>
  <c r="CC142" i="19"/>
  <c r="AE143" i="19"/>
  <c r="AG143" i="19"/>
  <c r="AH143" i="19"/>
  <c r="AI143" i="19"/>
  <c r="AJ143" i="19"/>
  <c r="AK143" i="19"/>
  <c r="AL143" i="19"/>
  <c r="AM143" i="19"/>
  <c r="BZ143" i="19"/>
  <c r="CC143" i="19"/>
  <c r="AE144" i="19"/>
  <c r="AG144" i="19"/>
  <c r="AH144" i="19"/>
  <c r="AI144" i="19"/>
  <c r="AJ144" i="19"/>
  <c r="AK144" i="19"/>
  <c r="AL144" i="19"/>
  <c r="AM144" i="19"/>
  <c r="BZ144" i="19"/>
  <c r="CC144" i="19"/>
  <c r="BZ119" i="19"/>
  <c r="CC119" i="19"/>
  <c r="BZ120" i="19"/>
  <c r="CC120" i="19"/>
  <c r="BZ121" i="19"/>
  <c r="CC121" i="19"/>
  <c r="AE122" i="19"/>
  <c r="AG122" i="19"/>
  <c r="AH122" i="19"/>
  <c r="AI122" i="19"/>
  <c r="AJ122" i="19"/>
  <c r="AK122" i="19"/>
  <c r="AL122" i="19"/>
  <c r="AM122" i="19"/>
  <c r="BZ122" i="19"/>
  <c r="CC122" i="19"/>
  <c r="AE123" i="19"/>
  <c r="AG123" i="19"/>
  <c r="AH123" i="19"/>
  <c r="AI123" i="19"/>
  <c r="AJ123" i="19"/>
  <c r="AK123" i="19"/>
  <c r="AL123" i="19"/>
  <c r="AM123" i="19"/>
  <c r="BZ123" i="19"/>
  <c r="CC123" i="19"/>
  <c r="AE124" i="19"/>
  <c r="AG124" i="19"/>
  <c r="AH124" i="19"/>
  <c r="AI124" i="19"/>
  <c r="AJ124" i="19"/>
  <c r="AK124" i="19"/>
  <c r="AL124" i="19"/>
  <c r="AM124" i="19"/>
  <c r="BZ124" i="19"/>
  <c r="CC124" i="19"/>
  <c r="AE125" i="19"/>
  <c r="AG125" i="19"/>
  <c r="AH125" i="19"/>
  <c r="AI125" i="19"/>
  <c r="AJ125" i="19"/>
  <c r="AK125" i="19"/>
  <c r="AL125" i="19"/>
  <c r="AM125" i="19"/>
  <c r="BZ125" i="19"/>
  <c r="CC125" i="19"/>
  <c r="AE126" i="19"/>
  <c r="AG126" i="19"/>
  <c r="AH126" i="19"/>
  <c r="AI126" i="19"/>
  <c r="AJ126" i="19"/>
  <c r="AK126" i="19"/>
  <c r="AL126" i="19"/>
  <c r="AM126" i="19"/>
  <c r="BZ126" i="19"/>
  <c r="CC126" i="19"/>
  <c r="AE127" i="19"/>
  <c r="AG127" i="19"/>
  <c r="AH127" i="19"/>
  <c r="AI127" i="19"/>
  <c r="AJ127" i="19"/>
  <c r="AK127" i="19"/>
  <c r="AL127" i="19"/>
  <c r="AM127" i="19"/>
  <c r="BZ127" i="19"/>
  <c r="CC127" i="19"/>
  <c r="AE128" i="19"/>
  <c r="AG128" i="19"/>
  <c r="AH128" i="19"/>
  <c r="AI128" i="19"/>
  <c r="AJ128" i="19"/>
  <c r="AK128" i="19"/>
  <c r="AL128" i="19"/>
  <c r="AM128" i="19"/>
  <c r="BZ128" i="19"/>
  <c r="CC128" i="19"/>
  <c r="AE129" i="19"/>
  <c r="AG129" i="19"/>
  <c r="AH129" i="19"/>
  <c r="AI129" i="19"/>
  <c r="AJ129" i="19"/>
  <c r="AK129" i="19"/>
  <c r="AL129" i="19"/>
  <c r="AM129" i="19"/>
  <c r="BZ129" i="19"/>
  <c r="CC129" i="19"/>
  <c r="AE130" i="19"/>
  <c r="AG130" i="19"/>
  <c r="AH130" i="19"/>
  <c r="AI130" i="19"/>
  <c r="AJ130" i="19"/>
  <c r="AK130" i="19"/>
  <c r="AL130" i="19"/>
  <c r="AM130" i="19"/>
  <c r="BZ130" i="19"/>
  <c r="CC130" i="19"/>
  <c r="AE131" i="19"/>
  <c r="AG131" i="19"/>
  <c r="AH131" i="19"/>
  <c r="AI131" i="19"/>
  <c r="AJ131" i="19"/>
  <c r="AK131" i="19"/>
  <c r="AL131" i="19"/>
  <c r="AM131" i="19"/>
  <c r="BZ131" i="19"/>
  <c r="CC131" i="19"/>
  <c r="AE106" i="19"/>
  <c r="AG106" i="19"/>
  <c r="AH106" i="19"/>
  <c r="AI106" i="19"/>
  <c r="AJ106" i="19"/>
  <c r="AK106" i="19"/>
  <c r="AL106" i="19"/>
  <c r="AM106" i="19"/>
  <c r="BZ106" i="19"/>
  <c r="CC106" i="19"/>
  <c r="BZ107" i="19"/>
  <c r="CC107" i="19"/>
  <c r="C108" i="19"/>
  <c r="D108" i="19"/>
  <c r="E108" i="19"/>
  <c r="F108" i="19"/>
  <c r="G108" i="19"/>
  <c r="H108" i="19"/>
  <c r="I108" i="19"/>
  <c r="J108" i="19"/>
  <c r="K108" i="19"/>
  <c r="L108" i="19"/>
  <c r="M108" i="19"/>
  <c r="BZ108" i="19"/>
  <c r="CC108" i="19"/>
  <c r="C109" i="19"/>
  <c r="D109" i="19"/>
  <c r="E109" i="19"/>
  <c r="F109" i="19"/>
  <c r="G109" i="19"/>
  <c r="H109" i="19"/>
  <c r="I109" i="19"/>
  <c r="J109" i="19"/>
  <c r="K109" i="19"/>
  <c r="L109" i="19"/>
  <c r="M109" i="19"/>
  <c r="BZ109" i="19"/>
  <c r="CC109" i="19"/>
  <c r="BZ110" i="19"/>
  <c r="CC110" i="19"/>
  <c r="BZ111" i="19"/>
  <c r="CC111" i="19"/>
  <c r="BZ112" i="19"/>
  <c r="CC112" i="19"/>
  <c r="AE113" i="19"/>
  <c r="AG113" i="19"/>
  <c r="AH113" i="19"/>
  <c r="AI113" i="19"/>
  <c r="AJ113" i="19"/>
  <c r="AK113" i="19"/>
  <c r="AL113" i="19"/>
  <c r="AM113" i="19"/>
  <c r="BZ113" i="19"/>
  <c r="CC113" i="19"/>
  <c r="AE114" i="19"/>
  <c r="AG114" i="19"/>
  <c r="AH114" i="19"/>
  <c r="AI114" i="19"/>
  <c r="AJ114" i="19"/>
  <c r="AK114" i="19"/>
  <c r="AL114" i="19"/>
  <c r="AM114" i="19"/>
  <c r="BZ114" i="19"/>
  <c r="CC114" i="19"/>
  <c r="AE115" i="19"/>
  <c r="AG115" i="19"/>
  <c r="AH115" i="19"/>
  <c r="AI115" i="19"/>
  <c r="AJ115" i="19"/>
  <c r="AK115" i="19"/>
  <c r="AL115" i="19"/>
  <c r="AM115" i="19"/>
  <c r="BZ115" i="19"/>
  <c r="CC115" i="19"/>
  <c r="BZ116" i="19"/>
  <c r="CC116" i="19"/>
  <c r="C117" i="19"/>
  <c r="D117" i="19"/>
  <c r="E117" i="19"/>
  <c r="F117" i="19"/>
  <c r="G117" i="19"/>
  <c r="H117" i="19"/>
  <c r="I117" i="19"/>
  <c r="J117" i="19"/>
  <c r="K117" i="19"/>
  <c r="L117" i="19"/>
  <c r="M117" i="19"/>
  <c r="BZ117" i="19"/>
  <c r="CC117" i="19"/>
  <c r="C118" i="19"/>
  <c r="D118" i="19"/>
  <c r="E118" i="19"/>
  <c r="F118" i="19"/>
  <c r="G118" i="19"/>
  <c r="H118" i="19"/>
  <c r="I118" i="19"/>
  <c r="J118" i="19"/>
  <c r="K118" i="19"/>
  <c r="L118" i="19"/>
  <c r="M118" i="19"/>
  <c r="BZ118" i="19"/>
  <c r="CC118" i="19"/>
  <c r="AE93" i="19"/>
  <c r="AG93" i="19"/>
  <c r="AH93" i="19"/>
  <c r="AI93" i="19"/>
  <c r="AJ93" i="19"/>
  <c r="AK93" i="19"/>
  <c r="AL93" i="19"/>
  <c r="AM93" i="19"/>
  <c r="BZ93" i="19"/>
  <c r="CC93" i="19"/>
  <c r="AE94" i="19"/>
  <c r="AG94" i="19"/>
  <c r="AH94" i="19"/>
  <c r="AI94" i="19"/>
  <c r="AJ94" i="19"/>
  <c r="AK94" i="19"/>
  <c r="AL94" i="19"/>
  <c r="AM94" i="19"/>
  <c r="BZ94" i="19"/>
  <c r="CC94" i="19"/>
  <c r="AE95" i="19"/>
  <c r="AG95" i="19"/>
  <c r="AH95" i="19"/>
  <c r="AI95" i="19"/>
  <c r="AJ95" i="19"/>
  <c r="AK95" i="19"/>
  <c r="AL95" i="19"/>
  <c r="AM95" i="19"/>
  <c r="BZ95" i="19"/>
  <c r="CC95" i="19"/>
  <c r="AE96" i="19"/>
  <c r="AG96" i="19"/>
  <c r="AH96" i="19"/>
  <c r="AI96" i="19"/>
  <c r="AJ96" i="19"/>
  <c r="AK96" i="19"/>
  <c r="AL96" i="19"/>
  <c r="AM96" i="19"/>
  <c r="BZ96" i="19"/>
  <c r="CC96" i="19"/>
  <c r="AE97" i="19"/>
  <c r="AG97" i="19"/>
  <c r="AH97" i="19"/>
  <c r="AI97" i="19"/>
  <c r="AJ97" i="19"/>
  <c r="AK97" i="19"/>
  <c r="AL97" i="19"/>
  <c r="AM97" i="19"/>
  <c r="BZ97" i="19"/>
  <c r="CC97" i="19"/>
  <c r="AE98" i="19"/>
  <c r="AG98" i="19"/>
  <c r="AH98" i="19"/>
  <c r="AI98" i="19"/>
  <c r="AJ98" i="19"/>
  <c r="AK98" i="19"/>
  <c r="AL98" i="19"/>
  <c r="AM98" i="19"/>
  <c r="BZ98" i="19"/>
  <c r="CC98" i="19"/>
  <c r="AE99" i="19"/>
  <c r="AG99" i="19"/>
  <c r="AH99" i="19"/>
  <c r="AI99" i="19"/>
  <c r="AJ99" i="19"/>
  <c r="AK99" i="19"/>
  <c r="AL99" i="19"/>
  <c r="AM99" i="19"/>
  <c r="BZ99" i="19"/>
  <c r="CC99" i="19"/>
  <c r="AE100" i="19"/>
  <c r="AG100" i="19"/>
  <c r="AH100" i="19"/>
  <c r="AI100" i="19"/>
  <c r="AJ100" i="19"/>
  <c r="AK100" i="19"/>
  <c r="AL100" i="19"/>
  <c r="AM100" i="19"/>
  <c r="BZ100" i="19"/>
  <c r="CC100" i="19"/>
  <c r="AE101" i="19"/>
  <c r="AG101" i="19"/>
  <c r="AH101" i="19"/>
  <c r="AI101" i="19"/>
  <c r="AJ101" i="19"/>
  <c r="AK101" i="19"/>
  <c r="AL101" i="19"/>
  <c r="AM101" i="19"/>
  <c r="BZ101" i="19"/>
  <c r="CC101" i="19"/>
  <c r="AE102" i="19"/>
  <c r="AG102" i="19"/>
  <c r="AH102" i="19"/>
  <c r="AI102" i="19"/>
  <c r="AJ102" i="19"/>
  <c r="AK102" i="19"/>
  <c r="AL102" i="19"/>
  <c r="AM102" i="19"/>
  <c r="BZ102" i="19"/>
  <c r="CC102" i="19"/>
  <c r="AE103" i="19"/>
  <c r="AG103" i="19"/>
  <c r="AH103" i="19"/>
  <c r="AI103" i="19"/>
  <c r="AJ103" i="19"/>
  <c r="AK103" i="19"/>
  <c r="AL103" i="19"/>
  <c r="AM103" i="19"/>
  <c r="BZ103" i="19"/>
  <c r="CC103" i="19"/>
  <c r="AE104" i="19"/>
  <c r="AG104" i="19"/>
  <c r="AH104" i="19"/>
  <c r="AI104" i="19"/>
  <c r="AJ104" i="19"/>
  <c r="AK104" i="19"/>
  <c r="AL104" i="19"/>
  <c r="AM104" i="19"/>
  <c r="BZ104" i="19"/>
  <c r="CC104" i="19"/>
  <c r="AE105" i="19"/>
  <c r="AG105" i="19"/>
  <c r="AH105" i="19"/>
  <c r="AI105" i="19"/>
  <c r="AJ105" i="19"/>
  <c r="AK105" i="19"/>
  <c r="AL105" i="19"/>
  <c r="AM105" i="19"/>
  <c r="BZ105" i="19"/>
  <c r="CC105" i="19"/>
  <c r="BZ80" i="19"/>
  <c r="CC80" i="19"/>
  <c r="BZ81" i="19"/>
  <c r="CC81" i="19"/>
  <c r="BZ82" i="19"/>
  <c r="CC82" i="19"/>
  <c r="BZ83" i="19"/>
  <c r="CC83" i="19"/>
  <c r="BZ84" i="19"/>
  <c r="CC84" i="19"/>
  <c r="BZ85" i="19"/>
  <c r="CC85" i="19"/>
  <c r="BZ86" i="19"/>
  <c r="CC86" i="19"/>
  <c r="BZ87" i="19"/>
  <c r="CC87" i="19"/>
  <c r="BZ88" i="19"/>
  <c r="CC88" i="19"/>
  <c r="BZ89" i="19"/>
  <c r="CC89" i="19"/>
  <c r="BZ90" i="19"/>
  <c r="CC90" i="19"/>
  <c r="AE91" i="19"/>
  <c r="AF91" i="19"/>
  <c r="AG91" i="19"/>
  <c r="AH91" i="19"/>
  <c r="AI91" i="19"/>
  <c r="AJ91" i="19"/>
  <c r="AK91" i="19"/>
  <c r="AL91" i="19"/>
  <c r="AM91" i="19"/>
  <c r="BZ91" i="19"/>
  <c r="CC91" i="19"/>
  <c r="AE92" i="19"/>
  <c r="AF92" i="19"/>
  <c r="AG92" i="19"/>
  <c r="AH92" i="19"/>
  <c r="AI92" i="19"/>
  <c r="AJ92" i="19"/>
  <c r="AK92" i="19"/>
  <c r="AL92" i="19"/>
  <c r="AM92" i="19"/>
  <c r="BZ92" i="19"/>
  <c r="CC92" i="19"/>
  <c r="AE67" i="19"/>
  <c r="AG67" i="19"/>
  <c r="AH67" i="19"/>
  <c r="AI67" i="19"/>
  <c r="AJ67" i="19"/>
  <c r="AK67" i="19"/>
  <c r="AL67" i="19"/>
  <c r="AM67" i="19"/>
  <c r="BZ67" i="19"/>
  <c r="CC67" i="19"/>
  <c r="AE68" i="19"/>
  <c r="AG68" i="19"/>
  <c r="AH68" i="19"/>
  <c r="AI68" i="19"/>
  <c r="AJ68" i="19"/>
  <c r="AK68" i="19"/>
  <c r="AL68" i="19"/>
  <c r="AM68" i="19"/>
  <c r="BZ68" i="19"/>
  <c r="CC68" i="19"/>
  <c r="AE69" i="19"/>
  <c r="AG69" i="19"/>
  <c r="AH69" i="19"/>
  <c r="AI69" i="19"/>
  <c r="AJ69" i="19"/>
  <c r="AK69" i="19"/>
  <c r="AL69" i="19"/>
  <c r="AM69" i="19"/>
  <c r="BZ69" i="19"/>
  <c r="CC69" i="19"/>
  <c r="AE70" i="19"/>
  <c r="AG70" i="19"/>
  <c r="AH70" i="19"/>
  <c r="AI70" i="19"/>
  <c r="AJ70" i="19"/>
  <c r="AK70" i="19"/>
  <c r="AL70" i="19"/>
  <c r="AM70" i="19"/>
  <c r="BZ70" i="19"/>
  <c r="CC70" i="19"/>
  <c r="AE71" i="19"/>
  <c r="AG71" i="19"/>
  <c r="AH71" i="19"/>
  <c r="AI71" i="19"/>
  <c r="AJ71" i="19"/>
  <c r="AK71" i="19"/>
  <c r="AL71" i="19"/>
  <c r="AM71" i="19"/>
  <c r="BZ71" i="19"/>
  <c r="CC71" i="19"/>
  <c r="AE72" i="19"/>
  <c r="AG72" i="19"/>
  <c r="AH72" i="19"/>
  <c r="AI72" i="19"/>
  <c r="AJ72" i="19"/>
  <c r="AK72" i="19"/>
  <c r="AL72" i="19"/>
  <c r="AM72" i="19"/>
  <c r="BZ72" i="19"/>
  <c r="CC72" i="19"/>
  <c r="AE73" i="19"/>
  <c r="AG73" i="19"/>
  <c r="AH73" i="19"/>
  <c r="AI73" i="19"/>
  <c r="AJ73" i="19"/>
  <c r="AK73" i="19"/>
  <c r="AL73" i="19"/>
  <c r="AM73" i="19"/>
  <c r="BZ73" i="19"/>
  <c r="CC73" i="19"/>
  <c r="AE74" i="19"/>
  <c r="AG74" i="19"/>
  <c r="AH74" i="19"/>
  <c r="AI74" i="19"/>
  <c r="AJ74" i="19"/>
  <c r="AK74" i="19"/>
  <c r="AL74" i="19"/>
  <c r="AM74" i="19"/>
  <c r="BZ74" i="19"/>
  <c r="CC74" i="19"/>
  <c r="AE75" i="19"/>
  <c r="AG75" i="19"/>
  <c r="AH75" i="19"/>
  <c r="AI75" i="19"/>
  <c r="AJ75" i="19"/>
  <c r="AK75" i="19"/>
  <c r="AL75" i="19"/>
  <c r="AM75" i="19"/>
  <c r="BZ75" i="19"/>
  <c r="CC75" i="19"/>
  <c r="AE76" i="19"/>
  <c r="AG76" i="19"/>
  <c r="AH76" i="19"/>
  <c r="AI76" i="19"/>
  <c r="AJ76" i="19"/>
  <c r="AK76" i="19"/>
  <c r="AL76" i="19"/>
  <c r="AM76" i="19"/>
  <c r="BZ76" i="19"/>
  <c r="CC76" i="19"/>
  <c r="AE77" i="19"/>
  <c r="AG77" i="19"/>
  <c r="AH77" i="19"/>
  <c r="AI77" i="19"/>
  <c r="AJ77" i="19"/>
  <c r="AK77" i="19"/>
  <c r="AL77" i="19"/>
  <c r="AM77" i="19"/>
  <c r="BZ77" i="19"/>
  <c r="CC77" i="19"/>
  <c r="AE78" i="19"/>
  <c r="AG78" i="19"/>
  <c r="AH78" i="19"/>
  <c r="AI78" i="19"/>
  <c r="AJ78" i="19"/>
  <c r="AK78" i="19"/>
  <c r="AL78" i="19"/>
  <c r="AM78" i="19"/>
  <c r="BZ78" i="19"/>
  <c r="CC78" i="19"/>
  <c r="BZ79" i="19"/>
  <c r="CC79" i="19"/>
  <c r="AE54" i="19"/>
  <c r="AG54" i="19"/>
  <c r="AH54" i="19"/>
  <c r="AI54" i="19"/>
  <c r="AJ54" i="19"/>
  <c r="AK54" i="19"/>
  <c r="AL54" i="19"/>
  <c r="AM54" i="19"/>
  <c r="BZ54" i="19"/>
  <c r="CC54" i="19"/>
  <c r="AE55" i="19"/>
  <c r="AG55" i="19"/>
  <c r="AH55" i="19"/>
  <c r="AI55" i="19"/>
  <c r="AJ55" i="19"/>
  <c r="AK55" i="19"/>
  <c r="AL55" i="19"/>
  <c r="AM55" i="19"/>
  <c r="BZ55" i="19"/>
  <c r="CC55" i="19"/>
  <c r="AE56" i="19"/>
  <c r="AG56" i="19"/>
  <c r="AH56" i="19"/>
  <c r="AI56" i="19"/>
  <c r="AJ56" i="19"/>
  <c r="AK56" i="19"/>
  <c r="AL56" i="19"/>
  <c r="AM56" i="19"/>
  <c r="BZ56" i="19"/>
  <c r="CC56" i="19"/>
  <c r="AE57" i="19"/>
  <c r="AG57" i="19"/>
  <c r="AH57" i="19"/>
  <c r="AI57" i="19"/>
  <c r="AJ57" i="19"/>
  <c r="AK57" i="19"/>
  <c r="AL57" i="19"/>
  <c r="AM57" i="19"/>
  <c r="BZ57" i="19"/>
  <c r="CC57" i="19"/>
  <c r="AE58" i="19"/>
  <c r="AG58" i="19"/>
  <c r="AH58" i="19"/>
  <c r="AI58" i="19"/>
  <c r="AJ58" i="19"/>
  <c r="AK58" i="19"/>
  <c r="AL58" i="19"/>
  <c r="AM58" i="19"/>
  <c r="BZ58" i="19"/>
  <c r="CC58" i="19"/>
  <c r="AE59" i="19"/>
  <c r="AG59" i="19"/>
  <c r="AH59" i="19"/>
  <c r="AI59" i="19"/>
  <c r="AJ59" i="19"/>
  <c r="AK59" i="19"/>
  <c r="AL59" i="19"/>
  <c r="AM59" i="19"/>
  <c r="BZ59" i="19"/>
  <c r="CC59" i="19"/>
  <c r="AE60" i="19"/>
  <c r="AG60" i="19"/>
  <c r="AH60" i="19"/>
  <c r="AI60" i="19"/>
  <c r="AJ60" i="19"/>
  <c r="AK60" i="19"/>
  <c r="AL60" i="19"/>
  <c r="AM60" i="19"/>
  <c r="BZ60" i="19"/>
  <c r="CC60" i="19"/>
  <c r="AE61" i="19"/>
  <c r="AG61" i="19"/>
  <c r="AH61" i="19"/>
  <c r="AI61" i="19"/>
  <c r="AJ61" i="19"/>
  <c r="AK61" i="19"/>
  <c r="AL61" i="19"/>
  <c r="AM61" i="19"/>
  <c r="BZ61" i="19"/>
  <c r="CC61" i="19"/>
  <c r="AE62" i="19"/>
  <c r="AG62" i="19"/>
  <c r="AH62" i="19"/>
  <c r="AI62" i="19"/>
  <c r="AJ62" i="19"/>
  <c r="AK62" i="19"/>
  <c r="AL62" i="19"/>
  <c r="AM62" i="19"/>
  <c r="BZ62" i="19"/>
  <c r="CC62" i="19"/>
  <c r="C63" i="19"/>
  <c r="D63" i="19"/>
  <c r="E63" i="19"/>
  <c r="F63" i="19"/>
  <c r="G63" i="19"/>
  <c r="H63" i="19"/>
  <c r="I63" i="19"/>
  <c r="J63" i="19"/>
  <c r="K63" i="19"/>
  <c r="L63" i="19"/>
  <c r="M63" i="19"/>
  <c r="AE63" i="19"/>
  <c r="AR63" i="19"/>
  <c r="AS63" i="19"/>
  <c r="AT63" i="19"/>
  <c r="AU63" i="19"/>
  <c r="BZ63" i="19"/>
  <c r="CC63" i="19"/>
  <c r="BZ64" i="19"/>
  <c r="CC64" i="19"/>
  <c r="AE65" i="19"/>
  <c r="AG65" i="19"/>
  <c r="AH65" i="19"/>
  <c r="AI65" i="19"/>
  <c r="AJ65" i="19"/>
  <c r="AK65" i="19"/>
  <c r="AL65" i="19"/>
  <c r="AM65" i="19"/>
  <c r="BZ65" i="19"/>
  <c r="CC65" i="19"/>
  <c r="AE66" i="19"/>
  <c r="AG66" i="19"/>
  <c r="AH66" i="19"/>
  <c r="AI66" i="19"/>
  <c r="AJ66" i="19"/>
  <c r="AK66" i="19"/>
  <c r="AL66" i="19"/>
  <c r="AM66" i="19"/>
  <c r="BZ66" i="19"/>
  <c r="CC66" i="19"/>
  <c r="AE41" i="19"/>
  <c r="AG41" i="19"/>
  <c r="AH41" i="19"/>
  <c r="AI41" i="19"/>
  <c r="AJ41" i="19"/>
  <c r="AK41" i="19"/>
  <c r="AL41" i="19"/>
  <c r="AM41" i="19"/>
  <c r="BZ41" i="19"/>
  <c r="CC41" i="19"/>
  <c r="BZ42" i="19"/>
  <c r="CC42" i="19"/>
  <c r="AE43" i="19"/>
  <c r="AG43" i="19"/>
  <c r="AH43" i="19"/>
  <c r="AI43" i="19"/>
  <c r="AJ43" i="19"/>
  <c r="AK43" i="19"/>
  <c r="AL43" i="19"/>
  <c r="AM43" i="19"/>
  <c r="BZ43" i="19"/>
  <c r="CC43" i="19"/>
  <c r="AE44" i="19"/>
  <c r="AG44" i="19"/>
  <c r="AH44" i="19"/>
  <c r="AI44" i="19"/>
  <c r="AJ44" i="19"/>
  <c r="AK44" i="19"/>
  <c r="AL44" i="19"/>
  <c r="AM44" i="19"/>
  <c r="BZ44" i="19"/>
  <c r="CC44" i="19"/>
  <c r="AE45" i="19"/>
  <c r="AG45" i="19"/>
  <c r="AH45" i="19"/>
  <c r="AI45" i="19"/>
  <c r="AJ45" i="19"/>
  <c r="AK45" i="19"/>
  <c r="AL45" i="19"/>
  <c r="AM45" i="19"/>
  <c r="BZ45" i="19"/>
  <c r="CC45" i="19"/>
  <c r="AE46" i="19"/>
  <c r="AG46" i="19"/>
  <c r="AH46" i="19"/>
  <c r="AI46" i="19"/>
  <c r="AJ46" i="19"/>
  <c r="AK46" i="19"/>
  <c r="AL46" i="19"/>
  <c r="AM46" i="19"/>
  <c r="BZ46" i="19"/>
  <c r="CC46" i="19"/>
  <c r="AE47" i="19"/>
  <c r="AG47" i="19"/>
  <c r="AH47" i="19"/>
  <c r="AI47" i="19"/>
  <c r="AJ47" i="19"/>
  <c r="AK47" i="19"/>
  <c r="AL47" i="19"/>
  <c r="AM47" i="19"/>
  <c r="BZ47" i="19"/>
  <c r="CC47" i="19"/>
  <c r="AE48" i="19"/>
  <c r="AG48" i="19"/>
  <c r="AH48" i="19"/>
  <c r="AI48" i="19"/>
  <c r="AJ48" i="19"/>
  <c r="AK48" i="19"/>
  <c r="AL48" i="19"/>
  <c r="AM48" i="19"/>
  <c r="BZ48" i="19"/>
  <c r="CC48" i="19"/>
  <c r="AE49" i="19"/>
  <c r="AG49" i="19"/>
  <c r="AH49" i="19"/>
  <c r="AI49" i="19"/>
  <c r="AJ49" i="19"/>
  <c r="AK49" i="19"/>
  <c r="AL49" i="19"/>
  <c r="AM49" i="19"/>
  <c r="BZ49" i="19"/>
  <c r="CC49" i="19"/>
  <c r="AE50" i="19"/>
  <c r="AG50" i="19"/>
  <c r="AH50" i="19"/>
  <c r="AI50" i="19"/>
  <c r="AJ50" i="19"/>
  <c r="AK50" i="19"/>
  <c r="AL50" i="19"/>
  <c r="AM50" i="19"/>
  <c r="BZ50" i="19"/>
  <c r="CC50" i="19"/>
  <c r="AE51" i="19"/>
  <c r="AG51" i="19"/>
  <c r="AH51" i="19"/>
  <c r="AI51" i="19"/>
  <c r="AJ51" i="19"/>
  <c r="AK51" i="19"/>
  <c r="AL51" i="19"/>
  <c r="AM51" i="19"/>
  <c r="BZ51" i="19"/>
  <c r="CC51" i="19"/>
  <c r="AE52" i="19"/>
  <c r="AG52" i="19"/>
  <c r="AH52" i="19"/>
  <c r="AI52" i="19"/>
  <c r="AJ52" i="19"/>
  <c r="AK52" i="19"/>
  <c r="AL52" i="19"/>
  <c r="AM52" i="19"/>
  <c r="BZ52" i="19"/>
  <c r="CC52" i="19"/>
  <c r="AE53" i="19"/>
  <c r="AG53" i="19"/>
  <c r="AH53" i="19"/>
  <c r="AI53" i="19"/>
  <c r="AJ53" i="19"/>
  <c r="AK53" i="19"/>
  <c r="AL53" i="19"/>
  <c r="AM53" i="19"/>
  <c r="BZ53" i="19"/>
  <c r="CC53" i="19"/>
  <c r="BZ28" i="19"/>
  <c r="CC28" i="19"/>
  <c r="BZ29" i="19"/>
  <c r="CC29" i="19"/>
  <c r="BZ30" i="19"/>
  <c r="CC30" i="19"/>
  <c r="BZ31" i="19"/>
  <c r="CC31" i="19"/>
  <c r="BZ32" i="19"/>
  <c r="CC32" i="19"/>
  <c r="BZ33" i="19"/>
  <c r="CC33" i="19"/>
  <c r="AF34" i="19"/>
  <c r="AG34" i="19"/>
  <c r="AG18" i="19" s="1"/>
  <c r="AH34" i="19"/>
  <c r="AI34" i="19"/>
  <c r="AI18" i="19" s="1"/>
  <c r="AJ34" i="19"/>
  <c r="AK34" i="19"/>
  <c r="AK18" i="19" s="1"/>
  <c r="AL34" i="19"/>
  <c r="AM34" i="19"/>
  <c r="AM18" i="19" s="1"/>
  <c r="BZ34" i="19"/>
  <c r="CC34" i="19"/>
  <c r="AE35" i="19"/>
  <c r="AF35" i="19"/>
  <c r="AG35" i="19"/>
  <c r="AH35" i="19"/>
  <c r="AI35" i="19"/>
  <c r="AJ35" i="19"/>
  <c r="AK35" i="19"/>
  <c r="AL35" i="19"/>
  <c r="AM35" i="19"/>
  <c r="BZ35" i="19"/>
  <c r="CC35" i="19"/>
  <c r="AE36" i="19"/>
  <c r="AG36" i="19"/>
  <c r="AH36" i="19"/>
  <c r="AI36" i="19"/>
  <c r="AJ36" i="19"/>
  <c r="AK36" i="19"/>
  <c r="AL36" i="19"/>
  <c r="AM36" i="19"/>
  <c r="BE36" i="19"/>
  <c r="BZ36" i="19"/>
  <c r="CC36" i="19"/>
  <c r="AE37" i="19"/>
  <c r="AG37" i="19"/>
  <c r="AH37" i="19"/>
  <c r="AI37" i="19"/>
  <c r="AJ37" i="19"/>
  <c r="AK37" i="19"/>
  <c r="AL37" i="19"/>
  <c r="AM37" i="19"/>
  <c r="BZ37" i="19"/>
  <c r="CC37" i="19"/>
  <c r="AE38" i="19"/>
  <c r="AG38" i="19"/>
  <c r="AH38" i="19"/>
  <c r="AI38" i="19"/>
  <c r="AJ38" i="19"/>
  <c r="AK38" i="19"/>
  <c r="AL38" i="19"/>
  <c r="AM38" i="19"/>
  <c r="BZ38" i="19"/>
  <c r="CC38" i="19"/>
  <c r="AE39" i="19"/>
  <c r="AG39" i="19"/>
  <c r="AH39" i="19"/>
  <c r="AI39" i="19"/>
  <c r="AJ39" i="19"/>
  <c r="AK39" i="19"/>
  <c r="AL39" i="19"/>
  <c r="AM39" i="19"/>
  <c r="BZ39" i="19"/>
  <c r="CC39" i="19"/>
  <c r="AE40" i="19"/>
  <c r="AG40" i="19"/>
  <c r="AH40" i="19"/>
  <c r="AI40" i="19"/>
  <c r="AJ40" i="19"/>
  <c r="AK40" i="19"/>
  <c r="AL40" i="19"/>
  <c r="AM40" i="19"/>
  <c r="BZ40" i="19"/>
  <c r="CC40" i="19"/>
  <c r="BZ15" i="19"/>
  <c r="CC15" i="19"/>
  <c r="BZ16" i="19"/>
  <c r="CC16" i="19"/>
  <c r="AE17" i="19"/>
  <c r="BZ17" i="19"/>
  <c r="CC17" i="19"/>
  <c r="AF18" i="19"/>
  <c r="AH18" i="19"/>
  <c r="AJ18" i="19"/>
  <c r="AL18" i="19"/>
  <c r="BZ18" i="19"/>
  <c r="CC18" i="19"/>
  <c r="C19" i="19"/>
  <c r="BZ19" i="19"/>
  <c r="CC19" i="19"/>
  <c r="B20" i="19"/>
  <c r="D20" i="19"/>
  <c r="C20" i="19" s="1"/>
  <c r="BZ20" i="19"/>
  <c r="CC20" i="19"/>
  <c r="B21" i="19"/>
  <c r="C21" i="19"/>
  <c r="D21" i="19"/>
  <c r="BZ21" i="19"/>
  <c r="CC21" i="19"/>
  <c r="BZ22" i="19"/>
  <c r="CC22" i="19"/>
  <c r="BZ23" i="19"/>
  <c r="CC23" i="19"/>
  <c r="BZ24" i="19"/>
  <c r="CC24" i="19"/>
  <c r="C25" i="19"/>
  <c r="D25" i="19"/>
  <c r="E25" i="19"/>
  <c r="F25" i="19"/>
  <c r="G25" i="19"/>
  <c r="H25" i="19"/>
  <c r="I25" i="19"/>
  <c r="J25" i="19"/>
  <c r="K25" i="19"/>
  <c r="L25" i="19"/>
  <c r="M25" i="19"/>
  <c r="BZ25" i="19"/>
  <c r="CC25" i="19"/>
  <c r="B26" i="19"/>
  <c r="BZ26" i="19"/>
  <c r="CC26" i="19"/>
  <c r="B27" i="19"/>
  <c r="BZ27" i="19"/>
  <c r="CC27" i="19"/>
  <c r="T2" i="19"/>
  <c r="U2" i="19"/>
  <c r="B3" i="19"/>
  <c r="B4" i="19"/>
  <c r="CA7" i="19"/>
  <c r="CA29" i="19" s="1"/>
  <c r="CC7" i="19"/>
  <c r="BW8" i="19"/>
  <c r="CA8" i="19"/>
  <c r="CD8" i="19" s="1"/>
  <c r="CC8" i="19"/>
  <c r="CY8" i="19"/>
  <c r="DB8" i="19"/>
  <c r="DE8" i="19"/>
  <c r="DH8" i="19"/>
  <c r="DK8" i="19"/>
  <c r="BZ9" i="19"/>
  <c r="CC9" i="19"/>
  <c r="BZ11" i="19"/>
  <c r="CC11" i="19"/>
  <c r="BZ12" i="19"/>
  <c r="CC12" i="19"/>
  <c r="BZ13" i="19"/>
  <c r="CC13" i="19"/>
  <c r="BZ14" i="19"/>
  <c r="CC14" i="19"/>
  <c r="BG36" i="19"/>
  <c r="BF36" i="19"/>
  <c r="A6" i="52" l="1"/>
  <c r="A8" i="52"/>
  <c r="E17" i="52"/>
  <c r="O6" i="13" s="1"/>
  <c r="F27" i="52"/>
  <c r="F23" i="52"/>
  <c r="F34" i="52"/>
  <c r="H16" i="52"/>
  <c r="CA163" i="19"/>
  <c r="G16" i="52"/>
  <c r="AF215" i="19"/>
  <c r="AF216" i="19"/>
  <c r="AF49" i="19"/>
  <c r="AF100" i="19"/>
  <c r="AF114" i="19"/>
  <c r="AF127" i="19"/>
  <c r="AF144" i="19"/>
  <c r="AF136" i="19"/>
  <c r="AF146" i="19"/>
  <c r="AF164" i="19"/>
  <c r="AF175" i="19"/>
  <c r="AF189" i="19"/>
  <c r="AF207" i="19"/>
  <c r="AF145" i="19"/>
  <c r="AF57" i="19"/>
  <c r="AF58" i="19"/>
  <c r="AF73" i="19"/>
  <c r="AF165" i="19"/>
  <c r="AF176" i="19"/>
  <c r="AF190" i="19"/>
  <c r="AF208" i="19"/>
  <c r="AF137" i="19"/>
  <c r="AF147" i="19"/>
  <c r="AF59" i="19"/>
  <c r="AF74" i="19"/>
  <c r="AF210" i="19"/>
  <c r="AF188" i="19"/>
  <c r="AF115" i="19"/>
  <c r="AF51" i="19"/>
  <c r="AF43" i="19"/>
  <c r="AF66" i="19"/>
  <c r="AF102" i="19"/>
  <c r="AF94" i="19"/>
  <c r="AF129" i="19"/>
  <c r="AF138" i="19"/>
  <c r="AF148" i="19"/>
  <c r="AF166" i="19"/>
  <c r="AF177" i="19"/>
  <c r="AF191" i="19"/>
  <c r="AF209" i="19"/>
  <c r="AF40" i="19"/>
  <c r="AF99" i="19"/>
  <c r="AF50" i="19"/>
  <c r="AF93" i="19"/>
  <c r="AF128" i="19"/>
  <c r="AF60" i="19"/>
  <c r="AQ63" i="19"/>
  <c r="AF75" i="19"/>
  <c r="AF67" i="19"/>
  <c r="AF217" i="19"/>
  <c r="AF211" i="19"/>
  <c r="AF135" i="19"/>
  <c r="AF65" i="19"/>
  <c r="AF101" i="19"/>
  <c r="AF52" i="19"/>
  <c r="AF44" i="19"/>
  <c r="AF41" i="19"/>
  <c r="AF103" i="19"/>
  <c r="AF95" i="19"/>
  <c r="AF130" i="19"/>
  <c r="AF122" i="19"/>
  <c r="AF139" i="19"/>
  <c r="AF149" i="19"/>
  <c r="AF167" i="19"/>
  <c r="AF178" i="19"/>
  <c r="AF192" i="19"/>
  <c r="AF184" i="19"/>
  <c r="AF174" i="19"/>
  <c r="AF72" i="19"/>
  <c r="AF37" i="19"/>
  <c r="AF61" i="19"/>
  <c r="AF76" i="19"/>
  <c r="AF68" i="19"/>
  <c r="AF212" i="19"/>
  <c r="AF56" i="19"/>
  <c r="AF53" i="19"/>
  <c r="AF104" i="19"/>
  <c r="AF96" i="19"/>
  <c r="AF131" i="19"/>
  <c r="AF123" i="19"/>
  <c r="AF140" i="19"/>
  <c r="AF132" i="19"/>
  <c r="AF168" i="19"/>
  <c r="AF179" i="19"/>
  <c r="AF171" i="19"/>
  <c r="AF185" i="19"/>
  <c r="AF71" i="19"/>
  <c r="AF143" i="19"/>
  <c r="AF38" i="19"/>
  <c r="AF62" i="19"/>
  <c r="AF54" i="19"/>
  <c r="AF77" i="19"/>
  <c r="AF69" i="19"/>
  <c r="AF213" i="19"/>
  <c r="AF36" i="19"/>
  <c r="AF46" i="19"/>
  <c r="AF105" i="19"/>
  <c r="AF97" i="19"/>
  <c r="AF106" i="19"/>
  <c r="AF124" i="19"/>
  <c r="AF141" i="19"/>
  <c r="AF133" i="19"/>
  <c r="AF169" i="19"/>
  <c r="AF180" i="19"/>
  <c r="AF172" i="19"/>
  <c r="AF186" i="19"/>
  <c r="AF48" i="19"/>
  <c r="AF113" i="19"/>
  <c r="AF45" i="19"/>
  <c r="AF39" i="19"/>
  <c r="AF55" i="19"/>
  <c r="AF78" i="19"/>
  <c r="AF70" i="19"/>
  <c r="AF214" i="19"/>
  <c r="AF126" i="19"/>
  <c r="AF182" i="19"/>
  <c r="AF47" i="19"/>
  <c r="AF98" i="19"/>
  <c r="AF125" i="19"/>
  <c r="AF142" i="19"/>
  <c r="AF134" i="19"/>
  <c r="AF170" i="19"/>
  <c r="AF181" i="19"/>
  <c r="AF173" i="19"/>
  <c r="AF187" i="19"/>
  <c r="CA17" i="19"/>
  <c r="CA49" i="19"/>
  <c r="CA50" i="19"/>
  <c r="CA42" i="19"/>
  <c r="CA65" i="19"/>
  <c r="CA89" i="19"/>
  <c r="CA85" i="19"/>
  <c r="CA81" i="19"/>
  <c r="I27" i="19" s="1"/>
  <c r="CD102" i="19"/>
  <c r="CA101" i="19"/>
  <c r="CA93" i="19"/>
  <c r="CA115" i="19"/>
  <c r="CA128" i="19"/>
  <c r="CA137" i="19"/>
  <c r="CA154" i="19"/>
  <c r="CA150" i="19"/>
  <c r="CA147" i="19"/>
  <c r="CA165" i="19"/>
  <c r="CA100" i="19"/>
  <c r="CA118" i="19"/>
  <c r="CA11" i="19"/>
  <c r="CA34" i="19"/>
  <c r="CA59" i="19"/>
  <c r="CA74" i="19"/>
  <c r="CA92" i="19"/>
  <c r="CA43" i="19"/>
  <c r="L27" i="19" s="1"/>
  <c r="CA138" i="19"/>
  <c r="CA148" i="19"/>
  <c r="CA166" i="19"/>
  <c r="CA57" i="19"/>
  <c r="CA72" i="19"/>
  <c r="CA33" i="19"/>
  <c r="CA51" i="19"/>
  <c r="CA94" i="19"/>
  <c r="CA110" i="19"/>
  <c r="CA129" i="19"/>
  <c r="CA14" i="19"/>
  <c r="CA24" i="19"/>
  <c r="CA16" i="19"/>
  <c r="CA36" i="19"/>
  <c r="CA60" i="19"/>
  <c r="CA75" i="19"/>
  <c r="CA67" i="19"/>
  <c r="J27" i="19" s="1"/>
  <c r="CA158" i="19"/>
  <c r="CA19" i="19"/>
  <c r="CA111" i="19"/>
  <c r="CA102" i="19"/>
  <c r="CA121" i="19"/>
  <c r="CA27" i="19"/>
  <c r="CA35" i="19"/>
  <c r="CA52" i="19"/>
  <c r="CA44" i="19"/>
  <c r="CA41" i="19"/>
  <c r="CA88" i="19"/>
  <c r="CA84" i="19"/>
  <c r="CA80" i="19"/>
  <c r="CA103" i="19"/>
  <c r="G27" i="19" s="1"/>
  <c r="CA95" i="19"/>
  <c r="CA107" i="19"/>
  <c r="CA130" i="19"/>
  <c r="CA122" i="19"/>
  <c r="CD140" i="19"/>
  <c r="CA139" i="19"/>
  <c r="D27" i="19" s="1"/>
  <c r="CA157" i="19"/>
  <c r="CA153" i="19"/>
  <c r="CA149" i="19"/>
  <c r="CA127" i="19"/>
  <c r="E27" i="19" s="1"/>
  <c r="CA136" i="19"/>
  <c r="CA58" i="19"/>
  <c r="CA66" i="19"/>
  <c r="CA26" i="19"/>
  <c r="CA25" i="19"/>
  <c r="CA37" i="19"/>
  <c r="CA61" i="19"/>
  <c r="CA79" i="19"/>
  <c r="CD77" i="19"/>
  <c r="CA76" i="19"/>
  <c r="CA68" i="19"/>
  <c r="CA108" i="19"/>
  <c r="CA20" i="19"/>
  <c r="CA31" i="19"/>
  <c r="CA53" i="19"/>
  <c r="CA45" i="19"/>
  <c r="CA104" i="19"/>
  <c r="CA96" i="19"/>
  <c r="CA109" i="19"/>
  <c r="CD106" i="19"/>
  <c r="CA131" i="19"/>
  <c r="CA123" i="19"/>
  <c r="CA120" i="19"/>
  <c r="CA140" i="19"/>
  <c r="CA132" i="19"/>
  <c r="CA144" i="19"/>
  <c r="CA159" i="19"/>
  <c r="CA63" i="19"/>
  <c r="CA13" i="19"/>
  <c r="CA23" i="19"/>
  <c r="CA15" i="19"/>
  <c r="CA38" i="19"/>
  <c r="CA62" i="19"/>
  <c r="CA54" i="19"/>
  <c r="CA77" i="19"/>
  <c r="CA69" i="19"/>
  <c r="CA161" i="19"/>
  <c r="CA87" i="19"/>
  <c r="CA83" i="19"/>
  <c r="CA105" i="19"/>
  <c r="CA97" i="19"/>
  <c r="CA106" i="19"/>
  <c r="CA124" i="19"/>
  <c r="CA141" i="19"/>
  <c r="CA133" i="19"/>
  <c r="CA156" i="19"/>
  <c r="CA152" i="19"/>
  <c r="CA114" i="19"/>
  <c r="CA21" i="19"/>
  <c r="CA18" i="19"/>
  <c r="CA32" i="19"/>
  <c r="M27" i="19" s="1"/>
  <c r="CA46" i="19"/>
  <c r="CA39" i="19"/>
  <c r="CA55" i="19"/>
  <c r="CA78" i="19"/>
  <c r="CA70" i="19"/>
  <c r="CA162" i="19"/>
  <c r="CA64" i="19"/>
  <c r="CA91" i="19"/>
  <c r="H27" i="19" s="1"/>
  <c r="CA164" i="19"/>
  <c r="CA28" i="19"/>
  <c r="CA30" i="19"/>
  <c r="CA47" i="19"/>
  <c r="CA98" i="19"/>
  <c r="CA112" i="19"/>
  <c r="CA125" i="19"/>
  <c r="CA119" i="19"/>
  <c r="CA142" i="19"/>
  <c r="CA134" i="19"/>
  <c r="CD163" i="19"/>
  <c r="CA117" i="19"/>
  <c r="CA146" i="19"/>
  <c r="CA73" i="19"/>
  <c r="CA12" i="19"/>
  <c r="CD7" i="19"/>
  <c r="CD28" i="19" s="1"/>
  <c r="CA22" i="19"/>
  <c r="CA40" i="19"/>
  <c r="CA56" i="19"/>
  <c r="K27" i="19" s="1"/>
  <c r="CA71" i="19"/>
  <c r="CA160" i="19"/>
  <c r="CD49" i="19"/>
  <c r="CA48" i="19"/>
  <c r="CA90" i="19"/>
  <c r="CA86" i="19"/>
  <c r="CA82" i="19"/>
  <c r="CA99" i="19"/>
  <c r="CA116" i="19"/>
  <c r="F27" i="19" s="1"/>
  <c r="CA113" i="19"/>
  <c r="CA126" i="19"/>
  <c r="CD144" i="19"/>
  <c r="CA143" i="19"/>
  <c r="CA135" i="19"/>
  <c r="CA155" i="19"/>
  <c r="CA151" i="19"/>
  <c r="C27" i="19" s="1"/>
  <c r="CA145" i="19"/>
  <c r="CD130" i="19" l="1"/>
  <c r="CD29" i="19"/>
  <c r="CD60" i="19"/>
  <c r="CD127" i="19"/>
  <c r="CD33" i="19"/>
  <c r="CD135" i="19"/>
  <c r="CD23" i="19"/>
  <c r="CD151" i="19"/>
  <c r="CD120" i="19"/>
  <c r="CD122" i="19"/>
  <c r="CD87" i="19"/>
  <c r="CD13" i="19"/>
  <c r="CD111" i="19"/>
  <c r="CD17" i="19"/>
  <c r="CD114" i="19"/>
  <c r="CD117" i="19"/>
  <c r="CD71" i="19"/>
  <c r="CD80" i="19"/>
  <c r="CD31" i="19"/>
  <c r="CD109" i="19"/>
  <c r="G34" i="52"/>
  <c r="G27" i="52"/>
  <c r="G23" i="52"/>
  <c r="CD68" i="19"/>
  <c r="CD166" i="19"/>
  <c r="CD57" i="19"/>
  <c r="CD116" i="19"/>
  <c r="H17" i="52"/>
  <c r="H34" i="52"/>
  <c r="H27" i="52"/>
  <c r="H23" i="52"/>
  <c r="CD27" i="19"/>
  <c r="CD100" i="19"/>
  <c r="CD22" i="19"/>
  <c r="CD35" i="19"/>
  <c r="CD76" i="19"/>
  <c r="F17" i="52"/>
  <c r="CD118" i="19"/>
  <c r="CD146" i="19"/>
  <c r="CD99" i="19"/>
  <c r="CD162" i="19"/>
  <c r="CD156" i="19"/>
  <c r="CD25" i="19"/>
  <c r="CD95" i="19"/>
  <c r="CD91" i="19"/>
  <c r="CD45" i="19"/>
  <c r="CD158" i="19"/>
  <c r="CD82" i="19"/>
  <c r="CD161" i="19"/>
  <c r="CD90" i="19"/>
  <c r="CD37" i="19"/>
  <c r="CD136" i="19"/>
  <c r="CD64" i="19"/>
  <c r="CD55" i="19"/>
  <c r="G17" i="52"/>
  <c r="A11" i="52"/>
  <c r="A4" i="52"/>
  <c r="CD145" i="19"/>
  <c r="CD86" i="19"/>
  <c r="CD134" i="19"/>
  <c r="CD70" i="19"/>
  <c r="CD97" i="19"/>
  <c r="CD20" i="19"/>
  <c r="CD123" i="19"/>
  <c r="CD53" i="19"/>
  <c r="CD79" i="19"/>
  <c r="CD103" i="19"/>
  <c r="CD67" i="19"/>
  <c r="CD148" i="19"/>
  <c r="CD56" i="19"/>
  <c r="CD84" i="19"/>
  <c r="CD63" i="19"/>
  <c r="CD155" i="19"/>
  <c r="CD142" i="19"/>
  <c r="CD78" i="19"/>
  <c r="CD105" i="19"/>
  <c r="CD69" i="19"/>
  <c r="CD131" i="19"/>
  <c r="CD61" i="19"/>
  <c r="CD41" i="19"/>
  <c r="CD75" i="19"/>
  <c r="CD72" i="19"/>
  <c r="CD48" i="19"/>
  <c r="CD40" i="19"/>
  <c r="CD119" i="19"/>
  <c r="CD152" i="19"/>
  <c r="CD83" i="19"/>
  <c r="CD66" i="19"/>
  <c r="CD138" i="19"/>
  <c r="CD125" i="19"/>
  <c r="CD88" i="19"/>
  <c r="CD121" i="19"/>
  <c r="CD43" i="19"/>
  <c r="CD143" i="19"/>
  <c r="CD47" i="19"/>
  <c r="CD12" i="19"/>
  <c r="CD133" i="19"/>
  <c r="CD46" i="19"/>
  <c r="CD54" i="19"/>
  <c r="CD96" i="19"/>
  <c r="CD44" i="19"/>
  <c r="CD36" i="19"/>
  <c r="CD164" i="19"/>
  <c r="CD19" i="19"/>
  <c r="CD112" i="19"/>
  <c r="CD39" i="19"/>
  <c r="CD52" i="19"/>
  <c r="CD16" i="19"/>
  <c r="CD129" i="19"/>
  <c r="CD51" i="19"/>
  <c r="CD141" i="19"/>
  <c r="CD62" i="19"/>
  <c r="CD104" i="19"/>
  <c r="CD24" i="19"/>
  <c r="CD110" i="19"/>
  <c r="CD74" i="19"/>
  <c r="CD65" i="19"/>
  <c r="CD73" i="19"/>
  <c r="CD137" i="19"/>
  <c r="CD85" i="19"/>
  <c r="CD11" i="19"/>
  <c r="CD150" i="19"/>
  <c r="CD128" i="19"/>
  <c r="CD115" i="19"/>
  <c r="CD59" i="19"/>
  <c r="CD34" i="19"/>
  <c r="CD147" i="19"/>
  <c r="CD159" i="19"/>
  <c r="CD58" i="19"/>
  <c r="CD92" i="19"/>
  <c r="CD101" i="19"/>
  <c r="CD42" i="19"/>
  <c r="CD165" i="19"/>
  <c r="CD50" i="19"/>
  <c r="CD154" i="19"/>
  <c r="CD89" i="19"/>
  <c r="CD26" i="19"/>
  <c r="CD93" i="19"/>
  <c r="CD81" i="19"/>
  <c r="CD21" i="19"/>
  <c r="CD126" i="19"/>
  <c r="CD98" i="19"/>
  <c r="CD149" i="19"/>
  <c r="CD153" i="19"/>
  <c r="CD14" i="19"/>
  <c r="CD32" i="19"/>
  <c r="CD38" i="19"/>
  <c r="CD157" i="19"/>
  <c r="CD18" i="19"/>
  <c r="CD30" i="19"/>
  <c r="CD113" i="19"/>
  <c r="CD160" i="19"/>
  <c r="CD124" i="19"/>
  <c r="CD15" i="19"/>
  <c r="CD132" i="19"/>
  <c r="CD108" i="19"/>
  <c r="CD139" i="19"/>
  <c r="CD107" i="19"/>
  <c r="CD94" i="19"/>
  <c r="C26" i="19" l="1"/>
  <c r="J26" i="19"/>
  <c r="E26" i="19"/>
  <c r="K26" i="19"/>
  <c r="G26" i="19"/>
  <c r="M26" i="19"/>
  <c r="I26" i="19"/>
  <c r="F26" i="19"/>
  <c r="H26" i="19"/>
  <c r="D26" i="19"/>
  <c r="L26" i="19"/>
  <c r="B5" i="19" l="1"/>
  <c r="CY7" i="19" l="1"/>
  <c r="CY10" i="19" s="1"/>
  <c r="BQ10" i="19"/>
  <c r="DE7" i="19"/>
  <c r="DE10" i="19" s="1"/>
  <c r="DB7" i="19"/>
  <c r="DB10" i="19" s="1"/>
  <c r="BT10" i="19"/>
  <c r="BW10" i="19"/>
  <c r="DH7" i="19"/>
  <c r="DH10" i="19" s="1"/>
  <c r="CN10" i="19"/>
  <c r="DK7" i="19"/>
  <c r="DK10" i="19" s="1"/>
  <c r="CQ10" i="19"/>
  <c r="B16" i="51"/>
  <c r="F11" i="51"/>
  <c r="H13" i="51"/>
  <c r="C13" i="51"/>
  <c r="F3" i="51"/>
  <c r="F4" i="51"/>
  <c r="F5" i="51"/>
  <c r="F6" i="51"/>
  <c r="F7" i="51"/>
  <c r="F8" i="51"/>
  <c r="F9" i="51"/>
  <c r="F10" i="51"/>
  <c r="F2" i="51"/>
  <c r="T5" i="19" l="1"/>
  <c r="U5" i="19"/>
  <c r="U6" i="19"/>
  <c r="T6" i="19"/>
  <c r="U7" i="19"/>
  <c r="T7" i="19"/>
  <c r="U4" i="19"/>
  <c r="T4" i="19"/>
  <c r="U3" i="19"/>
  <c r="T3" i="19"/>
  <c r="B27" i="51"/>
  <c r="V3" i="19" l="1"/>
  <c r="V4" i="19"/>
  <c r="V7" i="19"/>
  <c r="V6" i="19"/>
  <c r="V5" i="19"/>
  <c r="B192" i="24"/>
  <c r="B191" i="24"/>
  <c r="B190" i="24"/>
  <c r="B189" i="24"/>
  <c r="B188" i="24"/>
  <c r="B187" i="24"/>
  <c r="B186" i="24"/>
  <c r="B185" i="24"/>
  <c r="B184" i="24"/>
  <c r="B183" i="24"/>
  <c r="B182" i="24"/>
  <c r="B181" i="24"/>
  <c r="B180" i="24"/>
  <c r="B179" i="24"/>
  <c r="B178" i="24"/>
  <c r="B177" i="24"/>
  <c r="B176" i="24"/>
  <c r="B175" i="24"/>
  <c r="B174" i="24"/>
  <c r="B173" i="24"/>
  <c r="B172" i="24"/>
  <c r="B171" i="24"/>
  <c r="B170" i="24"/>
  <c r="B169" i="24"/>
  <c r="B168" i="24"/>
  <c r="B167" i="24"/>
  <c r="B166" i="24"/>
  <c r="B159" i="24"/>
  <c r="B158" i="24"/>
  <c r="B157" i="24"/>
  <c r="B150" i="24"/>
  <c r="B149" i="24"/>
  <c r="B148" i="24"/>
  <c r="B144" i="24"/>
  <c r="B143" i="24"/>
  <c r="B142" i="24"/>
  <c r="B138" i="24"/>
  <c r="B137" i="24"/>
  <c r="B136" i="24"/>
  <c r="B132" i="24"/>
  <c r="B131" i="24"/>
  <c r="B130" i="24"/>
  <c r="B128" i="24"/>
  <c r="B104" i="24"/>
  <c r="B102" i="24"/>
  <c r="B101" i="24"/>
  <c r="B100" i="24"/>
  <c r="B99" i="24"/>
  <c r="B98" i="24"/>
  <c r="B96" i="24"/>
  <c r="B95" i="24"/>
  <c r="B94" i="24"/>
  <c r="B87" i="24"/>
  <c r="B84" i="24"/>
  <c r="B82" i="24"/>
  <c r="B72" i="24"/>
  <c r="B71" i="24"/>
  <c r="B70" i="24"/>
  <c r="B69" i="24"/>
  <c r="B39" i="24"/>
  <c r="B38" i="24"/>
  <c r="B26" i="24"/>
  <c r="B25" i="24"/>
  <c r="B24" i="24"/>
  <c r="P40" i="42"/>
  <c r="B496" i="24" s="1"/>
  <c r="O40" i="42"/>
  <c r="B495" i="24" s="1"/>
  <c r="N40" i="42"/>
  <c r="B494" i="24" s="1"/>
  <c r="M40" i="42"/>
  <c r="B493" i="24" s="1"/>
  <c r="L40" i="42"/>
  <c r="B492" i="24" s="1"/>
  <c r="K40" i="42"/>
  <c r="B491" i="24" s="1"/>
  <c r="J40" i="42"/>
  <c r="B490" i="24" s="1"/>
  <c r="I40" i="42"/>
  <c r="B489" i="24" s="1"/>
  <c r="H40" i="42"/>
  <c r="B488" i="24" s="1"/>
  <c r="G40" i="42"/>
  <c r="B487" i="24" s="1"/>
  <c r="F40" i="42"/>
  <c r="B486" i="24" s="1"/>
  <c r="P38" i="42"/>
  <c r="B468" i="24" s="1"/>
  <c r="O38" i="42"/>
  <c r="B467" i="24" s="1"/>
  <c r="N38" i="42"/>
  <c r="B466" i="24" s="1"/>
  <c r="M38" i="42"/>
  <c r="B465" i="24" s="1"/>
  <c r="L38" i="42"/>
  <c r="B464" i="24" s="1"/>
  <c r="K38" i="42"/>
  <c r="B463" i="24" s="1"/>
  <c r="J38" i="42"/>
  <c r="B462" i="24" s="1"/>
  <c r="I38" i="42"/>
  <c r="B461" i="24" s="1"/>
  <c r="H38" i="42"/>
  <c r="B460" i="24" s="1"/>
  <c r="G38" i="42"/>
  <c r="B459" i="24" s="1"/>
  <c r="F38" i="42"/>
  <c r="B458" i="24" s="1"/>
  <c r="F62" i="42" l="1"/>
  <c r="B751" i="24" s="1"/>
  <c r="G60" i="13" l="1"/>
  <c r="H61" i="13"/>
  <c r="G61" i="13"/>
  <c r="F61" i="13"/>
  <c r="DK7" i="15"/>
  <c r="DK8" i="15"/>
  <c r="DH8" i="15"/>
  <c r="DE8" i="15"/>
  <c r="DB8" i="15"/>
  <c r="DK10" i="15" l="1"/>
  <c r="F60" i="13"/>
  <c r="G56" i="13"/>
  <c r="F56" i="13"/>
  <c r="I60" i="13"/>
  <c r="I61" i="13"/>
  <c r="J60" i="13"/>
  <c r="J61" i="13"/>
  <c r="K39" i="42"/>
  <c r="B477" i="24" s="1"/>
  <c r="K37" i="42"/>
  <c r="B449" i="24" s="1"/>
  <c r="L39" i="42"/>
  <c r="B478" i="24" s="1"/>
  <c r="L37" i="42"/>
  <c r="B450" i="24" s="1"/>
  <c r="M37" i="42"/>
  <c r="B451" i="24" s="1"/>
  <c r="M39" i="42"/>
  <c r="B479" i="24" s="1"/>
  <c r="N39" i="42"/>
  <c r="B480" i="24" s="1"/>
  <c r="N37" i="42"/>
  <c r="B452" i="24" s="1"/>
  <c r="O39" i="42"/>
  <c r="B481" i="24" s="1"/>
  <c r="O37" i="42"/>
  <c r="B453" i="24" s="1"/>
  <c r="P37" i="42"/>
  <c r="B454" i="24" s="1"/>
  <c r="P39" i="42"/>
  <c r="B482" i="24" s="1"/>
  <c r="H56" i="13"/>
  <c r="H60" i="13"/>
  <c r="I56" i="13"/>
  <c r="J56" i="13"/>
  <c r="DB7" i="15"/>
  <c r="DB10" i="15" s="1"/>
  <c r="DE7" i="15"/>
  <c r="DE10" i="15" s="1"/>
  <c r="DH7" i="15"/>
  <c r="DH10" i="15" s="1"/>
  <c r="F37" i="42" l="1"/>
  <c r="B444" i="24" s="1"/>
  <c r="F54" i="13"/>
  <c r="G12" i="11" s="1"/>
  <c r="F39" i="42"/>
  <c r="B472" i="24" s="1"/>
  <c r="H37" i="42"/>
  <c r="B446" i="24" s="1"/>
  <c r="H54" i="13"/>
  <c r="H39" i="42"/>
  <c r="B474" i="24" s="1"/>
  <c r="J54" i="13"/>
  <c r="J39" i="42"/>
  <c r="B476" i="24" s="1"/>
  <c r="J37" i="42"/>
  <c r="B448" i="24" s="1"/>
  <c r="E56" i="13"/>
  <c r="D56" i="13" s="1"/>
  <c r="C56" i="13" s="1"/>
  <c r="I39" i="42"/>
  <c r="B475" i="24" s="1"/>
  <c r="I37" i="42"/>
  <c r="B447" i="24" s="1"/>
  <c r="I54" i="13"/>
  <c r="G39" i="42"/>
  <c r="B473" i="24" s="1"/>
  <c r="G37" i="42"/>
  <c r="B445" i="24" s="1"/>
  <c r="G54" i="13"/>
  <c r="E54" i="13" l="1"/>
  <c r="C17" i="11" l="1"/>
  <c r="S7" i="11" s="1"/>
  <c r="S8" i="11" s="1"/>
  <c r="AL19" i="11"/>
  <c r="AL20" i="11"/>
  <c r="AL21" i="11"/>
  <c r="AL18" i="11"/>
  <c r="AW17" i="11" l="1"/>
  <c r="AV17" i="11"/>
  <c r="B21" i="50" l="1"/>
  <c r="B22" i="50" s="1"/>
  <c r="B23" i="50" s="1"/>
  <c r="B24" i="50" s="1"/>
  <c r="B25" i="50" s="1"/>
  <c r="B26" i="50" s="1"/>
  <c r="B27" i="50" s="1"/>
  <c r="B28" i="50" s="1"/>
  <c r="B29" i="50" s="1"/>
  <c r="B9" i="50"/>
  <c r="B10" i="50" s="1"/>
  <c r="B11" i="50" s="1"/>
  <c r="B12" i="50" s="1"/>
  <c r="B13" i="50" s="1"/>
  <c r="B14" i="50" s="1"/>
  <c r="B15" i="50" s="1"/>
  <c r="B16" i="50" s="1"/>
  <c r="B17" i="50" s="1"/>
  <c r="F2" i="50" l="1"/>
  <c r="L8" i="50"/>
  <c r="L10" i="50" l="1"/>
  <c r="L20" i="50"/>
  <c r="L9" i="50"/>
  <c r="L11" i="50"/>
  <c r="L19" i="50" l="1"/>
  <c r="L7" i="50"/>
  <c r="B14" i="24"/>
  <c r="Z61" i="13"/>
  <c r="B81" i="24" s="1"/>
  <c r="O7" i="11" l="1"/>
  <c r="O8" i="11"/>
  <c r="C29" i="11" s="1"/>
  <c r="L31" i="50"/>
  <c r="Z62" i="13"/>
  <c r="M38" i="50"/>
  <c r="N7" i="50" l="1"/>
  <c r="L33" i="50"/>
  <c r="N8" i="50"/>
  <c r="N11" i="50"/>
  <c r="N9" i="50"/>
  <c r="N20" i="50"/>
  <c r="N10" i="50"/>
  <c r="N19" i="50"/>
  <c r="N31" i="50" l="1"/>
  <c r="U59" i="13" l="1"/>
  <c r="V59" i="13" l="1"/>
  <c r="U58" i="13" l="1"/>
  <c r="N12" i="11"/>
  <c r="C5" i="27" l="1"/>
  <c r="B22" i="36"/>
  <c r="B5" i="27"/>
  <c r="E865" i="24"/>
  <c r="E478" i="24"/>
  <c r="E938" i="24"/>
  <c r="E590" i="24"/>
  <c r="E518" i="24"/>
  <c r="E1008" i="24"/>
  <c r="E183" i="24"/>
  <c r="E466" i="24"/>
  <c r="E671" i="24"/>
  <c r="E1026" i="24"/>
  <c r="E827" i="24"/>
  <c r="E79" i="24"/>
  <c r="E1001" i="24"/>
  <c r="E76" i="24"/>
  <c r="E49" i="24"/>
  <c r="E532" i="24"/>
  <c r="E406" i="24"/>
  <c r="E834" i="24"/>
  <c r="E309" i="24"/>
  <c r="E499" i="24"/>
  <c r="E106" i="24"/>
  <c r="E122" i="24"/>
  <c r="E1003" i="24"/>
  <c r="E945" i="24"/>
  <c r="E838" i="24"/>
  <c r="E621" i="24"/>
  <c r="E492" i="24"/>
  <c r="E843" i="24"/>
  <c r="E756" i="24"/>
  <c r="E135" i="24"/>
  <c r="E86" i="24"/>
  <c r="E294" i="24"/>
  <c r="E250" i="24"/>
  <c r="E1009" i="24"/>
  <c r="E37" i="24"/>
  <c r="E682" i="24"/>
  <c r="E727" i="24"/>
  <c r="E280" i="24"/>
  <c r="E814" i="24"/>
  <c r="E306" i="24"/>
  <c r="E342" i="24"/>
  <c r="E77" i="24"/>
  <c r="E707" i="24"/>
  <c r="E258" i="24"/>
  <c r="E203" i="24"/>
  <c r="E364" i="24"/>
  <c r="E856" i="24"/>
  <c r="E578" i="24"/>
  <c r="E600" i="24"/>
  <c r="E375" i="24"/>
  <c r="E954" i="24"/>
  <c r="E232" i="24"/>
  <c r="E357" i="24"/>
  <c r="E706" i="24"/>
  <c r="E971" i="24"/>
  <c r="E152" i="24"/>
  <c r="E28" i="24"/>
  <c r="E401" i="24"/>
  <c r="E579" i="24"/>
  <c r="E668" i="24"/>
  <c r="E246" i="24"/>
  <c r="E952" i="24"/>
  <c r="E695" i="24"/>
  <c r="E15" i="24"/>
  <c r="E587" i="24"/>
  <c r="E73" i="24"/>
  <c r="E864" i="24"/>
  <c r="E476" i="24"/>
  <c r="E227" i="24"/>
  <c r="E981" i="24"/>
  <c r="E588" i="24"/>
  <c r="E27" i="24"/>
  <c r="E89" i="24"/>
  <c r="E886" i="24"/>
  <c r="E480" i="24"/>
  <c r="E451" i="24"/>
  <c r="E667" i="24"/>
  <c r="E780" i="24"/>
  <c r="E437" i="24"/>
  <c r="E642" i="24"/>
  <c r="E301" i="24"/>
  <c r="E372" i="24"/>
  <c r="E71" i="24"/>
  <c r="E269" i="24"/>
  <c r="E616" i="24"/>
  <c r="E560" i="24"/>
  <c r="E205" i="24"/>
  <c r="E546" i="24"/>
  <c r="E673" i="24"/>
  <c r="E884" i="24"/>
  <c r="E179" i="24"/>
  <c r="E926" i="24"/>
  <c r="E871" i="24"/>
  <c r="E200" i="24"/>
  <c r="E957" i="24"/>
  <c r="E826" i="24"/>
  <c r="E251" i="24"/>
  <c r="E130" i="24"/>
  <c r="E908" i="24"/>
  <c r="E688" i="24"/>
  <c r="E918" i="24"/>
  <c r="E513" i="24"/>
  <c r="E544" i="24"/>
  <c r="E261" i="24"/>
  <c r="E517" i="24"/>
  <c r="E891" i="24"/>
  <c r="E218" i="24"/>
  <c r="E946" i="24"/>
  <c r="E726" i="24"/>
  <c r="E1021" i="24"/>
  <c r="E277" i="24"/>
  <c r="E391" i="24"/>
  <c r="E439" i="24"/>
  <c r="E685" i="24"/>
  <c r="E537" i="24"/>
  <c r="E318" i="24"/>
  <c r="E634" i="24"/>
  <c r="E893" i="24"/>
  <c r="E923" i="24"/>
  <c r="E327" i="24"/>
  <c r="E181" i="24"/>
  <c r="E837" i="24"/>
  <c r="E385" i="24"/>
  <c r="E754" i="24"/>
  <c r="E521" i="24"/>
  <c r="E882" i="24"/>
  <c r="E359" i="24"/>
  <c r="E747" i="24"/>
  <c r="E737" i="24"/>
  <c r="E210" i="24"/>
  <c r="E137" i="24"/>
  <c r="E379" i="24"/>
  <c r="E96" i="24"/>
  <c r="E640" i="24"/>
  <c r="E176" i="24"/>
  <c r="E217" i="24"/>
  <c r="E64" i="24"/>
  <c r="E63" i="24"/>
  <c r="E432" i="24"/>
  <c r="E605" i="24"/>
  <c r="E486" i="24"/>
  <c r="E265" i="24"/>
  <c r="E725" i="24"/>
  <c r="E429" i="24"/>
  <c r="E1006" i="24"/>
  <c r="E914" i="24"/>
  <c r="E289" i="24"/>
  <c r="E1015" i="24"/>
  <c r="E797" i="24"/>
  <c r="E977" i="24"/>
  <c r="E435" i="24"/>
  <c r="E18" i="24"/>
  <c r="E134" i="24"/>
  <c r="E211" i="24"/>
  <c r="E973" i="24"/>
  <c r="E494" i="24"/>
  <c r="E426" i="24"/>
  <c r="E271" i="24"/>
  <c r="E524" i="24"/>
  <c r="E779" i="24"/>
  <c r="E91" i="24"/>
  <c r="E573" i="24"/>
  <c r="E520" i="24"/>
  <c r="E252" i="24"/>
  <c r="E290" i="24"/>
  <c r="E443" i="24"/>
  <c r="E113" i="24"/>
  <c r="E812" i="24"/>
  <c r="E1000" i="24"/>
  <c r="E643" i="24"/>
  <c r="E752" i="24"/>
  <c r="E845" i="24"/>
  <c r="E624" i="24"/>
  <c r="E497" i="24"/>
  <c r="E931" i="24"/>
  <c r="E863" i="24"/>
  <c r="E57" i="24"/>
  <c r="E377" i="24"/>
  <c r="E846" i="24"/>
  <c r="E247" i="24"/>
  <c r="E46" i="24"/>
  <c r="E716" i="24"/>
  <c r="E453" i="24"/>
  <c r="E151" i="24"/>
  <c r="E169" i="24"/>
  <c r="E1004" i="24"/>
  <c r="E104" i="24"/>
  <c r="E902" i="24"/>
  <c r="E881" i="24"/>
  <c r="E83" i="24"/>
  <c r="E733" i="24"/>
  <c r="E462" i="24"/>
  <c r="E502" i="24"/>
  <c r="E464" i="24"/>
  <c r="E33" i="24"/>
  <c r="E175" i="24"/>
  <c r="E212" i="24"/>
  <c r="E662" i="24"/>
  <c r="E949" i="24"/>
  <c r="E482" i="24"/>
  <c r="E1014" i="24"/>
  <c r="E337" i="24"/>
  <c r="E659" i="24"/>
  <c r="E454" i="24"/>
  <c r="E257" i="24"/>
  <c r="E201" i="24"/>
  <c r="E1027" i="24"/>
  <c r="E943" i="24"/>
  <c r="E817" i="24"/>
  <c r="E713" i="24"/>
  <c r="E649" i="24"/>
  <c r="E831" i="24"/>
  <c r="E575" i="24"/>
  <c r="E639" i="24"/>
  <c r="E320" i="24"/>
  <c r="E116" i="24"/>
  <c r="E650" i="24"/>
  <c r="E836" i="24"/>
  <c r="E105" i="24"/>
  <c r="E87" i="24"/>
  <c r="E336" i="24"/>
  <c r="E522" i="24"/>
  <c r="E172" i="24"/>
  <c r="E766" i="24"/>
  <c r="E225" i="24"/>
  <c r="E596" i="24"/>
  <c r="E428" i="24"/>
  <c r="E126" i="24"/>
  <c r="E719" i="24"/>
  <c r="E745" i="24"/>
  <c r="E710" i="24"/>
  <c r="E408" i="24"/>
  <c r="E417" i="24"/>
  <c r="E450" i="24"/>
  <c r="E644" i="24"/>
  <c r="E614" i="24"/>
  <c r="E166" i="24"/>
  <c r="E935" i="24"/>
  <c r="E597" i="24"/>
  <c r="E775" i="24"/>
  <c r="E961" i="24"/>
  <c r="E95" i="24"/>
  <c r="E922" i="24"/>
  <c r="E1010" i="24"/>
  <c r="E528" i="24"/>
  <c r="E100" i="24"/>
  <c r="E972" i="24"/>
  <c r="E299" i="24"/>
  <c r="E352" i="24"/>
  <c r="E678" i="24"/>
  <c r="E50" i="24"/>
  <c r="E504" i="24"/>
  <c r="E663" i="24"/>
  <c r="E399" i="24"/>
  <c r="E633" i="24"/>
  <c r="E989" i="24"/>
  <c r="E580" i="24"/>
  <c r="E431" i="24"/>
  <c r="E384" i="24"/>
  <c r="E792" i="24"/>
  <c r="E915" i="24"/>
  <c r="E995" i="24"/>
  <c r="E25" i="24"/>
  <c r="E1022" i="24"/>
  <c r="E561" i="24"/>
  <c r="E525" i="24"/>
  <c r="E898" i="24"/>
  <c r="E793" i="24"/>
  <c r="E267" i="24"/>
  <c r="E374" i="24"/>
  <c r="E381" i="24"/>
  <c r="E750" i="24"/>
  <c r="E622" i="24"/>
  <c r="E905" i="24"/>
  <c r="E1017" i="24"/>
  <c r="E245" i="24"/>
  <c r="E495" i="24"/>
  <c r="E748" i="24"/>
  <c r="E376" i="24"/>
  <c r="E967" i="24"/>
  <c r="E311" i="24"/>
  <c r="E305" i="24"/>
  <c r="E325" i="24"/>
  <c r="E980" i="24"/>
  <c r="E979" i="24"/>
  <c r="E219" i="24"/>
  <c r="E773" i="24"/>
  <c r="E924" i="24"/>
  <c r="E457" i="24"/>
  <c r="E213" i="24"/>
  <c r="E602" i="24"/>
  <c r="E345" i="24"/>
  <c r="E584" i="24"/>
  <c r="E82" i="24"/>
  <c r="E991" i="24"/>
  <c r="E920" i="24"/>
  <c r="E784" i="24"/>
  <c r="E5" i="24"/>
  <c r="E38" i="24"/>
  <c r="E548" i="24"/>
  <c r="E390" i="24"/>
  <c r="E235" i="24"/>
  <c r="E491" i="24"/>
  <c r="E894" i="24"/>
  <c r="E832" i="24"/>
  <c r="E31" i="24"/>
  <c r="E177" i="24"/>
  <c r="E815" i="24"/>
  <c r="E282" i="24"/>
  <c r="E509" i="24"/>
  <c r="E586" i="24"/>
  <c r="E133" i="24"/>
  <c r="E992" i="24"/>
  <c r="E916" i="24"/>
  <c r="E402" i="24"/>
  <c r="E474" i="24"/>
  <c r="E942" i="24"/>
  <c r="E909" i="24"/>
  <c r="E813" i="24"/>
  <c r="E51" i="24"/>
  <c r="E620" i="24"/>
  <c r="E507" i="24"/>
  <c r="E39" i="24"/>
  <c r="E599" i="24"/>
  <c r="E471" i="24"/>
  <c r="E393" i="24"/>
  <c r="E859" i="24"/>
  <c r="E145" i="24"/>
  <c r="E746" i="24"/>
  <c r="E940" i="24"/>
  <c r="E144" i="24"/>
  <c r="E61" i="24"/>
  <c r="E911" i="24"/>
  <c r="E764" i="24"/>
  <c r="E447" i="24"/>
  <c r="E768" i="24"/>
  <c r="E167" i="24"/>
  <c r="E610" i="24"/>
  <c r="E867" i="24"/>
  <c r="E941" i="24"/>
  <c r="E623" i="24"/>
  <c r="E334" i="24"/>
  <c r="E317" i="24"/>
  <c r="E699" i="24"/>
  <c r="E934" i="24"/>
  <c r="E975" i="24"/>
  <c r="E286" i="24"/>
  <c r="E475" i="24"/>
  <c r="E66" i="24"/>
  <c r="E572" i="24"/>
  <c r="E264" i="24"/>
  <c r="E803" i="24"/>
  <c r="E8" i="24"/>
  <c r="E413" i="24"/>
  <c r="E861" i="24"/>
  <c r="E493" i="24"/>
  <c r="E224" i="24"/>
  <c r="E351" i="24"/>
  <c r="E885" i="24"/>
  <c r="E515" i="24"/>
  <c r="E984" i="24"/>
  <c r="E1020" i="24"/>
  <c r="E446" i="24"/>
  <c r="E373" i="24"/>
  <c r="E326" i="24"/>
  <c r="E302" i="24"/>
  <c r="E52" i="24"/>
  <c r="E303" i="24"/>
  <c r="E960" i="24"/>
  <c r="E679" i="24"/>
  <c r="E363" i="24"/>
  <c r="E896" i="24"/>
  <c r="E256" i="24"/>
  <c r="E704" i="24"/>
  <c r="E254" i="24"/>
  <c r="E485" i="24"/>
  <c r="E731" i="24"/>
  <c r="E24" i="24"/>
  <c r="E734" i="24"/>
  <c r="E866" i="24"/>
  <c r="E787" i="24"/>
  <c r="E962" i="24"/>
  <c r="E577" i="24"/>
  <c r="E287" i="24"/>
  <c r="E701" i="24"/>
  <c r="E397" i="24"/>
  <c r="E899" i="24"/>
  <c r="E796" i="24"/>
  <c r="E574" i="24"/>
  <c r="E751" i="24"/>
  <c r="E822" i="24"/>
  <c r="E700" i="24"/>
  <c r="E458" i="24"/>
  <c r="E762" i="24"/>
  <c r="E448" i="24"/>
  <c r="E635" i="24"/>
  <c r="E849" i="24"/>
  <c r="E939" i="24"/>
  <c r="E591" i="24"/>
  <c r="E341" i="24"/>
  <c r="E449" i="24"/>
  <c r="E801" i="24"/>
  <c r="E990" i="24"/>
  <c r="E296" i="24"/>
  <c r="E730" i="24"/>
  <c r="E821" i="24"/>
  <c r="E823" i="24"/>
  <c r="E539" i="24"/>
  <c r="E158" i="24"/>
  <c r="E739" i="24"/>
  <c r="E16" i="24"/>
  <c r="E19" i="24"/>
  <c r="E732" i="24"/>
  <c r="E65" i="24"/>
  <c r="E138" i="24"/>
  <c r="E631" i="24"/>
  <c r="E383" i="24"/>
  <c r="E956" i="24"/>
  <c r="E714" i="24"/>
  <c r="E94" i="24"/>
  <c r="E652" i="24"/>
  <c r="E283" i="24"/>
  <c r="E816" i="24"/>
  <c r="E148" i="24"/>
  <c r="E440" i="24"/>
  <c r="E851" i="24"/>
  <c r="E536" i="24"/>
  <c r="E483" i="24"/>
  <c r="E297" i="24"/>
  <c r="E534" i="24"/>
  <c r="E92" i="24"/>
  <c r="E272" i="24"/>
  <c r="E776" i="24"/>
  <c r="E229" i="24"/>
  <c r="E125" i="24"/>
  <c r="E84" i="24"/>
  <c r="E829" i="24"/>
  <c r="E47" i="24"/>
  <c r="E874" i="24"/>
  <c r="E627" i="24"/>
  <c r="E465" i="24"/>
  <c r="E285" i="24"/>
  <c r="E912" i="24"/>
  <c r="E925" i="24"/>
  <c r="E808" i="24"/>
  <c r="E875" i="24"/>
  <c r="E441" i="24"/>
  <c r="E795" i="24"/>
  <c r="E550" i="24"/>
  <c r="E868" i="24"/>
  <c r="E531" i="24"/>
  <c r="E860" i="24"/>
  <c r="E842" i="24"/>
  <c r="E556" i="24"/>
  <c r="E758" i="24"/>
  <c r="E455" i="24"/>
  <c r="E298" i="24"/>
  <c r="E811" i="24"/>
  <c r="E473" i="24"/>
  <c r="E527" i="24"/>
  <c r="E4" i="24"/>
  <c r="E387" i="24"/>
  <c r="E187" i="24"/>
  <c r="E368" i="24"/>
  <c r="E411" i="24"/>
  <c r="E56" i="24"/>
  <c r="E310" i="24"/>
  <c r="E698" i="24"/>
  <c r="E594" i="24"/>
  <c r="E741" i="24"/>
  <c r="E553" i="24"/>
  <c r="E149" i="24"/>
  <c r="E268" i="24"/>
  <c r="E722" i="24"/>
  <c r="E869" i="24"/>
  <c r="E755" i="24"/>
  <c r="E85" i="24"/>
  <c r="E42" i="24"/>
  <c r="E463" i="24"/>
  <c r="E568" i="24"/>
  <c r="E1013" i="24"/>
  <c r="E576" i="24"/>
  <c r="E798" i="24"/>
  <c r="E165" i="24"/>
  <c r="E112" i="24"/>
  <c r="E241" i="24"/>
  <c r="E423" i="24"/>
  <c r="E139" i="24"/>
  <c r="E711" i="24"/>
  <c r="E617" i="24"/>
  <c r="E705" i="24"/>
  <c r="E292" i="24"/>
  <c r="E70" i="24"/>
  <c r="E583" i="24"/>
  <c r="E34" i="24"/>
  <c r="E888" i="24"/>
  <c r="E216" i="24"/>
  <c r="E488" i="24"/>
  <c r="E903" i="24"/>
  <c r="E270" i="24"/>
  <c r="E36" i="24"/>
  <c r="E965" i="24"/>
  <c r="E244" i="24"/>
  <c r="E284" i="24"/>
  <c r="E202" i="24"/>
  <c r="E998" i="24"/>
  <c r="E626" i="24"/>
  <c r="E830" i="24"/>
  <c r="E767" i="24"/>
  <c r="E249" i="24"/>
  <c r="E692" i="24"/>
  <c r="E571" i="24"/>
  <c r="E904" i="24"/>
  <c r="E193" i="24"/>
  <c r="E273" i="24"/>
  <c r="E425" i="24"/>
  <c r="E10" i="24"/>
  <c r="E983" i="24"/>
  <c r="E677" i="24"/>
  <c r="E718" i="24"/>
  <c r="E163" i="24"/>
  <c r="E721" i="24"/>
  <c r="E820" i="24"/>
  <c r="E1016" i="24"/>
  <c r="E164" i="24"/>
  <c r="E913" i="24"/>
  <c r="E281" i="24"/>
  <c r="E332" i="24"/>
  <c r="E479" i="24"/>
  <c r="E81" i="24"/>
  <c r="E168" i="24"/>
  <c r="E608" i="24"/>
  <c r="E757" i="24"/>
  <c r="E170" i="24"/>
  <c r="E3" i="24"/>
  <c r="E567" i="24"/>
  <c r="E421" i="24"/>
  <c r="E230" i="24"/>
  <c r="E424" i="24"/>
  <c r="E237" i="24"/>
  <c r="E206" i="24"/>
  <c r="E742" i="24"/>
  <c r="E171" i="24"/>
  <c r="E630" i="24"/>
  <c r="E356" i="24"/>
  <c r="E13" i="24"/>
  <c r="E559" i="24"/>
  <c r="E1023" i="24"/>
  <c r="E207" i="24"/>
  <c r="E370" i="24"/>
  <c r="E67" i="24"/>
  <c r="E563" i="24"/>
  <c r="E248" i="24"/>
  <c r="E389" i="24"/>
  <c r="E442" i="24"/>
  <c r="E932" i="24"/>
  <c r="E214" i="24"/>
  <c r="E844" i="24"/>
  <c r="E147" i="24"/>
  <c r="E242" i="24"/>
  <c r="E645" i="24"/>
  <c r="E613" i="24"/>
  <c r="E101" i="24"/>
  <c r="E985" i="24"/>
  <c r="E221" i="24"/>
  <c r="E687" i="24"/>
  <c r="E794" i="24"/>
  <c r="E362" i="24"/>
  <c r="E118" i="24"/>
  <c r="E189" i="24"/>
  <c r="E581" i="24"/>
  <c r="E763" i="24"/>
  <c r="E928" i="24"/>
  <c r="E969" i="24"/>
  <c r="E103" i="24"/>
  <c r="E69" i="24"/>
  <c r="E877" i="24"/>
  <c r="E263" i="24"/>
  <c r="E848" i="24"/>
  <c r="E195" i="24"/>
  <c r="E255" i="24"/>
  <c r="E150" i="24"/>
  <c r="E516" i="24"/>
  <c r="E162" i="24"/>
  <c r="E675" i="24"/>
  <c r="E680" i="24"/>
  <c r="E274" i="24"/>
  <c r="E638" i="24"/>
  <c r="E841" i="24"/>
  <c r="E236" i="24"/>
  <c r="E14" i="24"/>
  <c r="E802" i="24"/>
  <c r="E335" i="24"/>
  <c r="E658" i="24"/>
  <c r="E778" i="24"/>
  <c r="E349" i="24"/>
  <c r="E238" i="24"/>
  <c r="E538" i="24"/>
  <c r="E353" i="24"/>
  <c r="E350" i="24"/>
  <c r="E772" i="24"/>
  <c r="E445" i="24"/>
  <c r="E533" i="24"/>
  <c r="E632" i="24"/>
  <c r="E835" i="24"/>
  <c r="E44" i="24"/>
  <c r="E314" i="24"/>
  <c r="E558" i="24"/>
  <c r="E459" i="24"/>
  <c r="E323" i="24"/>
  <c r="E222" i="24"/>
  <c r="E414" i="24"/>
  <c r="E887" i="24"/>
  <c r="E657" i="24"/>
  <c r="E880" i="24"/>
  <c r="E452" i="24"/>
  <c r="E937" i="24"/>
  <c r="E791" i="24"/>
  <c r="E55" i="24"/>
  <c r="E862" i="24"/>
  <c r="E545" i="24"/>
  <c r="E759" i="24"/>
  <c r="E1005" i="24"/>
  <c r="E121" i="24"/>
  <c r="E469" i="24"/>
  <c r="E781" i="24"/>
  <c r="E461" i="24"/>
  <c r="E9" i="24"/>
  <c r="E529" i="24"/>
  <c r="E963" i="24"/>
  <c r="E712" i="24"/>
  <c r="E291" i="24"/>
  <c r="E266" i="24"/>
  <c r="E129" i="24"/>
  <c r="E994" i="24"/>
  <c r="E490" i="24"/>
  <c r="E427" i="24"/>
  <c r="E300" i="24"/>
  <c r="E80" i="24"/>
  <c r="E22" i="24"/>
  <c r="E433" i="24"/>
  <c r="E173" i="24"/>
  <c r="E410" i="24"/>
  <c r="E496" i="24"/>
  <c r="E41" i="24"/>
  <c r="E744" i="24"/>
  <c r="E111" i="24"/>
  <c r="E313" i="24"/>
  <c r="E917" i="24"/>
  <c r="E30" i="24"/>
  <c r="E900" i="24"/>
  <c r="E97" i="24"/>
  <c r="E322" i="24"/>
  <c r="E651" i="24"/>
  <c r="E870" i="24"/>
  <c r="E132" i="24"/>
  <c r="E26" i="24"/>
  <c r="E142" i="24"/>
  <c r="E968" i="24"/>
  <c r="E354" i="24"/>
  <c r="E514" i="24"/>
  <c r="E259" i="24"/>
  <c r="E1002" i="24"/>
  <c r="E505" i="24"/>
  <c r="E566" i="24"/>
  <c r="E666" i="24"/>
  <c r="E824" i="24"/>
  <c r="E761" i="24"/>
  <c r="E340" i="24"/>
  <c r="E240" i="24"/>
  <c r="E653" i="24"/>
  <c r="E98" i="24"/>
  <c r="E88" i="24"/>
  <c r="E204" i="24"/>
  <c r="E190" i="24"/>
  <c r="E656" i="24"/>
  <c r="E288" i="24"/>
  <c r="E412" i="24"/>
  <c r="E43" i="24"/>
  <c r="E535" i="24"/>
  <c r="E897" i="24"/>
  <c r="E810" i="24"/>
  <c r="E805" i="24"/>
  <c r="E484" i="24"/>
  <c r="E312" i="24"/>
  <c r="E921" i="24"/>
  <c r="E184" i="24"/>
  <c r="E404" i="24"/>
  <c r="E519" i="24"/>
  <c r="E304" i="24"/>
  <c r="E279" i="24"/>
  <c r="E512" i="24"/>
  <c r="E416" i="24"/>
  <c r="E321" i="24"/>
  <c r="E400" i="24"/>
  <c r="E907" i="24"/>
  <c r="E430" i="24"/>
  <c r="E665" i="24"/>
  <c r="E444" i="24"/>
  <c r="E153" i="24"/>
  <c r="E601" i="24"/>
  <c r="E526" i="24"/>
  <c r="E735" i="24"/>
  <c r="E883" i="24"/>
  <c r="E239" i="24"/>
  <c r="E684" i="24"/>
  <c r="E551" i="24"/>
  <c r="E409" i="24"/>
  <c r="E753" i="24"/>
  <c r="E619" i="24"/>
  <c r="E182" i="24"/>
  <c r="E936" i="24"/>
  <c r="E703" i="24"/>
  <c r="E974" i="24"/>
  <c r="E715" i="24"/>
  <c r="E223" i="24"/>
  <c r="E592" i="24"/>
  <c r="E1019" i="24"/>
  <c r="E418" i="24"/>
  <c r="E681" i="24"/>
  <c r="E180" i="24"/>
  <c r="E582" i="24"/>
  <c r="E910" i="24"/>
  <c r="E347" i="24"/>
  <c r="E901" i="24"/>
  <c r="E53" i="24"/>
  <c r="E930" i="24"/>
  <c r="E371" i="24"/>
  <c r="E394" i="24"/>
  <c r="E20" i="24"/>
  <c r="E59" i="24"/>
  <c r="E723" i="24"/>
  <c r="E419" i="24"/>
  <c r="E188" i="24"/>
  <c r="E654" i="24"/>
  <c r="E99" i="24"/>
  <c r="E160" i="24"/>
  <c r="E489" i="24"/>
  <c r="E141" i="24"/>
  <c r="E804" i="24"/>
  <c r="E260" i="24"/>
  <c r="E690" i="24"/>
  <c r="E976" i="24"/>
  <c r="E800" i="24"/>
  <c r="E736" i="24"/>
  <c r="E696" i="24"/>
  <c r="E405" i="24"/>
  <c r="E950" i="24"/>
  <c r="E774" i="24"/>
  <c r="E467" i="24"/>
  <c r="E75" i="24"/>
  <c r="E570" i="24"/>
  <c r="E694" i="24"/>
  <c r="E606" i="24"/>
  <c r="E136" i="24"/>
  <c r="E806" i="24"/>
  <c r="E157" i="24"/>
  <c r="E403" i="24"/>
  <c r="E262" i="24"/>
  <c r="E346" i="24"/>
  <c r="E646" i="24"/>
  <c r="E109" i="24"/>
  <c r="E331" i="24"/>
  <c r="E1012" i="24"/>
  <c r="E785" i="24"/>
  <c r="E729" i="24"/>
  <c r="E777" i="24"/>
  <c r="E927" i="24"/>
  <c r="E669" i="24"/>
  <c r="E35" i="24"/>
  <c r="E593" i="24"/>
  <c r="E603" i="24"/>
  <c r="E226" i="24"/>
  <c r="E789" i="24"/>
  <c r="E959" i="24"/>
  <c r="E338" i="24"/>
  <c r="E124" i="24"/>
  <c r="E636" i="24"/>
  <c r="E555" i="24"/>
  <c r="E12" i="24"/>
  <c r="E607" i="24"/>
  <c r="E382" i="24"/>
  <c r="E655" i="24"/>
  <c r="E58" i="24"/>
  <c r="E618" i="24"/>
  <c r="E369" i="24"/>
  <c r="E90" i="24"/>
  <c r="E557" i="24"/>
  <c r="E11" i="24"/>
  <c r="E540" i="24"/>
  <c r="E199" i="24"/>
  <c r="E308" i="24"/>
  <c r="E102" i="24"/>
  <c r="E117" i="24"/>
  <c r="E628" i="24"/>
  <c r="E155" i="24"/>
  <c r="E966" i="24"/>
  <c r="E970" i="24"/>
  <c r="E146" i="24"/>
  <c r="E115" i="24"/>
  <c r="E438" i="24"/>
  <c r="E316" i="24"/>
  <c r="E552" i="24"/>
  <c r="E738" i="24"/>
  <c r="E6" i="24"/>
  <c r="E358" i="24"/>
  <c r="E852" i="24"/>
  <c r="E858" i="24"/>
  <c r="E185" i="24"/>
  <c r="E833" i="24"/>
  <c r="E944" i="24"/>
  <c r="E562" i="24"/>
  <c r="E420" i="24"/>
  <c r="E380" i="24"/>
  <c r="E955" i="24"/>
  <c r="E128" i="24"/>
  <c r="E503" i="24"/>
  <c r="E674" i="24"/>
  <c r="E324" i="24"/>
  <c r="E686" i="24"/>
  <c r="E436" i="24"/>
  <c r="E434" i="24"/>
  <c r="E388" i="24"/>
  <c r="E857" i="24"/>
  <c r="E783" i="24"/>
  <c r="E17" i="24"/>
  <c r="E819" i="24"/>
  <c r="E386" i="24"/>
  <c r="E958" i="24"/>
  <c r="E74" i="24"/>
  <c r="E233" i="24"/>
  <c r="E500" i="24"/>
  <c r="E951" i="24"/>
  <c r="E378" i="24"/>
  <c r="E749" i="24"/>
  <c r="E717" i="24"/>
  <c r="E664" i="24"/>
  <c r="E45" i="24"/>
  <c r="E161" i="24"/>
  <c r="E120" i="24"/>
  <c r="E919" i="24"/>
  <c r="E982" i="24"/>
  <c r="E456" i="24"/>
  <c r="E523" i="24"/>
  <c r="E542" i="24"/>
  <c r="E598" i="24"/>
  <c r="E689" i="24"/>
  <c r="E481" i="24"/>
  <c r="E506" i="24"/>
  <c r="E720" i="24"/>
  <c r="E661" i="24"/>
  <c r="E328" i="24"/>
  <c r="E501" i="24"/>
  <c r="E178" i="24"/>
  <c r="E21" i="24"/>
  <c r="E771" i="24"/>
  <c r="E198" i="24"/>
  <c r="E691" i="24"/>
  <c r="E799" i="24"/>
  <c r="E392" i="24"/>
  <c r="E191" i="24"/>
  <c r="E1024" i="24"/>
  <c r="E7" i="24"/>
  <c r="E508" i="24"/>
  <c r="E676" i="24"/>
  <c r="E988" i="24"/>
  <c r="E895" i="24"/>
  <c r="E396" i="24"/>
  <c r="E947" i="24"/>
  <c r="E878" i="24"/>
  <c r="E231" i="24"/>
  <c r="E530" i="24"/>
  <c r="E549" i="24"/>
  <c r="E828" i="24"/>
  <c r="E629" i="24"/>
  <c r="E40" i="24"/>
  <c r="E853" i="24"/>
  <c r="E330" i="24"/>
  <c r="E154" i="24"/>
  <c r="E407" i="24"/>
  <c r="E740" i="24"/>
  <c r="E487" i="24"/>
  <c r="E329" i="24"/>
  <c r="E854" i="24"/>
  <c r="E554" i="24"/>
  <c r="E131" i="24"/>
  <c r="E68" i="24"/>
  <c r="E197" i="24"/>
  <c r="E997" i="24"/>
  <c r="E999" i="24"/>
  <c r="E840" i="24"/>
  <c r="E564" i="24"/>
  <c r="E315" i="24"/>
  <c r="E1007" i="24"/>
  <c r="E743" i="24"/>
  <c r="E978" i="24"/>
  <c r="E293" i="24"/>
  <c r="E108" i="24"/>
  <c r="E196" i="24"/>
  <c r="E253" i="24"/>
  <c r="E472" i="24"/>
  <c r="E367" i="24"/>
  <c r="E847" i="24"/>
  <c r="E1018" i="24"/>
  <c r="E415" i="24"/>
  <c r="E62" i="24"/>
  <c r="E693" i="24"/>
  <c r="E477" i="24"/>
  <c r="E788" i="24"/>
  <c r="E276" i="24"/>
  <c r="E765" i="24"/>
  <c r="E890" i="24"/>
  <c r="E398" i="24"/>
  <c r="E234" i="24"/>
  <c r="E93" i="24"/>
  <c r="E194" i="24"/>
  <c r="E565" i="24"/>
  <c r="E879" i="24"/>
  <c r="E543" i="24"/>
  <c r="E612" i="24"/>
  <c r="E987" i="24"/>
  <c r="E119" i="24"/>
  <c r="E208" i="24"/>
  <c r="E648" i="24"/>
  <c r="E123" i="24"/>
  <c r="E348" i="24"/>
  <c r="E709" i="24"/>
  <c r="E355" i="24"/>
  <c r="E511" i="24"/>
  <c r="E993" i="24"/>
  <c r="E683" i="24"/>
  <c r="E873" i="24"/>
  <c r="E807" i="24"/>
  <c r="E228" i="24"/>
  <c r="E209" i="24"/>
  <c r="E215" i="24"/>
  <c r="E343" i="24"/>
  <c r="E114" i="24"/>
  <c r="E110" i="24"/>
  <c r="E672" i="24"/>
  <c r="E647" i="24"/>
  <c r="E1011" i="24"/>
  <c r="E809" i="24"/>
  <c r="E29" i="24"/>
  <c r="E589" i="24"/>
  <c r="E889" i="24"/>
  <c r="E107" i="24"/>
  <c r="E140" i="24"/>
  <c r="E360" i="24"/>
  <c r="E876" i="24"/>
  <c r="E604" i="24"/>
  <c r="E850" i="24"/>
  <c r="E395" i="24"/>
  <c r="E892" i="24"/>
  <c r="E54" i="24"/>
  <c r="E60" i="24"/>
  <c r="E127" i="24"/>
  <c r="E510" i="24"/>
  <c r="E307" i="24"/>
  <c r="E186" i="24"/>
  <c r="E48" i="24"/>
  <c r="E243" i="24"/>
  <c r="E278" i="24"/>
  <c r="E78" i="24"/>
  <c r="E986" i="24"/>
  <c r="E872" i="24"/>
  <c r="E72" i="24"/>
  <c r="E275" i="24"/>
  <c r="E615" i="24"/>
  <c r="E547" i="24"/>
  <c r="E770" i="24"/>
  <c r="E708" i="24"/>
  <c r="E220" i="24"/>
  <c r="E23" i="24"/>
  <c r="E724" i="24"/>
  <c r="E595" i="24"/>
  <c r="E585" i="24"/>
  <c r="E670" i="24"/>
  <c r="E933" i="24"/>
  <c r="E660" i="24"/>
  <c r="E319" i="24"/>
  <c r="E1025" i="24"/>
  <c r="E786" i="24"/>
  <c r="E541" i="24"/>
  <c r="E782" i="24"/>
  <c r="E156" i="24"/>
  <c r="E769" i="24"/>
  <c r="E697" i="24"/>
  <c r="E339" i="24"/>
  <c r="E728" i="24"/>
  <c r="E460" i="24"/>
  <c r="E498" i="24"/>
  <c r="E996" i="24"/>
  <c r="E422" i="24"/>
  <c r="E953" i="24"/>
  <c r="E470" i="24"/>
  <c r="E760" i="24"/>
  <c r="E790" i="24"/>
  <c r="E365" i="24"/>
  <c r="E174" i="24"/>
  <c r="E818" i="24"/>
  <c r="E825" i="24"/>
  <c r="E333" i="24"/>
  <c r="E948" i="24"/>
  <c r="E366" i="24"/>
  <c r="E609" i="24"/>
  <c r="E641" i="24"/>
  <c r="E702" i="24"/>
  <c r="E361" i="24"/>
  <c r="E906" i="24"/>
  <c r="E839" i="24"/>
  <c r="E855" i="24"/>
  <c r="E468" i="24"/>
  <c r="E143" i="24"/>
  <c r="E32" i="24"/>
  <c r="E611" i="24"/>
  <c r="E625" i="24"/>
  <c r="E569" i="24"/>
  <c r="E964" i="24"/>
  <c r="E192" i="24"/>
  <c r="E295" i="24"/>
  <c r="E637" i="24"/>
  <c r="E159" i="24"/>
  <c r="E344" i="24"/>
  <c r="E929" i="24"/>
  <c r="O12" i="11" l="1"/>
  <c r="V58" i="13"/>
  <c r="AC61" i="13" s="1"/>
  <c r="C22" i="36"/>
  <c r="B108" i="24" s="1"/>
  <c r="B18" i="24"/>
  <c r="C4" i="27" l="1"/>
  <c r="E2" i="36"/>
  <c r="F2" i="11"/>
  <c r="O74" i="42" l="1"/>
  <c r="B886" i="24" s="1"/>
  <c r="L74" i="42"/>
  <c r="B883" i="24" s="1"/>
  <c r="N74" i="42"/>
  <c r="B885" i="24" s="1"/>
  <c r="K74" i="42"/>
  <c r="B882" i="24" s="1"/>
  <c r="M74" i="42"/>
  <c r="B884" i="24" s="1"/>
  <c r="P74" i="42"/>
  <c r="B887" i="24" s="1"/>
  <c r="G140" i="13"/>
  <c r="H140" i="13"/>
  <c r="I140" i="13"/>
  <c r="J140" i="13"/>
  <c r="F140" i="13"/>
  <c r="F29" i="42"/>
  <c r="B376" i="24" s="1"/>
  <c r="G139" i="13"/>
  <c r="H139" i="13"/>
  <c r="I139" i="13"/>
  <c r="J139" i="13"/>
  <c r="F139" i="13"/>
  <c r="F27" i="42"/>
  <c r="B348" i="24" s="1"/>
  <c r="G138" i="13"/>
  <c r="H138" i="13"/>
  <c r="I138" i="13"/>
  <c r="J138" i="13"/>
  <c r="F138" i="13"/>
  <c r="F26" i="42"/>
  <c r="B334" i="24" s="1"/>
  <c r="F6" i="13"/>
  <c r="F10" i="13"/>
  <c r="E10" i="13" s="1"/>
  <c r="D10" i="13" s="1"/>
  <c r="F55" i="13"/>
  <c r="F70" i="13"/>
  <c r="F81" i="13"/>
  <c r="F32" i="13"/>
  <c r="K13" i="11" s="1"/>
  <c r="B88" i="24" s="1"/>
  <c r="F59" i="13"/>
  <c r="F62" i="13"/>
  <c r="F79" i="13"/>
  <c r="F80" i="13"/>
  <c r="F82" i="13"/>
  <c r="F71" i="13"/>
  <c r="F73" i="13"/>
  <c r="F74" i="13"/>
  <c r="G28" i="42"/>
  <c r="B363" i="24" s="1"/>
  <c r="H28" i="42"/>
  <c r="B364" i="24" s="1"/>
  <c r="I28" i="42"/>
  <c r="B365" i="24" s="1"/>
  <c r="J28" i="42"/>
  <c r="B366" i="24" s="1"/>
  <c r="K28" i="42"/>
  <c r="B367" i="24" s="1"/>
  <c r="L28" i="42"/>
  <c r="B368" i="24" s="1"/>
  <c r="M28" i="42"/>
  <c r="B369" i="24" s="1"/>
  <c r="N28" i="42"/>
  <c r="B370" i="24" s="1"/>
  <c r="O28" i="42"/>
  <c r="B371" i="24" s="1"/>
  <c r="P28" i="42"/>
  <c r="B372" i="24" s="1"/>
  <c r="F28" i="42"/>
  <c r="B362" i="24" s="1"/>
  <c r="G20" i="42"/>
  <c r="B293" i="24" s="1"/>
  <c r="H20" i="42"/>
  <c r="B294" i="24" s="1"/>
  <c r="I20" i="42"/>
  <c r="B295" i="24" s="1"/>
  <c r="J20" i="42"/>
  <c r="B296" i="24" s="1"/>
  <c r="K20" i="42"/>
  <c r="B297" i="24" s="1"/>
  <c r="L20" i="42"/>
  <c r="B298" i="24" s="1"/>
  <c r="M20" i="42"/>
  <c r="B299" i="24" s="1"/>
  <c r="N20" i="42"/>
  <c r="B300" i="24" s="1"/>
  <c r="O20" i="42"/>
  <c r="B301" i="24" s="1"/>
  <c r="P20" i="42"/>
  <c r="B302" i="24" s="1"/>
  <c r="F20" i="42"/>
  <c r="B292" i="24" s="1"/>
  <c r="F13" i="42"/>
  <c r="B196" i="24" s="1"/>
  <c r="G13" i="42"/>
  <c r="B197" i="24" s="1"/>
  <c r="F72" i="13"/>
  <c r="F85" i="13"/>
  <c r="F49" i="13"/>
  <c r="E49" i="13" s="1"/>
  <c r="F50" i="13"/>
  <c r="F51" i="13"/>
  <c r="E51" i="13" s="1"/>
  <c r="D51" i="13" s="1"/>
  <c r="C51" i="13" s="1"/>
  <c r="F52" i="13"/>
  <c r="G78" i="42"/>
  <c r="B934" i="24" s="1"/>
  <c r="H78" i="42"/>
  <c r="B935" i="24" s="1"/>
  <c r="I78" i="42"/>
  <c r="B936" i="24" s="1"/>
  <c r="J78" i="42"/>
  <c r="B937" i="24" s="1"/>
  <c r="K78" i="42"/>
  <c r="B938" i="24" s="1"/>
  <c r="L78" i="42"/>
  <c r="B939" i="24" s="1"/>
  <c r="M78" i="42"/>
  <c r="B940" i="24" s="1"/>
  <c r="N78" i="42"/>
  <c r="B941" i="24" s="1"/>
  <c r="O78" i="42"/>
  <c r="B942" i="24" s="1"/>
  <c r="P78" i="42"/>
  <c r="B943" i="24" s="1"/>
  <c r="F78" i="42"/>
  <c r="B933" i="24" s="1"/>
  <c r="G77" i="42"/>
  <c r="B920" i="24" s="1"/>
  <c r="H77" i="42"/>
  <c r="B921" i="24" s="1"/>
  <c r="I77" i="42"/>
  <c r="B922" i="24" s="1"/>
  <c r="J77" i="42"/>
  <c r="B923" i="24" s="1"/>
  <c r="K77" i="42"/>
  <c r="B924" i="24" s="1"/>
  <c r="L77" i="42"/>
  <c r="B925" i="24" s="1"/>
  <c r="M77" i="42"/>
  <c r="B926" i="24" s="1"/>
  <c r="N77" i="42"/>
  <c r="B927" i="24" s="1"/>
  <c r="O77" i="42"/>
  <c r="B928" i="24" s="1"/>
  <c r="P77" i="42"/>
  <c r="B929" i="24" s="1"/>
  <c r="F77" i="42"/>
  <c r="B919" i="24" s="1"/>
  <c r="P65" i="42"/>
  <c r="B803" i="24" s="1"/>
  <c r="O65" i="42"/>
  <c r="B802" i="24" s="1"/>
  <c r="N65" i="42"/>
  <c r="B801" i="24" s="1"/>
  <c r="M65" i="42"/>
  <c r="B800" i="24" s="1"/>
  <c r="L65" i="42"/>
  <c r="B799" i="24" s="1"/>
  <c r="K65" i="42"/>
  <c r="B798" i="24" s="1"/>
  <c r="J65" i="42"/>
  <c r="B797" i="24" s="1"/>
  <c r="I65" i="42"/>
  <c r="B796" i="24" s="1"/>
  <c r="H65" i="42"/>
  <c r="B795" i="24" s="1"/>
  <c r="G65" i="42"/>
  <c r="B794" i="24" s="1"/>
  <c r="F65" i="42"/>
  <c r="B793" i="24" s="1"/>
  <c r="F64" i="42"/>
  <c r="B779" i="24" s="1"/>
  <c r="F63" i="42"/>
  <c r="B765" i="24" s="1"/>
  <c r="F59" i="42"/>
  <c r="B709" i="24" s="1"/>
  <c r="G21" i="42"/>
  <c r="B307" i="24" s="1"/>
  <c r="H21" i="42"/>
  <c r="B308" i="24" s="1"/>
  <c r="I21" i="42"/>
  <c r="B309" i="24" s="1"/>
  <c r="J21" i="42"/>
  <c r="B310" i="24" s="1"/>
  <c r="K21" i="42"/>
  <c r="B311" i="24" s="1"/>
  <c r="L21" i="42"/>
  <c r="B312" i="24" s="1"/>
  <c r="M21" i="42"/>
  <c r="B313" i="24" s="1"/>
  <c r="N21" i="42"/>
  <c r="B314" i="24" s="1"/>
  <c r="O21" i="42"/>
  <c r="B315" i="24" s="1"/>
  <c r="P21" i="42"/>
  <c r="B316" i="24" s="1"/>
  <c r="F21" i="42"/>
  <c r="B306" i="24" s="1"/>
  <c r="G90" i="42"/>
  <c r="B1018" i="24" s="1"/>
  <c r="H90" i="42"/>
  <c r="B1019" i="24" s="1"/>
  <c r="I90" i="42"/>
  <c r="B1020" i="24" s="1"/>
  <c r="J90" i="42"/>
  <c r="B1021" i="24" s="1"/>
  <c r="K90" i="42"/>
  <c r="B1022" i="24" s="1"/>
  <c r="L90" i="42"/>
  <c r="B1023" i="24" s="1"/>
  <c r="M90" i="42"/>
  <c r="B1024" i="24" s="1"/>
  <c r="N90" i="42"/>
  <c r="B1025" i="24" s="1"/>
  <c r="O90" i="42"/>
  <c r="B1026" i="24" s="1"/>
  <c r="P90" i="42"/>
  <c r="B1027" i="24" s="1"/>
  <c r="F90" i="42"/>
  <c r="B1017" i="24" s="1"/>
  <c r="G89" i="42"/>
  <c r="B1004" i="24" s="1"/>
  <c r="H89" i="42"/>
  <c r="B1005" i="24" s="1"/>
  <c r="I89" i="42"/>
  <c r="B1006" i="24" s="1"/>
  <c r="J89" i="42"/>
  <c r="B1007" i="24" s="1"/>
  <c r="K89" i="42"/>
  <c r="B1008" i="24" s="1"/>
  <c r="L89" i="42"/>
  <c r="B1009" i="24" s="1"/>
  <c r="M89" i="42"/>
  <c r="B1010" i="24" s="1"/>
  <c r="N89" i="42"/>
  <c r="B1011" i="24" s="1"/>
  <c r="O89" i="42"/>
  <c r="B1012" i="24" s="1"/>
  <c r="P89" i="42"/>
  <c r="B1013" i="24" s="1"/>
  <c r="F89" i="42"/>
  <c r="B1003" i="24" s="1"/>
  <c r="G88" i="42"/>
  <c r="B990" i="24" s="1"/>
  <c r="H88" i="42"/>
  <c r="B991" i="24" s="1"/>
  <c r="I88" i="42"/>
  <c r="B992" i="24" s="1"/>
  <c r="J88" i="42"/>
  <c r="B993" i="24" s="1"/>
  <c r="K88" i="42"/>
  <c r="B994" i="24" s="1"/>
  <c r="L88" i="42"/>
  <c r="B995" i="24" s="1"/>
  <c r="M88" i="42"/>
  <c r="B996" i="24" s="1"/>
  <c r="N88" i="42"/>
  <c r="B997" i="24" s="1"/>
  <c r="O88" i="42"/>
  <c r="B998" i="24" s="1"/>
  <c r="P88" i="42"/>
  <c r="B999" i="24" s="1"/>
  <c r="F88" i="42"/>
  <c r="B989" i="24" s="1"/>
  <c r="F129" i="13"/>
  <c r="G45" i="42"/>
  <c r="B557" i="24" s="1"/>
  <c r="H45" i="42"/>
  <c r="B558" i="24" s="1"/>
  <c r="I45" i="42"/>
  <c r="B559" i="24" s="1"/>
  <c r="J45" i="42"/>
  <c r="B560" i="24" s="1"/>
  <c r="K45" i="42"/>
  <c r="B561" i="24" s="1"/>
  <c r="L45" i="42"/>
  <c r="B562" i="24" s="1"/>
  <c r="M45" i="42"/>
  <c r="B563" i="24" s="1"/>
  <c r="N45" i="42"/>
  <c r="B564" i="24" s="1"/>
  <c r="O45" i="42"/>
  <c r="B565" i="24" s="1"/>
  <c r="P45" i="42"/>
  <c r="B566" i="24" s="1"/>
  <c r="F45" i="42"/>
  <c r="B556" i="24" s="1"/>
  <c r="G84" i="42"/>
  <c r="B962" i="24" s="1"/>
  <c r="H84" i="42"/>
  <c r="B963" i="24" s="1"/>
  <c r="I84" i="42"/>
  <c r="B964" i="24" s="1"/>
  <c r="J84" i="42"/>
  <c r="B965" i="24" s="1"/>
  <c r="K84" i="42"/>
  <c r="B966" i="24" s="1"/>
  <c r="L84" i="42"/>
  <c r="B967" i="24" s="1"/>
  <c r="M84" i="42"/>
  <c r="B968" i="24" s="1"/>
  <c r="N84" i="42"/>
  <c r="B969" i="24" s="1"/>
  <c r="O84" i="42"/>
  <c r="B970" i="24" s="1"/>
  <c r="P84" i="42"/>
  <c r="B971" i="24" s="1"/>
  <c r="F84" i="42"/>
  <c r="B961" i="24" s="1"/>
  <c r="H83" i="42"/>
  <c r="B949" i="24" s="1"/>
  <c r="I83" i="42"/>
  <c r="B950" i="24" s="1"/>
  <c r="J83" i="42"/>
  <c r="B951" i="24" s="1"/>
  <c r="K83" i="42"/>
  <c r="B952" i="24" s="1"/>
  <c r="L83" i="42"/>
  <c r="B953" i="24" s="1"/>
  <c r="M83" i="42"/>
  <c r="B954" i="24" s="1"/>
  <c r="N83" i="42"/>
  <c r="B955" i="24" s="1"/>
  <c r="O83" i="42"/>
  <c r="B956" i="24" s="1"/>
  <c r="P83" i="42"/>
  <c r="B957" i="24" s="1"/>
  <c r="G83" i="42"/>
  <c r="B948" i="24" s="1"/>
  <c r="F46" i="42"/>
  <c r="B570" i="24" s="1"/>
  <c r="G46" i="42"/>
  <c r="B571" i="24" s="1"/>
  <c r="H46" i="42"/>
  <c r="B572" i="24" s="1"/>
  <c r="I46" i="42"/>
  <c r="B573" i="24" s="1"/>
  <c r="J46" i="42"/>
  <c r="B574" i="24" s="1"/>
  <c r="K46" i="42"/>
  <c r="B575" i="24" s="1"/>
  <c r="L46" i="42"/>
  <c r="B576" i="24" s="1"/>
  <c r="M46" i="42"/>
  <c r="B577" i="24" s="1"/>
  <c r="F47" i="42"/>
  <c r="B584" i="24" s="1"/>
  <c r="G47" i="42"/>
  <c r="B585" i="24" s="1"/>
  <c r="H47" i="42"/>
  <c r="B586" i="24" s="1"/>
  <c r="I47" i="42"/>
  <c r="B587" i="24" s="1"/>
  <c r="J47" i="42"/>
  <c r="B588" i="24" s="1"/>
  <c r="F48" i="42"/>
  <c r="B598" i="24" s="1"/>
  <c r="G48" i="42"/>
  <c r="B599" i="24" s="1"/>
  <c r="H48" i="42"/>
  <c r="B600" i="24" s="1"/>
  <c r="I48" i="42"/>
  <c r="B601" i="24" s="1"/>
  <c r="J48" i="42"/>
  <c r="B602" i="24" s="1"/>
  <c r="F49" i="42"/>
  <c r="B612" i="24" s="1"/>
  <c r="G49" i="42"/>
  <c r="B613" i="24" s="1"/>
  <c r="H49" i="42"/>
  <c r="B614" i="24" s="1"/>
  <c r="I49" i="42"/>
  <c r="B615" i="24" s="1"/>
  <c r="J49" i="42"/>
  <c r="B616" i="24" s="1"/>
  <c r="G30" i="42"/>
  <c r="B391" i="24" s="1"/>
  <c r="H30" i="42"/>
  <c r="B392" i="24" s="1"/>
  <c r="I30" i="42"/>
  <c r="B393" i="24" s="1"/>
  <c r="J30" i="42"/>
  <c r="B394" i="24" s="1"/>
  <c r="K30" i="42"/>
  <c r="B395" i="24" s="1"/>
  <c r="L30" i="42"/>
  <c r="B396" i="24" s="1"/>
  <c r="M30" i="42"/>
  <c r="B397" i="24" s="1"/>
  <c r="N30" i="42"/>
  <c r="B398" i="24" s="1"/>
  <c r="O30" i="42"/>
  <c r="B399" i="24" s="1"/>
  <c r="P30" i="42"/>
  <c r="B400" i="24" s="1"/>
  <c r="F30" i="42"/>
  <c r="B390" i="24" s="1"/>
  <c r="G31" i="42"/>
  <c r="B405" i="24" s="1"/>
  <c r="H31" i="42"/>
  <c r="B406" i="24" s="1"/>
  <c r="I31" i="42"/>
  <c r="B407" i="24" s="1"/>
  <c r="J31" i="42"/>
  <c r="B408" i="24" s="1"/>
  <c r="K31" i="42"/>
  <c r="B409" i="24" s="1"/>
  <c r="L31" i="42"/>
  <c r="B410" i="24" s="1"/>
  <c r="M31" i="42"/>
  <c r="B411" i="24" s="1"/>
  <c r="N31" i="42"/>
  <c r="B412" i="24" s="1"/>
  <c r="O31" i="42"/>
  <c r="B413" i="24" s="1"/>
  <c r="F31" i="42"/>
  <c r="B404" i="24" s="1"/>
  <c r="B4" i="42"/>
  <c r="B5" i="42"/>
  <c r="B6" i="42"/>
  <c r="B7" i="42"/>
  <c r="A5" i="42"/>
  <c r="A6" i="42"/>
  <c r="A7" i="42"/>
  <c r="A4" i="42"/>
  <c r="B3" i="41"/>
  <c r="A3" i="41"/>
  <c r="B2" i="41"/>
  <c r="A2" i="41"/>
  <c r="P76" i="42"/>
  <c r="B915" i="24" s="1"/>
  <c r="O76" i="42"/>
  <c r="B914" i="24" s="1"/>
  <c r="N76" i="42"/>
  <c r="B913" i="24" s="1"/>
  <c r="M76" i="42"/>
  <c r="B912" i="24" s="1"/>
  <c r="L76" i="42"/>
  <c r="B911" i="24" s="1"/>
  <c r="K76" i="42"/>
  <c r="B910" i="24" s="1"/>
  <c r="J76" i="42"/>
  <c r="B909" i="24" s="1"/>
  <c r="I76" i="42"/>
  <c r="B908" i="24" s="1"/>
  <c r="H76" i="42"/>
  <c r="B907" i="24" s="1"/>
  <c r="G76" i="42"/>
  <c r="B906" i="24" s="1"/>
  <c r="F76" i="42"/>
  <c r="B905" i="24" s="1"/>
  <c r="P64" i="42"/>
  <c r="B789" i="24" s="1"/>
  <c r="O64" i="42"/>
  <c r="B788" i="24" s="1"/>
  <c r="N64" i="42"/>
  <c r="B787" i="24" s="1"/>
  <c r="M64" i="42"/>
  <c r="B786" i="24" s="1"/>
  <c r="L64" i="42"/>
  <c r="B785" i="24" s="1"/>
  <c r="K64" i="42"/>
  <c r="B784" i="24" s="1"/>
  <c r="J64" i="42"/>
  <c r="B783" i="24" s="1"/>
  <c r="I64" i="42"/>
  <c r="B782" i="24" s="1"/>
  <c r="H64" i="42"/>
  <c r="B781" i="24" s="1"/>
  <c r="G64" i="42"/>
  <c r="B780" i="24" s="1"/>
  <c r="P63" i="42"/>
  <c r="B775" i="24" s="1"/>
  <c r="O63" i="42"/>
  <c r="B774" i="24" s="1"/>
  <c r="N63" i="42"/>
  <c r="B773" i="24" s="1"/>
  <c r="M63" i="42"/>
  <c r="B772" i="24" s="1"/>
  <c r="L63" i="42"/>
  <c r="B771" i="24" s="1"/>
  <c r="K63" i="42"/>
  <c r="B770" i="24" s="1"/>
  <c r="J63" i="42"/>
  <c r="B769" i="24" s="1"/>
  <c r="I63" i="42"/>
  <c r="B768" i="24" s="1"/>
  <c r="H63" i="42"/>
  <c r="B767" i="24" s="1"/>
  <c r="G63" i="42"/>
  <c r="B766" i="24" s="1"/>
  <c r="P62" i="42"/>
  <c r="B761" i="24" s="1"/>
  <c r="O62" i="42"/>
  <c r="B760" i="24" s="1"/>
  <c r="N62" i="42"/>
  <c r="B759" i="24" s="1"/>
  <c r="M62" i="42"/>
  <c r="B758" i="24" s="1"/>
  <c r="L62" i="42"/>
  <c r="B757" i="24" s="1"/>
  <c r="K62" i="42"/>
  <c r="B756" i="24" s="1"/>
  <c r="J62" i="42"/>
  <c r="B755" i="24" s="1"/>
  <c r="I62" i="42"/>
  <c r="B754" i="24" s="1"/>
  <c r="H62" i="42"/>
  <c r="B753" i="24" s="1"/>
  <c r="G62" i="42"/>
  <c r="B752" i="24" s="1"/>
  <c r="P61" i="42"/>
  <c r="B747" i="24" s="1"/>
  <c r="O61" i="42"/>
  <c r="B746" i="24" s="1"/>
  <c r="N61" i="42"/>
  <c r="B745" i="24" s="1"/>
  <c r="M61" i="42"/>
  <c r="B744" i="24" s="1"/>
  <c r="L61" i="42"/>
  <c r="B743" i="24" s="1"/>
  <c r="K61" i="42"/>
  <c r="B742" i="24" s="1"/>
  <c r="J61" i="42"/>
  <c r="B741" i="24" s="1"/>
  <c r="I61" i="42"/>
  <c r="B740" i="24" s="1"/>
  <c r="H61" i="42"/>
  <c r="B739" i="24" s="1"/>
  <c r="G61" i="42"/>
  <c r="B738" i="24" s="1"/>
  <c r="F61" i="42"/>
  <c r="B737" i="24" s="1"/>
  <c r="P60" i="42"/>
  <c r="B733" i="24" s="1"/>
  <c r="O60" i="42"/>
  <c r="B732" i="24" s="1"/>
  <c r="N60" i="42"/>
  <c r="B731" i="24" s="1"/>
  <c r="M60" i="42"/>
  <c r="B730" i="24" s="1"/>
  <c r="L60" i="42"/>
  <c r="B729" i="24" s="1"/>
  <c r="K60" i="42"/>
  <c r="B728" i="24" s="1"/>
  <c r="J60" i="42"/>
  <c r="B727" i="24" s="1"/>
  <c r="I60" i="42"/>
  <c r="B726" i="24" s="1"/>
  <c r="H60" i="42"/>
  <c r="B725" i="24" s="1"/>
  <c r="G60" i="42"/>
  <c r="B724" i="24" s="1"/>
  <c r="F60" i="42"/>
  <c r="B723" i="24" s="1"/>
  <c r="P59" i="42"/>
  <c r="B719" i="24" s="1"/>
  <c r="O59" i="42"/>
  <c r="B718" i="24" s="1"/>
  <c r="N59" i="42"/>
  <c r="B717" i="24" s="1"/>
  <c r="M59" i="42"/>
  <c r="B716" i="24" s="1"/>
  <c r="L59" i="42"/>
  <c r="B715" i="24" s="1"/>
  <c r="K59" i="42"/>
  <c r="B714" i="24" s="1"/>
  <c r="J59" i="42"/>
  <c r="B713" i="24" s="1"/>
  <c r="I59" i="42"/>
  <c r="B712" i="24" s="1"/>
  <c r="H59" i="42"/>
  <c r="B711" i="24" s="1"/>
  <c r="G59" i="42"/>
  <c r="B710" i="24" s="1"/>
  <c r="P58" i="42"/>
  <c r="B705" i="24" s="1"/>
  <c r="O58" i="42"/>
  <c r="B704" i="24" s="1"/>
  <c r="N58" i="42"/>
  <c r="B703" i="24" s="1"/>
  <c r="M58" i="42"/>
  <c r="B702" i="24" s="1"/>
  <c r="L58" i="42"/>
  <c r="B701" i="24" s="1"/>
  <c r="K58" i="42"/>
  <c r="B700" i="24" s="1"/>
  <c r="J58" i="42"/>
  <c r="B699" i="24" s="1"/>
  <c r="I58" i="42"/>
  <c r="B698" i="24" s="1"/>
  <c r="H58" i="42"/>
  <c r="B697" i="24" s="1"/>
  <c r="G58" i="42"/>
  <c r="B696" i="24" s="1"/>
  <c r="F58" i="42"/>
  <c r="B695" i="24" s="1"/>
  <c r="O57" i="42"/>
  <c r="B691" i="24" s="1"/>
  <c r="N57" i="42"/>
  <c r="B690" i="24" s="1"/>
  <c r="M57" i="42"/>
  <c r="B689" i="24" s="1"/>
  <c r="L57" i="42"/>
  <c r="B688" i="24" s="1"/>
  <c r="K57" i="42"/>
  <c r="B687" i="24" s="1"/>
  <c r="J57" i="42"/>
  <c r="B686" i="24" s="1"/>
  <c r="I57" i="42"/>
  <c r="B685" i="24" s="1"/>
  <c r="H57" i="42"/>
  <c r="B684" i="24" s="1"/>
  <c r="G57" i="42"/>
  <c r="B683" i="24" s="1"/>
  <c r="F57" i="42"/>
  <c r="B682" i="24" s="1"/>
  <c r="P56" i="42"/>
  <c r="B678" i="24" s="1"/>
  <c r="O56" i="42"/>
  <c r="B677" i="24" s="1"/>
  <c r="N56" i="42"/>
  <c r="B676" i="24" s="1"/>
  <c r="M56" i="42"/>
  <c r="B675" i="24" s="1"/>
  <c r="L56" i="42"/>
  <c r="B674" i="24" s="1"/>
  <c r="K56" i="42"/>
  <c r="B673" i="24" s="1"/>
  <c r="J56" i="42"/>
  <c r="B672" i="24" s="1"/>
  <c r="I56" i="42"/>
  <c r="B671" i="24" s="1"/>
  <c r="H56" i="42"/>
  <c r="B670" i="24" s="1"/>
  <c r="G56" i="42"/>
  <c r="B669" i="24" s="1"/>
  <c r="F56" i="42"/>
  <c r="B668" i="24" s="1"/>
  <c r="P52" i="42"/>
  <c r="B664" i="24" s="1"/>
  <c r="O52" i="42"/>
  <c r="B663" i="24" s="1"/>
  <c r="N52" i="42"/>
  <c r="B662" i="24" s="1"/>
  <c r="M52" i="42"/>
  <c r="B661" i="24" s="1"/>
  <c r="L52" i="42"/>
  <c r="B660" i="24" s="1"/>
  <c r="K52" i="42"/>
  <c r="B659" i="24" s="1"/>
  <c r="J52" i="42"/>
  <c r="B658" i="24" s="1"/>
  <c r="I52" i="42"/>
  <c r="B657" i="24" s="1"/>
  <c r="H52" i="42"/>
  <c r="B656" i="24" s="1"/>
  <c r="G52" i="42"/>
  <c r="B655" i="24" s="1"/>
  <c r="F52" i="42"/>
  <c r="B654" i="24" s="1"/>
  <c r="P51" i="42"/>
  <c r="B650" i="24" s="1"/>
  <c r="O51" i="42"/>
  <c r="B649" i="24" s="1"/>
  <c r="N51" i="42"/>
  <c r="B648" i="24" s="1"/>
  <c r="M51" i="42"/>
  <c r="B647" i="24" s="1"/>
  <c r="L51" i="42"/>
  <c r="B646" i="24" s="1"/>
  <c r="K51" i="42"/>
  <c r="B645" i="24" s="1"/>
  <c r="J51" i="42"/>
  <c r="B644" i="24" s="1"/>
  <c r="I51" i="42"/>
  <c r="B643" i="24" s="1"/>
  <c r="H51" i="42"/>
  <c r="B642" i="24" s="1"/>
  <c r="G51" i="42"/>
  <c r="B641" i="24" s="1"/>
  <c r="F51" i="42"/>
  <c r="B640" i="24" s="1"/>
  <c r="P49" i="42"/>
  <c r="B622" i="24" s="1"/>
  <c r="O49" i="42"/>
  <c r="B621" i="24" s="1"/>
  <c r="N49" i="42"/>
  <c r="B620" i="24" s="1"/>
  <c r="M49" i="42"/>
  <c r="B619" i="24" s="1"/>
  <c r="L49" i="42"/>
  <c r="B618" i="24" s="1"/>
  <c r="K49" i="42"/>
  <c r="B617" i="24" s="1"/>
  <c r="P48" i="42"/>
  <c r="B608" i="24" s="1"/>
  <c r="O48" i="42"/>
  <c r="B607" i="24" s="1"/>
  <c r="N48" i="42"/>
  <c r="B606" i="24" s="1"/>
  <c r="M48" i="42"/>
  <c r="B605" i="24" s="1"/>
  <c r="L48" i="42"/>
  <c r="B604" i="24" s="1"/>
  <c r="K48" i="42"/>
  <c r="B603" i="24" s="1"/>
  <c r="P47" i="42"/>
  <c r="B594" i="24" s="1"/>
  <c r="O47" i="42"/>
  <c r="B593" i="24" s="1"/>
  <c r="N47" i="42"/>
  <c r="B592" i="24" s="1"/>
  <c r="M47" i="42"/>
  <c r="B591" i="24" s="1"/>
  <c r="L47" i="42"/>
  <c r="B590" i="24" s="1"/>
  <c r="K47" i="42"/>
  <c r="B589" i="24" s="1"/>
  <c r="P46" i="42"/>
  <c r="B580" i="24" s="1"/>
  <c r="O46" i="42"/>
  <c r="B579" i="24" s="1"/>
  <c r="N46" i="42"/>
  <c r="B578" i="24" s="1"/>
  <c r="P44" i="42"/>
  <c r="B552" i="24" s="1"/>
  <c r="O44" i="42"/>
  <c r="B551" i="24" s="1"/>
  <c r="N44" i="42"/>
  <c r="B550" i="24" s="1"/>
  <c r="M44" i="42"/>
  <c r="B549" i="24" s="1"/>
  <c r="L44" i="42"/>
  <c r="B548" i="24" s="1"/>
  <c r="K44" i="42"/>
  <c r="B547" i="24" s="1"/>
  <c r="J44" i="42"/>
  <c r="B546" i="24" s="1"/>
  <c r="I44" i="42"/>
  <c r="B545" i="24" s="1"/>
  <c r="H44" i="42"/>
  <c r="B544" i="24" s="1"/>
  <c r="G44" i="42"/>
  <c r="B543" i="24" s="1"/>
  <c r="F44" i="42"/>
  <c r="B542" i="24" s="1"/>
  <c r="P43" i="42"/>
  <c r="B538" i="24" s="1"/>
  <c r="O43" i="42"/>
  <c r="B537" i="24" s="1"/>
  <c r="N43" i="42"/>
  <c r="B536" i="24" s="1"/>
  <c r="M43" i="42"/>
  <c r="B535" i="24" s="1"/>
  <c r="L43" i="42"/>
  <c r="B534" i="24" s="1"/>
  <c r="K43" i="42"/>
  <c r="B533" i="24" s="1"/>
  <c r="J43" i="42"/>
  <c r="B532" i="24" s="1"/>
  <c r="I43" i="42"/>
  <c r="B531" i="24" s="1"/>
  <c r="H43" i="42"/>
  <c r="B530" i="24" s="1"/>
  <c r="G43" i="42"/>
  <c r="B529" i="24" s="1"/>
  <c r="F43" i="42"/>
  <c r="B528" i="24" s="1"/>
  <c r="P42" i="42"/>
  <c r="B524" i="24" s="1"/>
  <c r="O42" i="42"/>
  <c r="B523" i="24" s="1"/>
  <c r="N42" i="42"/>
  <c r="B522" i="24" s="1"/>
  <c r="M42" i="42"/>
  <c r="B521" i="24" s="1"/>
  <c r="L42" i="42"/>
  <c r="B520" i="24" s="1"/>
  <c r="K42" i="42"/>
  <c r="B519" i="24" s="1"/>
  <c r="J42" i="42"/>
  <c r="B518" i="24" s="1"/>
  <c r="I42" i="42"/>
  <c r="B517" i="24" s="1"/>
  <c r="H42" i="42"/>
  <c r="B516" i="24" s="1"/>
  <c r="G42" i="42"/>
  <c r="B515" i="24" s="1"/>
  <c r="F42" i="42"/>
  <c r="B514" i="24" s="1"/>
  <c r="P41" i="42"/>
  <c r="B510" i="24" s="1"/>
  <c r="O41" i="42"/>
  <c r="B509" i="24" s="1"/>
  <c r="N41" i="42"/>
  <c r="B508" i="24" s="1"/>
  <c r="M41" i="42"/>
  <c r="B507" i="24" s="1"/>
  <c r="L41" i="42"/>
  <c r="B506" i="24" s="1"/>
  <c r="K41" i="42"/>
  <c r="B505" i="24" s="1"/>
  <c r="J41" i="42"/>
  <c r="B504" i="24" s="1"/>
  <c r="I41" i="42"/>
  <c r="B503" i="24" s="1"/>
  <c r="H41" i="42"/>
  <c r="B502" i="24" s="1"/>
  <c r="G41" i="42"/>
  <c r="B501" i="24" s="1"/>
  <c r="F41" i="42"/>
  <c r="B500" i="24" s="1"/>
  <c r="P35" i="42"/>
  <c r="B427" i="24" s="1"/>
  <c r="O35" i="42"/>
  <c r="B426" i="24" s="1"/>
  <c r="N35" i="42"/>
  <c r="B425" i="24" s="1"/>
  <c r="M35" i="42"/>
  <c r="B424" i="24" s="1"/>
  <c r="L35" i="42"/>
  <c r="B423" i="24" s="1"/>
  <c r="K35" i="42"/>
  <c r="B422" i="24" s="1"/>
  <c r="J35" i="42"/>
  <c r="B421" i="24" s="1"/>
  <c r="I35" i="42"/>
  <c r="B420" i="24" s="1"/>
  <c r="H35" i="42"/>
  <c r="B419" i="24" s="1"/>
  <c r="G35" i="42"/>
  <c r="B418" i="24" s="1"/>
  <c r="F35" i="42"/>
  <c r="B417" i="24" s="1"/>
  <c r="P29" i="42"/>
  <c r="B386" i="24" s="1"/>
  <c r="O29" i="42"/>
  <c r="B385" i="24" s="1"/>
  <c r="N29" i="42"/>
  <c r="B384" i="24" s="1"/>
  <c r="M29" i="42"/>
  <c r="B383" i="24" s="1"/>
  <c r="L29" i="42"/>
  <c r="B382" i="24" s="1"/>
  <c r="K29" i="42"/>
  <c r="B381" i="24" s="1"/>
  <c r="J29" i="42"/>
  <c r="B380" i="24" s="1"/>
  <c r="I29" i="42"/>
  <c r="B379" i="24" s="1"/>
  <c r="H29" i="42"/>
  <c r="B378" i="24" s="1"/>
  <c r="G29" i="42"/>
  <c r="B377" i="24" s="1"/>
  <c r="P27" i="42"/>
  <c r="B358" i="24" s="1"/>
  <c r="O27" i="42"/>
  <c r="B357" i="24" s="1"/>
  <c r="N27" i="42"/>
  <c r="B356" i="24" s="1"/>
  <c r="M27" i="42"/>
  <c r="B355" i="24" s="1"/>
  <c r="L27" i="42"/>
  <c r="B354" i="24" s="1"/>
  <c r="K27" i="42"/>
  <c r="B353" i="24" s="1"/>
  <c r="J27" i="42"/>
  <c r="B352" i="24" s="1"/>
  <c r="I27" i="42"/>
  <c r="B351" i="24" s="1"/>
  <c r="H27" i="42"/>
  <c r="B350" i="24" s="1"/>
  <c r="G27" i="42"/>
  <c r="B349" i="24" s="1"/>
  <c r="P26" i="42"/>
  <c r="B344" i="24" s="1"/>
  <c r="O26" i="42"/>
  <c r="B343" i="24" s="1"/>
  <c r="N26" i="42"/>
  <c r="B342" i="24" s="1"/>
  <c r="M26" i="42"/>
  <c r="B341" i="24" s="1"/>
  <c r="L26" i="42"/>
  <c r="B340" i="24" s="1"/>
  <c r="K26" i="42"/>
  <c r="B339" i="24" s="1"/>
  <c r="J26" i="42"/>
  <c r="B338" i="24" s="1"/>
  <c r="I26" i="42"/>
  <c r="B337" i="24" s="1"/>
  <c r="H26" i="42"/>
  <c r="B336" i="24" s="1"/>
  <c r="G26" i="42"/>
  <c r="B335" i="24" s="1"/>
  <c r="P22" i="42"/>
  <c r="B330" i="24" s="1"/>
  <c r="O22" i="42"/>
  <c r="B329" i="24" s="1"/>
  <c r="N22" i="42"/>
  <c r="B328" i="24" s="1"/>
  <c r="M22" i="42"/>
  <c r="B327" i="24" s="1"/>
  <c r="L22" i="42"/>
  <c r="B326" i="24" s="1"/>
  <c r="K22" i="42"/>
  <c r="B325" i="24" s="1"/>
  <c r="J22" i="42"/>
  <c r="B324" i="24" s="1"/>
  <c r="I22" i="42"/>
  <c r="B323" i="24" s="1"/>
  <c r="H22" i="42"/>
  <c r="B322" i="24" s="1"/>
  <c r="G22" i="42"/>
  <c r="B321" i="24" s="1"/>
  <c r="F22" i="42"/>
  <c r="B320" i="24" s="1"/>
  <c r="P19" i="42"/>
  <c r="B288" i="24" s="1"/>
  <c r="O19" i="42"/>
  <c r="B287" i="24" s="1"/>
  <c r="N19" i="42"/>
  <c r="B286" i="24" s="1"/>
  <c r="M19" i="42"/>
  <c r="B285" i="24" s="1"/>
  <c r="L19" i="42"/>
  <c r="B284" i="24" s="1"/>
  <c r="K19" i="42"/>
  <c r="B283" i="24" s="1"/>
  <c r="J19" i="42"/>
  <c r="B282" i="24" s="1"/>
  <c r="I19" i="42"/>
  <c r="B281" i="24" s="1"/>
  <c r="H19" i="42"/>
  <c r="B280" i="24" s="1"/>
  <c r="G19" i="42"/>
  <c r="B279" i="24" s="1"/>
  <c r="F19" i="42"/>
  <c r="B278" i="24" s="1"/>
  <c r="P17" i="42"/>
  <c r="B261" i="24" s="1"/>
  <c r="O17" i="42"/>
  <c r="B260" i="24" s="1"/>
  <c r="N17" i="42"/>
  <c r="B259" i="24" s="1"/>
  <c r="M17" i="42"/>
  <c r="B258" i="24" s="1"/>
  <c r="L17" i="42"/>
  <c r="B257" i="24" s="1"/>
  <c r="K17" i="42"/>
  <c r="B256" i="24" s="1"/>
  <c r="J17" i="42"/>
  <c r="B255" i="24" s="1"/>
  <c r="I17" i="42"/>
  <c r="B254" i="24" s="1"/>
  <c r="H17" i="42"/>
  <c r="B253" i="24" s="1"/>
  <c r="G17" i="42"/>
  <c r="B252" i="24" s="1"/>
  <c r="F17" i="42"/>
  <c r="B251" i="24" s="1"/>
  <c r="O16" i="42"/>
  <c r="B247" i="24" s="1"/>
  <c r="N16" i="42"/>
  <c r="B246" i="24" s="1"/>
  <c r="M16" i="42"/>
  <c r="B245" i="24" s="1"/>
  <c r="L16" i="42"/>
  <c r="B244" i="24" s="1"/>
  <c r="K16" i="42"/>
  <c r="B243" i="24" s="1"/>
  <c r="J16" i="42"/>
  <c r="B242" i="24" s="1"/>
  <c r="I16" i="42"/>
  <c r="B241" i="24" s="1"/>
  <c r="H16" i="42"/>
  <c r="B240" i="24" s="1"/>
  <c r="G16" i="42"/>
  <c r="B239" i="24" s="1"/>
  <c r="F16" i="42"/>
  <c r="B238" i="24" s="1"/>
  <c r="P15" i="42"/>
  <c r="B234" i="24" s="1"/>
  <c r="O15" i="42"/>
  <c r="B233" i="24" s="1"/>
  <c r="N15" i="42"/>
  <c r="B232" i="24" s="1"/>
  <c r="M15" i="42"/>
  <c r="B231" i="24" s="1"/>
  <c r="L15" i="42"/>
  <c r="B230" i="24" s="1"/>
  <c r="K15" i="42"/>
  <c r="B229" i="24" s="1"/>
  <c r="J15" i="42"/>
  <c r="B228" i="24" s="1"/>
  <c r="I15" i="42"/>
  <c r="B227" i="24" s="1"/>
  <c r="H15" i="42"/>
  <c r="B226" i="24" s="1"/>
  <c r="G15" i="42"/>
  <c r="B225" i="24" s="1"/>
  <c r="F15" i="42"/>
  <c r="B224" i="24" s="1"/>
  <c r="P14" i="42"/>
  <c r="B220" i="24" s="1"/>
  <c r="O14" i="42"/>
  <c r="B219" i="24" s="1"/>
  <c r="N14" i="42"/>
  <c r="B218" i="24" s="1"/>
  <c r="M14" i="42"/>
  <c r="B217" i="24" s="1"/>
  <c r="L14" i="42"/>
  <c r="B216" i="24" s="1"/>
  <c r="K14" i="42"/>
  <c r="B215" i="24" s="1"/>
  <c r="J14" i="42"/>
  <c r="B214" i="24" s="1"/>
  <c r="I14" i="42"/>
  <c r="B213" i="24" s="1"/>
  <c r="H14" i="42"/>
  <c r="B212" i="24" s="1"/>
  <c r="G14" i="42"/>
  <c r="B211" i="24" s="1"/>
  <c r="F14" i="42"/>
  <c r="B210" i="24" s="1"/>
  <c r="P13" i="42"/>
  <c r="B206" i="24" s="1"/>
  <c r="O13" i="42"/>
  <c r="B205" i="24" s="1"/>
  <c r="N13" i="42"/>
  <c r="B204" i="24" s="1"/>
  <c r="M13" i="42"/>
  <c r="B203" i="24" s="1"/>
  <c r="L13" i="42"/>
  <c r="B202" i="24" s="1"/>
  <c r="K13" i="42"/>
  <c r="B201" i="24" s="1"/>
  <c r="J13" i="42"/>
  <c r="B200" i="24" s="1"/>
  <c r="I13" i="42"/>
  <c r="B199" i="24" s="1"/>
  <c r="H13" i="42"/>
  <c r="B198" i="24" s="1"/>
  <c r="P4" i="42"/>
  <c r="O4" i="42"/>
  <c r="N4" i="42"/>
  <c r="M4" i="42"/>
  <c r="L4" i="42"/>
  <c r="K4" i="42"/>
  <c r="J4" i="42"/>
  <c r="I4" i="42"/>
  <c r="H4" i="42"/>
  <c r="G4" i="42"/>
  <c r="F4" i="42"/>
  <c r="S9" i="11"/>
  <c r="G8" i="11"/>
  <c r="B83" i="24" s="1"/>
  <c r="C7" i="11"/>
  <c r="U7" i="13"/>
  <c r="H25" i="36"/>
  <c r="C19" i="36"/>
  <c r="G6" i="36"/>
  <c r="J134" i="13"/>
  <c r="I134" i="13"/>
  <c r="H134" i="13"/>
  <c r="G134" i="13"/>
  <c r="F134" i="13"/>
  <c r="B134" i="13"/>
  <c r="J133" i="13"/>
  <c r="I133" i="13"/>
  <c r="H133" i="13"/>
  <c r="G133" i="13"/>
  <c r="F133" i="13"/>
  <c r="B133" i="13"/>
  <c r="J132" i="13"/>
  <c r="I132" i="13"/>
  <c r="H132" i="13"/>
  <c r="G132" i="13"/>
  <c r="F132" i="13"/>
  <c r="B132" i="13"/>
  <c r="J131" i="13"/>
  <c r="I131" i="13"/>
  <c r="H131" i="13"/>
  <c r="G131" i="13"/>
  <c r="F131" i="13"/>
  <c r="B131" i="13"/>
  <c r="J130" i="13"/>
  <c r="I130" i="13"/>
  <c r="H130" i="13"/>
  <c r="G130" i="13"/>
  <c r="F130" i="13"/>
  <c r="B130" i="13"/>
  <c r="J129" i="13"/>
  <c r="I129" i="13"/>
  <c r="H129" i="13"/>
  <c r="G129" i="13"/>
  <c r="B129" i="13"/>
  <c r="J128" i="13"/>
  <c r="I128" i="13"/>
  <c r="H128" i="13"/>
  <c r="G128" i="13"/>
  <c r="F128" i="13"/>
  <c r="B128" i="13"/>
  <c r="J127" i="13"/>
  <c r="I127" i="13"/>
  <c r="H127" i="13"/>
  <c r="G127" i="13"/>
  <c r="F127" i="13"/>
  <c r="B127" i="13"/>
  <c r="J126" i="13"/>
  <c r="I126" i="13"/>
  <c r="H126" i="13"/>
  <c r="G126" i="13"/>
  <c r="F126" i="13"/>
  <c r="B126" i="13"/>
  <c r="E124" i="13"/>
  <c r="D124" i="13"/>
  <c r="C124" i="13"/>
  <c r="B121" i="13"/>
  <c r="J120" i="13"/>
  <c r="I120" i="13"/>
  <c r="H120" i="13"/>
  <c r="G120" i="13"/>
  <c r="F120" i="13"/>
  <c r="B120" i="13"/>
  <c r="J119" i="13"/>
  <c r="I119" i="13"/>
  <c r="H119" i="13"/>
  <c r="G119" i="13"/>
  <c r="F119" i="13"/>
  <c r="B119" i="13"/>
  <c r="J118" i="13"/>
  <c r="I118" i="13"/>
  <c r="H118" i="13"/>
  <c r="G118" i="13"/>
  <c r="F118" i="13"/>
  <c r="B118" i="13"/>
  <c r="J117" i="13"/>
  <c r="I117" i="13"/>
  <c r="H117" i="13"/>
  <c r="G117" i="13"/>
  <c r="F117" i="13"/>
  <c r="B117" i="13"/>
  <c r="J116" i="13"/>
  <c r="I116" i="13"/>
  <c r="H116" i="13"/>
  <c r="G116" i="13"/>
  <c r="F116" i="13"/>
  <c r="B116" i="13"/>
  <c r="J115" i="13"/>
  <c r="I115" i="13"/>
  <c r="H115" i="13"/>
  <c r="G115" i="13"/>
  <c r="F115" i="13"/>
  <c r="B115" i="13"/>
  <c r="J114" i="13"/>
  <c r="I114" i="13"/>
  <c r="H114" i="13"/>
  <c r="G114" i="13"/>
  <c r="F114" i="13"/>
  <c r="B114" i="13"/>
  <c r="J112" i="13"/>
  <c r="I112" i="13"/>
  <c r="H112" i="13"/>
  <c r="G112" i="13"/>
  <c r="F112" i="13"/>
  <c r="B112" i="13"/>
  <c r="J111" i="13"/>
  <c r="I111" i="13"/>
  <c r="H111" i="13"/>
  <c r="G111" i="13"/>
  <c r="F111" i="13"/>
  <c r="B111" i="13"/>
  <c r="J110" i="13"/>
  <c r="I110" i="13"/>
  <c r="H110" i="13"/>
  <c r="G110" i="13"/>
  <c r="F110" i="13"/>
  <c r="B110" i="13"/>
  <c r="J109" i="13"/>
  <c r="I109" i="13"/>
  <c r="H109" i="13"/>
  <c r="G109" i="13"/>
  <c r="F109" i="13"/>
  <c r="B109" i="13"/>
  <c r="J108" i="13"/>
  <c r="I108" i="13"/>
  <c r="H108" i="13"/>
  <c r="G108" i="13"/>
  <c r="F108" i="13"/>
  <c r="B108" i="13"/>
  <c r="J106" i="13"/>
  <c r="I106" i="13"/>
  <c r="H106" i="13"/>
  <c r="G106" i="13"/>
  <c r="F106" i="13"/>
  <c r="B106" i="13"/>
  <c r="J105" i="13"/>
  <c r="I105" i="13"/>
  <c r="H105" i="13"/>
  <c r="G105" i="13"/>
  <c r="F105" i="13"/>
  <c r="B105" i="13"/>
  <c r="J104" i="13"/>
  <c r="I104" i="13"/>
  <c r="H104" i="13"/>
  <c r="G104" i="13"/>
  <c r="F104" i="13"/>
  <c r="B104" i="13"/>
  <c r="J103" i="13"/>
  <c r="I103" i="13"/>
  <c r="H103" i="13"/>
  <c r="G103" i="13"/>
  <c r="F103" i="13"/>
  <c r="B103" i="13"/>
  <c r="E101" i="13"/>
  <c r="D101" i="13"/>
  <c r="C101" i="13"/>
  <c r="B86" i="13"/>
  <c r="J85" i="13"/>
  <c r="J124" i="13" s="1"/>
  <c r="I85" i="13"/>
  <c r="H85" i="13"/>
  <c r="H124" i="13" s="1"/>
  <c r="G85" i="13"/>
  <c r="G124" i="13" s="1"/>
  <c r="B85" i="13"/>
  <c r="J82" i="13"/>
  <c r="I82" i="13"/>
  <c r="H82" i="13"/>
  <c r="G82" i="13"/>
  <c r="B82" i="13"/>
  <c r="B147" i="13" s="1"/>
  <c r="J81" i="13"/>
  <c r="I81" i="13"/>
  <c r="H81" i="13"/>
  <c r="G81" i="13"/>
  <c r="B81" i="13"/>
  <c r="B146" i="13" s="1"/>
  <c r="J80" i="13"/>
  <c r="I80" i="13"/>
  <c r="H80" i="13"/>
  <c r="G80" i="13"/>
  <c r="B80" i="13"/>
  <c r="B145" i="13" s="1"/>
  <c r="J79" i="13"/>
  <c r="I79" i="13"/>
  <c r="H79" i="13"/>
  <c r="G79" i="13"/>
  <c r="B79" i="13"/>
  <c r="B144" i="13" s="1"/>
  <c r="B76" i="13"/>
  <c r="J74" i="13"/>
  <c r="I74" i="13"/>
  <c r="H74" i="13"/>
  <c r="G74" i="13"/>
  <c r="B74" i="13"/>
  <c r="J73" i="13"/>
  <c r="I73" i="13"/>
  <c r="H73" i="13"/>
  <c r="G73" i="13"/>
  <c r="B73" i="13"/>
  <c r="J72" i="13"/>
  <c r="I72" i="13"/>
  <c r="H72" i="13"/>
  <c r="G72" i="13"/>
  <c r="B72" i="13"/>
  <c r="J71" i="13"/>
  <c r="I71" i="13"/>
  <c r="H71" i="13"/>
  <c r="G71" i="13"/>
  <c r="B71" i="13"/>
  <c r="J70" i="13"/>
  <c r="I70" i="13"/>
  <c r="H70" i="13"/>
  <c r="G70" i="13"/>
  <c r="B70" i="13"/>
  <c r="B67" i="13"/>
  <c r="V65" i="13"/>
  <c r="B73" i="24" s="1"/>
  <c r="B64" i="13"/>
  <c r="J62" i="13"/>
  <c r="I62" i="13"/>
  <c r="H62" i="13"/>
  <c r="G62" i="13"/>
  <c r="B62" i="13"/>
  <c r="B151" i="13" s="1"/>
  <c r="B60" i="13"/>
  <c r="C5" i="36"/>
  <c r="J59" i="13"/>
  <c r="I59" i="13"/>
  <c r="H59" i="13"/>
  <c r="G59" i="13"/>
  <c r="B59" i="13"/>
  <c r="B150" i="13" s="1"/>
  <c r="B58" i="13"/>
  <c r="U56" i="13"/>
  <c r="AB61" i="13" s="1"/>
  <c r="J55" i="13"/>
  <c r="I55" i="13"/>
  <c r="H55" i="13"/>
  <c r="G55" i="13"/>
  <c r="B55" i="13"/>
  <c r="B54" i="13"/>
  <c r="AB53" i="13"/>
  <c r="B53" i="13"/>
  <c r="AB52" i="13"/>
  <c r="V54" i="13" s="1"/>
  <c r="J52" i="13"/>
  <c r="I52" i="13"/>
  <c r="H52" i="13"/>
  <c r="G52" i="13"/>
  <c r="B52" i="13"/>
  <c r="J51" i="13"/>
  <c r="I51" i="13"/>
  <c r="H51" i="13"/>
  <c r="G51" i="13"/>
  <c r="B51" i="13"/>
  <c r="J50" i="13"/>
  <c r="I50" i="13"/>
  <c r="H50" i="13"/>
  <c r="G50" i="13"/>
  <c r="B50" i="13"/>
  <c r="J49" i="13"/>
  <c r="I49" i="13"/>
  <c r="H49" i="13"/>
  <c r="G49" i="13"/>
  <c r="B49" i="13"/>
  <c r="E48" i="13"/>
  <c r="D48" i="13"/>
  <c r="C48" i="13"/>
  <c r="L43" i="13"/>
  <c r="L42" i="13"/>
  <c r="J40" i="13"/>
  <c r="I40" i="13"/>
  <c r="H40" i="13"/>
  <c r="G40" i="13"/>
  <c r="F40" i="13"/>
  <c r="B40" i="13"/>
  <c r="J39" i="13"/>
  <c r="I39" i="13"/>
  <c r="H39" i="13"/>
  <c r="G39" i="13"/>
  <c r="F39" i="13"/>
  <c r="AI29" i="13" s="1"/>
  <c r="B61" i="24" s="1"/>
  <c r="B39" i="13"/>
  <c r="J38" i="13"/>
  <c r="I38" i="13"/>
  <c r="H38" i="13"/>
  <c r="G38" i="13"/>
  <c r="F38" i="13"/>
  <c r="B38" i="13"/>
  <c r="J37" i="13"/>
  <c r="I37" i="13"/>
  <c r="H37" i="13"/>
  <c r="G37" i="13"/>
  <c r="F37" i="13"/>
  <c r="B37" i="13"/>
  <c r="J36" i="13"/>
  <c r="I36" i="13"/>
  <c r="H36" i="13"/>
  <c r="G36" i="13"/>
  <c r="F36" i="13"/>
  <c r="B36" i="13"/>
  <c r="AA35" i="13"/>
  <c r="AD35" i="13" s="1"/>
  <c r="AG35" i="13" s="1"/>
  <c r="J34" i="13"/>
  <c r="I34" i="13"/>
  <c r="H34" i="13"/>
  <c r="G34" i="13"/>
  <c r="F34" i="13"/>
  <c r="F35" i="13" s="1"/>
  <c r="B34" i="13"/>
  <c r="B33" i="13"/>
  <c r="J32" i="13"/>
  <c r="I32" i="13"/>
  <c r="H32" i="13"/>
  <c r="G32" i="13"/>
  <c r="B32" i="13"/>
  <c r="J31" i="13"/>
  <c r="I31" i="13"/>
  <c r="H31" i="13"/>
  <c r="G31" i="13"/>
  <c r="F31" i="13"/>
  <c r="B31" i="13"/>
  <c r="J30" i="13"/>
  <c r="I30" i="13"/>
  <c r="H30" i="13"/>
  <c r="G30" i="13"/>
  <c r="F30" i="13"/>
  <c r="B30" i="13"/>
  <c r="J29" i="13"/>
  <c r="I29" i="13"/>
  <c r="H29" i="13"/>
  <c r="G29" i="13"/>
  <c r="F29" i="13"/>
  <c r="E29" i="13" s="1"/>
  <c r="D29" i="13" s="1"/>
  <c r="C29" i="13" s="1"/>
  <c r="B29" i="13"/>
  <c r="AI28" i="13"/>
  <c r="B60" i="24" s="1"/>
  <c r="J28" i="13"/>
  <c r="I28" i="13"/>
  <c r="H28" i="13"/>
  <c r="G28" i="13"/>
  <c r="F28" i="13"/>
  <c r="B28" i="13"/>
  <c r="AI27" i="13"/>
  <c r="B59" i="24" s="1"/>
  <c r="J27" i="13"/>
  <c r="I27" i="13"/>
  <c r="H27" i="13"/>
  <c r="G27" i="13"/>
  <c r="F27" i="13"/>
  <c r="B27" i="13"/>
  <c r="AI26" i="13"/>
  <c r="B58" i="24" s="1"/>
  <c r="AE26" i="13"/>
  <c r="J26" i="13"/>
  <c r="I26" i="13"/>
  <c r="H26" i="13"/>
  <c r="G26" i="13"/>
  <c r="F26" i="13"/>
  <c r="B26" i="13"/>
  <c r="AB25" i="13"/>
  <c r="B40" i="24" s="1"/>
  <c r="J25" i="13"/>
  <c r="I25" i="13"/>
  <c r="H25" i="13"/>
  <c r="G25" i="13"/>
  <c r="F25" i="13"/>
  <c r="F33" i="13" s="1"/>
  <c r="B25" i="13"/>
  <c r="J24" i="13"/>
  <c r="I24" i="13"/>
  <c r="H24" i="13"/>
  <c r="G24" i="13"/>
  <c r="F24" i="13"/>
  <c r="B24" i="13"/>
  <c r="J23" i="13"/>
  <c r="I23" i="13"/>
  <c r="H23" i="13"/>
  <c r="G23" i="13"/>
  <c r="F23" i="13"/>
  <c r="B23" i="13"/>
  <c r="J22" i="13"/>
  <c r="I22" i="13"/>
  <c r="H22" i="13"/>
  <c r="G22" i="13"/>
  <c r="F22" i="13"/>
  <c r="B22" i="13"/>
  <c r="AB21" i="13"/>
  <c r="B34" i="24" s="1"/>
  <c r="J21" i="13"/>
  <c r="I21" i="13"/>
  <c r="H21" i="13"/>
  <c r="G21" i="13"/>
  <c r="F21" i="13"/>
  <c r="B21" i="13"/>
  <c r="AB20" i="13"/>
  <c r="B33" i="24" s="1"/>
  <c r="B20" i="13"/>
  <c r="J19" i="13"/>
  <c r="I19" i="13"/>
  <c r="H19" i="13"/>
  <c r="G19" i="13"/>
  <c r="F19" i="13"/>
  <c r="B19" i="13"/>
  <c r="J18" i="13"/>
  <c r="I18" i="13"/>
  <c r="H18" i="13"/>
  <c r="G18" i="13"/>
  <c r="F18" i="13"/>
  <c r="B18" i="13"/>
  <c r="B17" i="13"/>
  <c r="AB16" i="13"/>
  <c r="J16" i="13"/>
  <c r="I16" i="13"/>
  <c r="H16" i="13"/>
  <c r="G16" i="13"/>
  <c r="F16" i="13"/>
  <c r="B16" i="13"/>
  <c r="J15" i="13"/>
  <c r="I15" i="13"/>
  <c r="H15" i="13"/>
  <c r="G15" i="13"/>
  <c r="F15" i="13"/>
  <c r="B15" i="13"/>
  <c r="J14" i="13"/>
  <c r="I14" i="13"/>
  <c r="H14" i="13"/>
  <c r="G14" i="13"/>
  <c r="F14" i="13"/>
  <c r="P14" i="13" s="1"/>
  <c r="B14" i="13"/>
  <c r="J13" i="13"/>
  <c r="I13" i="13"/>
  <c r="H13" i="13"/>
  <c r="G13" i="13"/>
  <c r="F13" i="13"/>
  <c r="B13" i="13"/>
  <c r="J12" i="13"/>
  <c r="I12" i="13"/>
  <c r="H12" i="13"/>
  <c r="G12" i="13"/>
  <c r="F12" i="13"/>
  <c r="P12" i="13" s="1"/>
  <c r="B12" i="13"/>
  <c r="B11" i="13"/>
  <c r="J10" i="13"/>
  <c r="I10" i="13"/>
  <c r="H10" i="13"/>
  <c r="G10" i="13"/>
  <c r="B10" i="13"/>
  <c r="J9" i="13"/>
  <c r="I9" i="13"/>
  <c r="H9" i="13"/>
  <c r="G9" i="13"/>
  <c r="F9" i="13"/>
  <c r="B9" i="13"/>
  <c r="B8" i="13"/>
  <c r="J7" i="13"/>
  <c r="I7" i="13"/>
  <c r="H7" i="13"/>
  <c r="G7" i="13"/>
  <c r="F7" i="13"/>
  <c r="B7" i="13"/>
  <c r="J6" i="13"/>
  <c r="I6" i="13"/>
  <c r="H6" i="13"/>
  <c r="G6" i="13"/>
  <c r="Q61" i="13" s="1"/>
  <c r="B6" i="13"/>
  <c r="O4" i="13"/>
  <c r="O48" i="13" s="1"/>
  <c r="O58" i="13" s="1"/>
  <c r="O68" i="13" s="1"/>
  <c r="N4" i="13"/>
  <c r="N48" i="13" s="1"/>
  <c r="N58" i="13" s="1"/>
  <c r="N68" i="13" s="1"/>
  <c r="M4" i="13"/>
  <c r="M48" i="13" s="1"/>
  <c r="M58" i="13" s="1"/>
  <c r="M68" i="13" s="1"/>
  <c r="J4" i="13"/>
  <c r="I4" i="13"/>
  <c r="I101" i="13" s="1"/>
  <c r="H4" i="13"/>
  <c r="H48" i="13" s="1"/>
  <c r="G4" i="13"/>
  <c r="Q4" i="13" s="1"/>
  <c r="Q48" i="13" s="1"/>
  <c r="Q58" i="13" s="1"/>
  <c r="Q68" i="13" s="1"/>
  <c r="F4" i="13"/>
  <c r="B4" i="13"/>
  <c r="C3" i="27"/>
  <c r="C2" i="27"/>
  <c r="B17" i="24"/>
  <c r="B16" i="24"/>
  <c r="B12" i="24"/>
  <c r="B11" i="24"/>
  <c r="B9" i="24"/>
  <c r="A9" i="24"/>
  <c r="B8" i="24"/>
  <c r="A8" i="24"/>
  <c r="B7" i="24"/>
  <c r="A7" i="24"/>
  <c r="B6" i="24"/>
  <c r="A6" i="24"/>
  <c r="B5" i="24"/>
  <c r="A5" i="24"/>
  <c r="B4" i="24"/>
  <c r="A4" i="24"/>
  <c r="B3" i="24"/>
  <c r="A3" i="24"/>
  <c r="B2" i="24"/>
  <c r="A2" i="24"/>
  <c r="AK23" i="11" a="1"/>
  <c r="AK22" i="11" a="1"/>
  <c r="AK24" i="11" a="1"/>
  <c r="AT18" i="11" a="1"/>
  <c r="I33" i="13" l="1"/>
  <c r="J33" i="13"/>
  <c r="G33" i="13"/>
  <c r="G35" i="13"/>
  <c r="H35" i="13"/>
  <c r="I35" i="13"/>
  <c r="J35" i="13"/>
  <c r="G64" i="13"/>
  <c r="H33" i="13"/>
  <c r="D5" i="36"/>
  <c r="F5" i="36" s="1"/>
  <c r="V69" i="13"/>
  <c r="B74" i="24" s="1"/>
  <c r="V68" i="13"/>
  <c r="B75" i="24" s="1"/>
  <c r="Q12" i="13"/>
  <c r="Q14" i="13"/>
  <c r="E73" i="13"/>
  <c r="D73" i="13" s="1"/>
  <c r="G13" i="11"/>
  <c r="F6" i="36"/>
  <c r="B97" i="24"/>
  <c r="AE27" i="13"/>
  <c r="AE25" i="13" s="1"/>
  <c r="B27" i="24"/>
  <c r="H26" i="36"/>
  <c r="B120" i="24" s="1"/>
  <c r="B113" i="24"/>
  <c r="J64" i="13"/>
  <c r="I64" i="13"/>
  <c r="I124" i="13"/>
  <c r="I43" i="13"/>
  <c r="F64" i="13"/>
  <c r="F124" i="13"/>
  <c r="E55" i="13"/>
  <c r="F58" i="13"/>
  <c r="E6" i="13"/>
  <c r="D6" i="13" s="1"/>
  <c r="D14" i="13" s="1"/>
  <c r="P61" i="13"/>
  <c r="P60" i="13"/>
  <c r="AI30" i="13"/>
  <c r="P73" i="13"/>
  <c r="P80" i="13"/>
  <c r="J18" i="42"/>
  <c r="B269" i="24" s="1"/>
  <c r="P111" i="13"/>
  <c r="I151" i="13"/>
  <c r="Q21" i="13"/>
  <c r="P110" i="13"/>
  <c r="AK22" i="11"/>
  <c r="AK23" i="11"/>
  <c r="AT18" i="11"/>
  <c r="AK24" i="11"/>
  <c r="G144" i="13"/>
  <c r="F147" i="13"/>
  <c r="D54" i="13"/>
  <c r="J101" i="13"/>
  <c r="J3" i="13"/>
  <c r="I3" i="13" s="1"/>
  <c r="H3" i="13" s="1"/>
  <c r="G3" i="13" s="1"/>
  <c r="F3" i="13" s="1"/>
  <c r="E3" i="13" s="1"/>
  <c r="D3" i="13" s="1"/>
  <c r="C3" i="13" s="1"/>
  <c r="C37" i="11"/>
  <c r="AO17" i="11"/>
  <c r="M102" i="13"/>
  <c r="M78" i="13"/>
  <c r="N102" i="13"/>
  <c r="N78" i="13"/>
  <c r="O102" i="13"/>
  <c r="O78" i="13"/>
  <c r="F76" i="13"/>
  <c r="J136" i="13"/>
  <c r="Q112" i="13"/>
  <c r="F43" i="13"/>
  <c r="P24" i="13"/>
  <c r="I17" i="13"/>
  <c r="I20" i="13" s="1"/>
  <c r="Q24" i="13"/>
  <c r="J45" i="13"/>
  <c r="G121" i="13"/>
  <c r="G17" i="13"/>
  <c r="G20" i="13" s="1"/>
  <c r="Q20" i="13" s="1"/>
  <c r="Q108" i="13"/>
  <c r="J17" i="13"/>
  <c r="J20" i="13" s="1"/>
  <c r="M36" i="42"/>
  <c r="B438" i="24" s="1"/>
  <c r="N36" i="42"/>
  <c r="B439" i="24" s="1"/>
  <c r="G8" i="13"/>
  <c r="G11" i="13" s="1"/>
  <c r="Q11" i="13" s="1"/>
  <c r="P16" i="13"/>
  <c r="P104" i="13"/>
  <c r="F121" i="13"/>
  <c r="F150" i="13"/>
  <c r="I8" i="13"/>
  <c r="I11" i="13" s="1"/>
  <c r="P71" i="13"/>
  <c r="P108" i="13"/>
  <c r="Q16" i="13"/>
  <c r="I76" i="13"/>
  <c r="B10" i="24"/>
  <c r="Q7" i="13"/>
  <c r="Q81" i="13"/>
  <c r="Q62" i="13"/>
  <c r="C30" i="11"/>
  <c r="D17" i="11"/>
  <c r="D29" i="11" s="1"/>
  <c r="C38" i="11"/>
  <c r="C36" i="11"/>
  <c r="G36" i="42"/>
  <c r="B432" i="24" s="1"/>
  <c r="Q6" i="13"/>
  <c r="P21" i="13"/>
  <c r="H150" i="13"/>
  <c r="H146" i="13"/>
  <c r="K36" i="42"/>
  <c r="B436" i="24" s="1"/>
  <c r="G41" i="13"/>
  <c r="L36" i="42"/>
  <c r="B437" i="24" s="1"/>
  <c r="F41" i="13"/>
  <c r="P85" i="42"/>
  <c r="B985" i="24" s="1"/>
  <c r="C21" i="36"/>
  <c r="B107" i="24" s="1"/>
  <c r="Q73" i="13"/>
  <c r="H121" i="13"/>
  <c r="H41" i="13"/>
  <c r="G18" i="42"/>
  <c r="B266" i="24" s="1"/>
  <c r="H45" i="13"/>
  <c r="P32" i="13"/>
  <c r="K18" i="42"/>
  <c r="B270" i="24" s="1"/>
  <c r="J41" i="13"/>
  <c r="O85" i="42"/>
  <c r="B984" i="24" s="1"/>
  <c r="Q109" i="13"/>
  <c r="G147" i="13"/>
  <c r="P127" i="13"/>
  <c r="Q82" i="13"/>
  <c r="Q10" i="13"/>
  <c r="Q13" i="13"/>
  <c r="I58" i="13"/>
  <c r="Q74" i="13"/>
  <c r="O18" i="42"/>
  <c r="B274" i="24" s="1"/>
  <c r="I41" i="13"/>
  <c r="Q60" i="13"/>
  <c r="Q110" i="13"/>
  <c r="X7" i="13"/>
  <c r="U14" i="13"/>
  <c r="AA7" i="13"/>
  <c r="AD7" i="13"/>
  <c r="L75" i="42"/>
  <c r="B897" i="24" s="1"/>
  <c r="G74" i="42"/>
  <c r="B878" i="24" s="1"/>
  <c r="J74" i="42"/>
  <c r="B881" i="24" s="1"/>
  <c r="I74" i="42"/>
  <c r="B880" i="24" s="1"/>
  <c r="H74" i="42"/>
  <c r="B879" i="24" s="1"/>
  <c r="J73" i="42"/>
  <c r="B867" i="24" s="1"/>
  <c r="P73" i="42"/>
  <c r="B873" i="24" s="1"/>
  <c r="G73" i="42"/>
  <c r="B864" i="24" s="1"/>
  <c r="M73" i="42"/>
  <c r="B870" i="24" s="1"/>
  <c r="K73" i="42"/>
  <c r="B868" i="24" s="1"/>
  <c r="I73" i="42"/>
  <c r="B866" i="24" s="1"/>
  <c r="F73" i="42"/>
  <c r="B863" i="24" s="1"/>
  <c r="F74" i="42"/>
  <c r="B877" i="24" s="1"/>
  <c r="L72" i="42"/>
  <c r="B855" i="24" s="1"/>
  <c r="L73" i="42"/>
  <c r="B869" i="24" s="1"/>
  <c r="N72" i="42"/>
  <c r="B857" i="24" s="1"/>
  <c r="N73" i="42"/>
  <c r="B871" i="24" s="1"/>
  <c r="O72" i="42"/>
  <c r="B858" i="24" s="1"/>
  <c r="O73" i="42"/>
  <c r="B872" i="24" s="1"/>
  <c r="H72" i="42"/>
  <c r="B851" i="24" s="1"/>
  <c r="H73" i="42"/>
  <c r="B865" i="24" s="1"/>
  <c r="J71" i="42"/>
  <c r="J72" i="42"/>
  <c r="B853" i="24" s="1"/>
  <c r="K71" i="42"/>
  <c r="K72" i="42"/>
  <c r="B854" i="24" s="1"/>
  <c r="P71" i="42"/>
  <c r="P72" i="42"/>
  <c r="B859" i="24" s="1"/>
  <c r="G71" i="42"/>
  <c r="G72" i="42"/>
  <c r="B850" i="24" s="1"/>
  <c r="M71" i="42"/>
  <c r="M72" i="42"/>
  <c r="B856" i="24" s="1"/>
  <c r="I71" i="42"/>
  <c r="I72" i="42"/>
  <c r="B852" i="24" s="1"/>
  <c r="F71" i="42"/>
  <c r="B835" i="24" s="1"/>
  <c r="F72" i="42"/>
  <c r="B849" i="24" s="1"/>
  <c r="L66" i="42"/>
  <c r="B813" i="24" s="1"/>
  <c r="L71" i="42"/>
  <c r="N66" i="42"/>
  <c r="B815" i="24" s="1"/>
  <c r="N71" i="42"/>
  <c r="O66" i="42"/>
  <c r="B816" i="24" s="1"/>
  <c r="O71" i="42"/>
  <c r="H66" i="42"/>
  <c r="B809" i="24" s="1"/>
  <c r="H71" i="42"/>
  <c r="J66" i="42"/>
  <c r="B811" i="24" s="1"/>
  <c r="K66" i="42"/>
  <c r="B812" i="24" s="1"/>
  <c r="P66" i="42"/>
  <c r="B817" i="24" s="1"/>
  <c r="G66" i="42"/>
  <c r="B808" i="24" s="1"/>
  <c r="M66" i="42"/>
  <c r="B814" i="24" s="1"/>
  <c r="I66" i="42"/>
  <c r="B810" i="24" s="1"/>
  <c r="F66" i="42"/>
  <c r="B807" i="24" s="1"/>
  <c r="O75" i="42"/>
  <c r="B900" i="24" s="1"/>
  <c r="F75" i="42"/>
  <c r="B891" i="24" s="1"/>
  <c r="G145" i="13"/>
  <c r="I147" i="13"/>
  <c r="K91" i="42"/>
  <c r="H75" i="42"/>
  <c r="B893" i="24" s="1"/>
  <c r="M85" i="42"/>
  <c r="B982" i="24" s="1"/>
  <c r="J91" i="42"/>
  <c r="L18" i="42"/>
  <c r="B271" i="24" s="1"/>
  <c r="J85" i="42"/>
  <c r="B979" i="24" s="1"/>
  <c r="F151" i="13"/>
  <c r="P74" i="13"/>
  <c r="G113" i="13"/>
  <c r="K85" i="42"/>
  <c r="B980" i="24" s="1"/>
  <c r="G91" i="42"/>
  <c r="G76" i="13"/>
  <c r="P70" i="13"/>
  <c r="P29" i="13"/>
  <c r="I45" i="13"/>
  <c r="Q111" i="13"/>
  <c r="F144" i="13"/>
  <c r="H113" i="13"/>
  <c r="I85" i="42"/>
  <c r="B978" i="24" s="1"/>
  <c r="Q104" i="13"/>
  <c r="J58" i="13"/>
  <c r="Q71" i="13"/>
  <c r="H85" i="42"/>
  <c r="B977" i="24" s="1"/>
  <c r="Q15" i="13"/>
  <c r="P10" i="13"/>
  <c r="I144" i="13"/>
  <c r="F113" i="13"/>
  <c r="G136" i="13"/>
  <c r="F44" i="13"/>
  <c r="P59" i="13"/>
  <c r="H58" i="13"/>
  <c r="N75" i="42"/>
  <c r="B899" i="24" s="1"/>
  <c r="K75" i="42"/>
  <c r="B896" i="24" s="1"/>
  <c r="I75" i="42"/>
  <c r="B894" i="24" s="1"/>
  <c r="M75" i="42"/>
  <c r="B898" i="24" s="1"/>
  <c r="J75" i="42"/>
  <c r="B895" i="24" s="1"/>
  <c r="G75" i="42"/>
  <c r="B892" i="24" s="1"/>
  <c r="P75" i="42"/>
  <c r="B901" i="24" s="1"/>
  <c r="C73" i="13"/>
  <c r="M110" i="13" s="1"/>
  <c r="N110" i="13"/>
  <c r="N111" i="13"/>
  <c r="N73" i="13"/>
  <c r="P79" i="13"/>
  <c r="J48" i="13"/>
  <c r="P81" i="13"/>
  <c r="P7" i="13"/>
  <c r="P112" i="13"/>
  <c r="H91" i="42"/>
  <c r="I48" i="13"/>
  <c r="J53" i="13"/>
  <c r="H53" i="13"/>
  <c r="P15" i="13"/>
  <c r="I113" i="13"/>
  <c r="I121" i="13"/>
  <c r="F86" i="13"/>
  <c r="F107" i="13"/>
  <c r="Q128" i="13"/>
  <c r="P6" i="13"/>
  <c r="P62" i="13"/>
  <c r="I36" i="42"/>
  <c r="B434" i="24" s="1"/>
  <c r="P91" i="42"/>
  <c r="H144" i="13"/>
  <c r="Q80" i="13"/>
  <c r="I86" i="13"/>
  <c r="H107" i="13"/>
  <c r="H8" i="13"/>
  <c r="H11" i="13" s="1"/>
  <c r="F45" i="13"/>
  <c r="H76" i="13"/>
  <c r="H136" i="13"/>
  <c r="I18" i="42"/>
  <c r="B268" i="24" s="1"/>
  <c r="J36" i="42"/>
  <c r="B435" i="24" s="1"/>
  <c r="P106" i="13"/>
  <c r="P82" i="13"/>
  <c r="F8" i="13"/>
  <c r="P8" i="13" s="1"/>
  <c r="P9" i="13"/>
  <c r="F53" i="13"/>
  <c r="P13" i="13"/>
  <c r="J8" i="13"/>
  <c r="J11" i="13" s="1"/>
  <c r="Q29" i="13"/>
  <c r="G151" i="13"/>
  <c r="Q70" i="13"/>
  <c r="J76" i="13"/>
  <c r="I146" i="13"/>
  <c r="H18" i="42"/>
  <c r="B267" i="24" s="1"/>
  <c r="P128" i="13"/>
  <c r="Q9" i="13"/>
  <c r="Q127" i="13"/>
  <c r="F145" i="13"/>
  <c r="H147" i="13"/>
  <c r="H86" i="13"/>
  <c r="H151" i="13"/>
  <c r="F17" i="13"/>
  <c r="F20" i="13" s="1"/>
  <c r="P22" i="13" s="1"/>
  <c r="F18" i="42"/>
  <c r="B265" i="24" s="1"/>
  <c r="F91" i="42"/>
  <c r="H36" i="42"/>
  <c r="B433" i="24" s="1"/>
  <c r="Q59" i="13"/>
  <c r="Q79" i="13"/>
  <c r="H43" i="13"/>
  <c r="Q32" i="13"/>
  <c r="I53" i="13"/>
  <c r="G58" i="13"/>
  <c r="O36" i="42"/>
  <c r="B440" i="24" s="1"/>
  <c r="M91" i="42"/>
  <c r="E81" i="13"/>
  <c r="E146" i="13" s="1"/>
  <c r="G44" i="13"/>
  <c r="H145" i="13"/>
  <c r="H101" i="13"/>
  <c r="F36" i="42"/>
  <c r="B431" i="24" s="1"/>
  <c r="N85" i="42"/>
  <c r="B983" i="24" s="1"/>
  <c r="L85" i="42"/>
  <c r="B981" i="24" s="1"/>
  <c r="L91" i="42"/>
  <c r="C10" i="13"/>
  <c r="Q27" i="13"/>
  <c r="P27" i="13"/>
  <c r="I136" i="13"/>
  <c r="I107" i="13"/>
  <c r="Q78" i="13"/>
  <c r="Q102" i="13"/>
  <c r="I44" i="13"/>
  <c r="H44" i="13"/>
  <c r="P34" i="13"/>
  <c r="G43" i="13"/>
  <c r="G45" i="13"/>
  <c r="E20" i="36"/>
  <c r="E118" i="13"/>
  <c r="D49" i="13"/>
  <c r="E21" i="13"/>
  <c r="I145" i="13"/>
  <c r="J86" i="13"/>
  <c r="I91" i="42"/>
  <c r="F136" i="13"/>
  <c r="P109" i="13"/>
  <c r="G150" i="13"/>
  <c r="H64" i="13"/>
  <c r="O110" i="13"/>
  <c r="O111" i="13"/>
  <c r="F101" i="13"/>
  <c r="F48" i="13"/>
  <c r="P4" i="13"/>
  <c r="P48" i="13" s="1"/>
  <c r="P58" i="13" s="1"/>
  <c r="P68" i="13" s="1"/>
  <c r="I150" i="13"/>
  <c r="F146" i="13"/>
  <c r="G146" i="13"/>
  <c r="G86" i="13"/>
  <c r="J113" i="13"/>
  <c r="J121" i="13"/>
  <c r="Q34" i="13"/>
  <c r="G107" i="13"/>
  <c r="G101" i="13"/>
  <c r="G48" i="13"/>
  <c r="J43" i="13"/>
  <c r="J107" i="13"/>
  <c r="G85" i="42"/>
  <c r="B976" i="24" s="1"/>
  <c r="G53" i="13"/>
  <c r="N18" i="42"/>
  <c r="B273" i="24" s="1"/>
  <c r="M18" i="42"/>
  <c r="B272" i="24" s="1"/>
  <c r="Q106" i="13"/>
  <c r="H17" i="13"/>
  <c r="H20" i="13" s="1"/>
  <c r="O91" i="42"/>
  <c r="N91" i="42"/>
  <c r="L34" i="50"/>
  <c r="O73" i="13" l="1"/>
  <c r="E109" i="13"/>
  <c r="E48" i="42" s="1"/>
  <c r="B597" i="24" s="1"/>
  <c r="V70" i="13"/>
  <c r="F7" i="36"/>
  <c r="C17" i="36" s="1"/>
  <c r="C49" i="36" s="1"/>
  <c r="E61" i="13"/>
  <c r="E14" i="13"/>
  <c r="D55" i="13"/>
  <c r="C55" i="13" s="1"/>
  <c r="I70" i="42"/>
  <c r="B824" i="24" s="1"/>
  <c r="B838" i="24"/>
  <c r="M70" i="42"/>
  <c r="B828" i="24" s="1"/>
  <c r="B842" i="24"/>
  <c r="O70" i="42"/>
  <c r="B830" i="24" s="1"/>
  <c r="B844" i="24"/>
  <c r="G70" i="42"/>
  <c r="B822" i="24" s="1"/>
  <c r="B836" i="24"/>
  <c r="P70" i="42"/>
  <c r="B831" i="24" s="1"/>
  <c r="B845" i="24"/>
  <c r="N70" i="42"/>
  <c r="B829" i="24" s="1"/>
  <c r="B843" i="24"/>
  <c r="L70" i="42"/>
  <c r="B827" i="24" s="1"/>
  <c r="B841" i="24"/>
  <c r="K70" i="42"/>
  <c r="B826" i="24" s="1"/>
  <c r="B840" i="24"/>
  <c r="J70" i="42"/>
  <c r="B825" i="24" s="1"/>
  <c r="B839" i="24"/>
  <c r="H70" i="42"/>
  <c r="B823" i="24" s="1"/>
  <c r="B837" i="24"/>
  <c r="B103" i="24"/>
  <c r="AJ27" i="13"/>
  <c r="B62" i="24"/>
  <c r="C11" i="27" s="1"/>
  <c r="D11" i="27" s="1"/>
  <c r="E21" i="42"/>
  <c r="B305" i="24" s="1"/>
  <c r="E9" i="13"/>
  <c r="E33" i="52" s="1"/>
  <c r="E34" i="52" s="1"/>
  <c r="E62" i="13"/>
  <c r="E120" i="13" s="1"/>
  <c r="E7" i="13"/>
  <c r="E8" i="13" s="1"/>
  <c r="O8" i="13" s="1"/>
  <c r="E78" i="42"/>
  <c r="B932" i="24" s="1"/>
  <c r="E13" i="13"/>
  <c r="E79" i="13"/>
  <c r="E144" i="13" s="1"/>
  <c r="E80" i="13"/>
  <c r="E145" i="13" s="1"/>
  <c r="E59" i="13"/>
  <c r="E60" i="13"/>
  <c r="B36" i="51" s="1"/>
  <c r="E82" i="13"/>
  <c r="E147" i="13" s="1"/>
  <c r="P55" i="13"/>
  <c r="P56" i="13"/>
  <c r="P54" i="13"/>
  <c r="Q55" i="13"/>
  <c r="Q56" i="13"/>
  <c r="C54" i="13"/>
  <c r="D58" i="13"/>
  <c r="D21" i="42"/>
  <c r="B304" i="24" s="1"/>
  <c r="D61" i="13"/>
  <c r="I152" i="13"/>
  <c r="F91" i="13"/>
  <c r="F42" i="13" s="1"/>
  <c r="H91" i="13"/>
  <c r="H42" i="13" s="1"/>
  <c r="Q19" i="13"/>
  <c r="M73" i="13"/>
  <c r="L36" i="50"/>
  <c r="C33" i="11"/>
  <c r="AP17" i="11"/>
  <c r="AO23" i="11"/>
  <c r="C23" i="11" s="1"/>
  <c r="C45" i="11" s="1"/>
  <c r="AO19" i="11"/>
  <c r="C19" i="11" s="1"/>
  <c r="AO20" i="11"/>
  <c r="C20" i="11" s="1"/>
  <c r="C43" i="11" s="1"/>
  <c r="AO22" i="11"/>
  <c r="C22" i="11" s="1"/>
  <c r="C44" i="11" s="1"/>
  <c r="AO21" i="11"/>
  <c r="C21" i="11" s="1"/>
  <c r="AO18" i="11"/>
  <c r="C18" i="11" s="1"/>
  <c r="AO24" i="11"/>
  <c r="C24" i="11" s="1"/>
  <c r="D81" i="13"/>
  <c r="N81" i="13" s="1"/>
  <c r="Q8" i="13"/>
  <c r="J141" i="13"/>
  <c r="M111" i="13"/>
  <c r="I91" i="13"/>
  <c r="I42" i="13" s="1"/>
  <c r="P19" i="13"/>
  <c r="H152" i="13"/>
  <c r="F152" i="13"/>
  <c r="H148" i="13"/>
  <c r="G91" i="13"/>
  <c r="G42" i="13" s="1"/>
  <c r="D36" i="11"/>
  <c r="D38" i="11"/>
  <c r="E17" i="11"/>
  <c r="D30" i="11"/>
  <c r="D37" i="11"/>
  <c r="M50" i="42"/>
  <c r="B633" i="24" s="1"/>
  <c r="H50" i="42"/>
  <c r="B628" i="24" s="1"/>
  <c r="L50" i="42"/>
  <c r="B632" i="24" s="1"/>
  <c r="G50" i="42"/>
  <c r="B627" i="24" s="1"/>
  <c r="J50" i="42"/>
  <c r="B630" i="24" s="1"/>
  <c r="I122" i="13"/>
  <c r="I123" i="13" s="1"/>
  <c r="O50" i="42"/>
  <c r="B635" i="24" s="1"/>
  <c r="P50" i="42"/>
  <c r="B636" i="24" s="1"/>
  <c r="H141" i="13"/>
  <c r="F67" i="13"/>
  <c r="G152" i="13"/>
  <c r="F141" i="13"/>
  <c r="I50" i="42"/>
  <c r="B629" i="24" s="1"/>
  <c r="G148" i="13"/>
  <c r="I141" i="13"/>
  <c r="AA19" i="13"/>
  <c r="U19" i="13"/>
  <c r="AD19" i="13"/>
  <c r="X19" i="13"/>
  <c r="AD14" i="13"/>
  <c r="D88" i="13"/>
  <c r="G122" i="13"/>
  <c r="G123" i="13" s="1"/>
  <c r="J91" i="13"/>
  <c r="J42" i="13" s="1"/>
  <c r="I148" i="13"/>
  <c r="F122" i="13"/>
  <c r="F123" i="13" s="1"/>
  <c r="O81" i="13"/>
  <c r="H122" i="13"/>
  <c r="H123" i="13" s="1"/>
  <c r="AJ30" i="13"/>
  <c r="C88" i="13"/>
  <c r="E88" i="13"/>
  <c r="E32" i="13" s="1"/>
  <c r="H67" i="13"/>
  <c r="F11" i="13"/>
  <c r="P11" i="13" s="1"/>
  <c r="K50" i="42"/>
  <c r="B631" i="24" s="1"/>
  <c r="F148" i="13"/>
  <c r="I67" i="13"/>
  <c r="Q39" i="13"/>
  <c r="Q22" i="13"/>
  <c r="Q23" i="13"/>
  <c r="J122" i="13"/>
  <c r="J123" i="13" s="1"/>
  <c r="N50" i="42"/>
  <c r="B634" i="24" s="1"/>
  <c r="P78" i="13"/>
  <c r="P102" i="13"/>
  <c r="E58" i="13"/>
  <c r="E116" i="13"/>
  <c r="E70" i="13"/>
  <c r="J67" i="13"/>
  <c r="G67" i="13"/>
  <c r="Q54" i="13"/>
  <c r="P23" i="13"/>
  <c r="P20" i="13"/>
  <c r="C49" i="13"/>
  <c r="D118" i="13"/>
  <c r="D21" i="13"/>
  <c r="D79" i="13"/>
  <c r="D78" i="42"/>
  <c r="B931" i="24" s="1"/>
  <c r="D80" i="13"/>
  <c r="D59" i="13"/>
  <c r="D9" i="13"/>
  <c r="D33" i="52" s="1"/>
  <c r="D34" i="52" s="1"/>
  <c r="D60" i="13"/>
  <c r="D12" i="13" s="1"/>
  <c r="D109" i="13"/>
  <c r="D13" i="13"/>
  <c r="D82" i="13"/>
  <c r="D7" i="13"/>
  <c r="C6" i="13"/>
  <c r="C14" i="13" s="1"/>
  <c r="D62" i="13"/>
  <c r="G141" i="13"/>
  <c r="C32" i="11"/>
  <c r="C38" i="36" l="1"/>
  <c r="C47" i="36"/>
  <c r="C40" i="36"/>
  <c r="E22" i="42"/>
  <c r="B319" i="24" s="1"/>
  <c r="E11" i="13"/>
  <c r="E36" i="13" s="1"/>
  <c r="E12" i="13"/>
  <c r="E51" i="42" s="1"/>
  <c r="B639" i="24" s="1"/>
  <c r="E88" i="42"/>
  <c r="B988" i="24" s="1"/>
  <c r="B135" i="24"/>
  <c r="E13" i="42"/>
  <c r="B195" i="24" s="1"/>
  <c r="E52" i="42"/>
  <c r="B653" i="24" s="1"/>
  <c r="E151" i="13"/>
  <c r="E49" i="42"/>
  <c r="B611" i="24" s="1"/>
  <c r="E89" i="42"/>
  <c r="B1002" i="24" s="1"/>
  <c r="E64" i="13"/>
  <c r="E84" i="42" s="1"/>
  <c r="B960" i="24" s="1"/>
  <c r="E150" i="13"/>
  <c r="D144" i="13"/>
  <c r="E86" i="13"/>
  <c r="C6" i="36"/>
  <c r="C7" i="36" s="1"/>
  <c r="E115" i="13"/>
  <c r="E90" i="42"/>
  <c r="B1016" i="24" s="1"/>
  <c r="D115" i="13"/>
  <c r="C21" i="42"/>
  <c r="B303" i="24" s="1"/>
  <c r="C61" i="13"/>
  <c r="C60" i="13"/>
  <c r="C115" i="13" s="1"/>
  <c r="C58" i="13"/>
  <c r="I154" i="13"/>
  <c r="F92" i="13"/>
  <c r="H92" i="13"/>
  <c r="F154" i="13"/>
  <c r="D146" i="13"/>
  <c r="M8" i="50"/>
  <c r="M11" i="50"/>
  <c r="M9" i="50"/>
  <c r="M10" i="50"/>
  <c r="M20" i="50"/>
  <c r="M19" i="50" s="1"/>
  <c r="B124" i="24" s="1"/>
  <c r="C81" i="13"/>
  <c r="C146" i="13" s="1"/>
  <c r="N36" i="50"/>
  <c r="M32" i="50"/>
  <c r="M34" i="50"/>
  <c r="B127" i="24" s="1"/>
  <c r="AQ17" i="11"/>
  <c r="AQ22" i="11" s="1"/>
  <c r="E22" i="11" s="1"/>
  <c r="E44" i="11" s="1"/>
  <c r="E29" i="11"/>
  <c r="E30" i="11" s="1"/>
  <c r="C46" i="11"/>
  <c r="AP22" i="11"/>
  <c r="D22" i="11" s="1"/>
  <c r="D44" i="11" s="1"/>
  <c r="AP23" i="11"/>
  <c r="D23" i="11" s="1"/>
  <c r="D45" i="11" s="1"/>
  <c r="AP21" i="11"/>
  <c r="D21" i="11" s="1"/>
  <c r="AP18" i="11"/>
  <c r="D18" i="11" s="1"/>
  <c r="AP24" i="11"/>
  <c r="D24" i="11" s="1"/>
  <c r="AP20" i="11"/>
  <c r="D20" i="11" s="1"/>
  <c r="D43" i="11" s="1"/>
  <c r="AP19" i="11"/>
  <c r="D19" i="11" s="1"/>
  <c r="C25" i="11"/>
  <c r="I92" i="13"/>
  <c r="G92" i="13"/>
  <c r="G154" i="13"/>
  <c r="H154" i="13"/>
  <c r="E36" i="11"/>
  <c r="E38" i="11"/>
  <c r="F17" i="11"/>
  <c r="E37" i="11"/>
  <c r="X25" i="13"/>
  <c r="AA25" i="13" s="1"/>
  <c r="AD25" i="13" s="1"/>
  <c r="U25" i="13"/>
  <c r="O32" i="13"/>
  <c r="J92" i="13"/>
  <c r="D32" i="13"/>
  <c r="E148" i="13"/>
  <c r="Q33" i="13"/>
  <c r="D52" i="42"/>
  <c r="B652" i="24" s="1"/>
  <c r="D48" i="42"/>
  <c r="B596" i="24" s="1"/>
  <c r="P39" i="13"/>
  <c r="P33" i="13"/>
  <c r="H41" i="11"/>
  <c r="D116" i="13"/>
  <c r="D51" i="42"/>
  <c r="B638" i="24" s="1"/>
  <c r="D150" i="13"/>
  <c r="D64" i="13"/>
  <c r="E104" i="13"/>
  <c r="O70" i="13"/>
  <c r="D70" i="13"/>
  <c r="E108" i="13"/>
  <c r="D90" i="42"/>
  <c r="B1015" i="24" s="1"/>
  <c r="D88" i="42"/>
  <c r="B987" i="24" s="1"/>
  <c r="D8" i="13"/>
  <c r="D49" i="42"/>
  <c r="B610" i="24" s="1"/>
  <c r="D147" i="13"/>
  <c r="D151" i="13"/>
  <c r="D120" i="13"/>
  <c r="C109" i="13"/>
  <c r="B30" i="51" s="1"/>
  <c r="C82" i="13"/>
  <c r="C147" i="13" s="1"/>
  <c r="C78" i="42"/>
  <c r="B930" i="24" s="1"/>
  <c r="C79" i="13"/>
  <c r="C144" i="13" s="1"/>
  <c r="C7" i="13"/>
  <c r="C8" i="13" s="1"/>
  <c r="C59" i="13"/>
  <c r="V9" i="13"/>
  <c r="Y8" i="13" s="1"/>
  <c r="C9" i="13"/>
  <c r="C33" i="52" s="1"/>
  <c r="C34" i="52" s="1"/>
  <c r="C62" i="13"/>
  <c r="C13" i="13"/>
  <c r="C80" i="13"/>
  <c r="C89" i="42" s="1"/>
  <c r="B1000" i="24" s="1"/>
  <c r="D86" i="13"/>
  <c r="D22" i="42"/>
  <c r="B318" i="24" s="1"/>
  <c r="D145" i="13"/>
  <c r="D89" i="42"/>
  <c r="B1001" i="24" s="1"/>
  <c r="C21" i="13"/>
  <c r="C118" i="13"/>
  <c r="E14" i="42" l="1"/>
  <c r="B209" i="24" s="1"/>
  <c r="O11" i="13"/>
  <c r="B141" i="24" s="1"/>
  <c r="C12" i="13"/>
  <c r="B19" i="51" s="1"/>
  <c r="B35" i="51" s="1"/>
  <c r="E152" i="13"/>
  <c r="E154" i="13" s="1"/>
  <c r="E106" i="13" s="1"/>
  <c r="O106" i="13" s="1"/>
  <c r="V21" i="13"/>
  <c r="E15" i="13"/>
  <c r="O15" i="13" s="1"/>
  <c r="B147" i="24" s="1"/>
  <c r="E17" i="42"/>
  <c r="B250" i="24" s="1"/>
  <c r="G25" i="36"/>
  <c r="B112" i="24" s="1"/>
  <c r="E46" i="42"/>
  <c r="B569" i="24" s="1"/>
  <c r="E91" i="42"/>
  <c r="E61" i="42" s="1"/>
  <c r="B736" i="24" s="1"/>
  <c r="G27" i="36"/>
  <c r="E41" i="42"/>
  <c r="B499" i="24" s="1"/>
  <c r="C64" i="13"/>
  <c r="M81" i="13"/>
  <c r="AQ19" i="11"/>
  <c r="E19" i="11" s="1"/>
  <c r="AQ20" i="11"/>
  <c r="E20" i="11" s="1"/>
  <c r="E43" i="11" s="1"/>
  <c r="M7" i="50"/>
  <c r="B123" i="24" s="1"/>
  <c r="AQ21" i="11"/>
  <c r="E21" i="11" s="1"/>
  <c r="AQ23" i="11"/>
  <c r="E23" i="11" s="1"/>
  <c r="E45" i="11" s="1"/>
  <c r="AQ18" i="11"/>
  <c r="E18" i="11" s="1"/>
  <c r="AQ24" i="11"/>
  <c r="E24" i="11" s="1"/>
  <c r="AR17" i="11"/>
  <c r="AR22" i="11" s="1"/>
  <c r="F22" i="11" s="1"/>
  <c r="F29" i="11"/>
  <c r="F30" i="11" s="1"/>
  <c r="D46" i="11"/>
  <c r="D25" i="11"/>
  <c r="D26" i="11" s="1"/>
  <c r="F36" i="11"/>
  <c r="F38" i="11"/>
  <c r="G17" i="11"/>
  <c r="G29" i="11" s="1"/>
  <c r="F37" i="11"/>
  <c r="C32" i="13"/>
  <c r="N32" i="13"/>
  <c r="D152" i="13"/>
  <c r="C145" i="13"/>
  <c r="C148" i="13" s="1"/>
  <c r="D148" i="13"/>
  <c r="D91" i="42"/>
  <c r="D61" i="42" s="1"/>
  <c r="B735" i="24" s="1"/>
  <c r="C11" i="13"/>
  <c r="M8" i="13"/>
  <c r="B133" i="24" s="1"/>
  <c r="C13" i="42"/>
  <c r="B193" i="24" s="1"/>
  <c r="C48" i="42"/>
  <c r="B595" i="24" s="1"/>
  <c r="C52" i="42"/>
  <c r="B651" i="24" s="1"/>
  <c r="C120" i="13"/>
  <c r="C151" i="13"/>
  <c r="D11" i="13"/>
  <c r="N8" i="13"/>
  <c r="B134" i="24" s="1"/>
  <c r="D13" i="42"/>
  <c r="B194" i="24" s="1"/>
  <c r="C150" i="13"/>
  <c r="D84" i="42"/>
  <c r="B959" i="24" s="1"/>
  <c r="C88" i="42"/>
  <c r="B986" i="24" s="1"/>
  <c r="C90" i="42"/>
  <c r="B1014" i="24" s="1"/>
  <c r="C70" i="13"/>
  <c r="N70" i="13"/>
  <c r="D104" i="13"/>
  <c r="D108" i="13"/>
  <c r="C41" i="36"/>
  <c r="C50" i="36"/>
  <c r="C116" i="13"/>
  <c r="C86" i="13"/>
  <c r="C22" i="42"/>
  <c r="B317" i="24" s="1"/>
  <c r="E71" i="13"/>
  <c r="E136" i="13"/>
  <c r="E58" i="42"/>
  <c r="B694" i="24" s="1"/>
  <c r="D41" i="42"/>
  <c r="B498" i="24" s="1"/>
  <c r="D46" i="42"/>
  <c r="B568" i="24" s="1"/>
  <c r="C49" i="42"/>
  <c r="B609" i="24" s="1"/>
  <c r="E34" i="13"/>
  <c r="E46" i="13" s="1"/>
  <c r="G26" i="36" l="1"/>
  <c r="B119" i="24" s="1"/>
  <c r="E40" i="42"/>
  <c r="B485" i="24" s="1"/>
  <c r="E35" i="13"/>
  <c r="E16" i="13"/>
  <c r="E17" i="13" s="1"/>
  <c r="E18" i="13" s="1"/>
  <c r="C51" i="42"/>
  <c r="B637" i="24" s="1"/>
  <c r="E39" i="42"/>
  <c r="B471" i="24" s="1"/>
  <c r="AR18" i="11"/>
  <c r="F18" i="11" s="1"/>
  <c r="M31" i="50"/>
  <c r="B125" i="24" s="1"/>
  <c r="E25" i="11"/>
  <c r="E26" i="11" s="1"/>
  <c r="AR20" i="11"/>
  <c r="F20" i="11" s="1"/>
  <c r="F43" i="11" s="1"/>
  <c r="AR19" i="11"/>
  <c r="F19" i="11" s="1"/>
  <c r="L9" i="11" s="1"/>
  <c r="AR21" i="11"/>
  <c r="F21" i="11" s="1"/>
  <c r="E46" i="11"/>
  <c r="AR23" i="11"/>
  <c r="F23" i="11" s="1"/>
  <c r="AR24" i="11"/>
  <c r="H22" i="11"/>
  <c r="AX17" i="11"/>
  <c r="AX18" i="11" s="1"/>
  <c r="G18" i="11" s="1"/>
  <c r="G19" i="11" s="1"/>
  <c r="G38" i="11"/>
  <c r="G36" i="11"/>
  <c r="G37" i="11"/>
  <c r="F44" i="11"/>
  <c r="D154" i="13"/>
  <c r="D106" i="13" s="1"/>
  <c r="N106" i="13" s="1"/>
  <c r="H17" i="11"/>
  <c r="H29" i="11" s="1"/>
  <c r="G30" i="11"/>
  <c r="M32" i="13"/>
  <c r="C152" i="13"/>
  <c r="C154" i="13" s="1"/>
  <c r="C15" i="13"/>
  <c r="C14" i="42"/>
  <c r="B207" i="24" s="1"/>
  <c r="AE20" i="13"/>
  <c r="C36" i="13"/>
  <c r="AE15" i="13"/>
  <c r="B28" i="24" s="1"/>
  <c r="M11" i="13"/>
  <c r="B139" i="24" s="1"/>
  <c r="C17" i="42"/>
  <c r="B248" i="24" s="1"/>
  <c r="C41" i="42"/>
  <c r="B497" i="24" s="1"/>
  <c r="C46" i="42"/>
  <c r="B567" i="24" s="1"/>
  <c r="C91" i="42"/>
  <c r="C61" i="42" s="1"/>
  <c r="B734" i="24" s="1"/>
  <c r="D17" i="42"/>
  <c r="B249" i="24" s="1"/>
  <c r="D34" i="13"/>
  <c r="D36" i="13"/>
  <c r="N11" i="13"/>
  <c r="B140" i="24" s="1"/>
  <c r="D15" i="13"/>
  <c r="D14" i="42"/>
  <c r="B208" i="24" s="1"/>
  <c r="O34" i="13"/>
  <c r="E126" i="13"/>
  <c r="E19" i="42"/>
  <c r="B277" i="24" s="1"/>
  <c r="E77" i="42"/>
  <c r="B918" i="24" s="1"/>
  <c r="E45" i="13"/>
  <c r="E43" i="13"/>
  <c r="O43" i="13" s="1"/>
  <c r="B165" i="24" s="1"/>
  <c r="D58" i="42"/>
  <c r="B693" i="24" s="1"/>
  <c r="D136" i="13"/>
  <c r="D71" i="13"/>
  <c r="O71" i="13"/>
  <c r="E72" i="13"/>
  <c r="E20" i="42"/>
  <c r="B291" i="24" s="1"/>
  <c r="C84" i="42"/>
  <c r="B958" i="24" s="1"/>
  <c r="M70" i="13"/>
  <c r="C104" i="13"/>
  <c r="B18" i="51" s="1"/>
  <c r="B28" i="51" s="1"/>
  <c r="C108" i="13"/>
  <c r="D35" i="13" l="1"/>
  <c r="D46" i="13"/>
  <c r="D40" i="42"/>
  <c r="B484" i="24" s="1"/>
  <c r="K34" i="13"/>
  <c r="E19" i="13"/>
  <c r="E50" i="13" s="1"/>
  <c r="I25" i="36" s="1"/>
  <c r="B114" i="24" s="1"/>
  <c r="E127" i="13"/>
  <c r="E105" i="13" s="1"/>
  <c r="C106" i="13"/>
  <c r="M106" i="13" s="1"/>
  <c r="B29" i="51"/>
  <c r="B31" i="51" s="1"/>
  <c r="B34" i="51" s="1"/>
  <c r="B37" i="51" s="1"/>
  <c r="H26" i="51" s="1"/>
  <c r="H28" i="51" s="1"/>
  <c r="H30" i="51" s="1"/>
  <c r="F24" i="11"/>
  <c r="G24" i="11" s="1"/>
  <c r="H24" i="11" s="1"/>
  <c r="D39" i="42"/>
  <c r="B470" i="24" s="1"/>
  <c r="F46" i="11"/>
  <c r="G20" i="11"/>
  <c r="M33" i="50"/>
  <c r="B126" i="24" s="1"/>
  <c r="H23" i="11"/>
  <c r="H45" i="11" s="1"/>
  <c r="F45" i="11"/>
  <c r="AY17" i="11"/>
  <c r="AY18" i="11" s="1"/>
  <c r="H18" i="11" s="1"/>
  <c r="H19" i="11" s="1"/>
  <c r="H44" i="11"/>
  <c r="H21" i="11"/>
  <c r="G44" i="11"/>
  <c r="H36" i="11"/>
  <c r="H38" i="11"/>
  <c r="I17" i="11"/>
  <c r="I29" i="11" s="1"/>
  <c r="H30" i="11"/>
  <c r="H37" i="11"/>
  <c r="D16" i="13"/>
  <c r="N15" i="13"/>
  <c r="B146" i="24" s="1"/>
  <c r="AE14" i="13"/>
  <c r="B29" i="24" s="1"/>
  <c r="D19" i="42"/>
  <c r="B276" i="24" s="1"/>
  <c r="D126" i="13"/>
  <c r="D77" i="42"/>
  <c r="B917" i="24" s="1"/>
  <c r="D45" i="13"/>
  <c r="N34" i="13"/>
  <c r="D43" i="13"/>
  <c r="N43" i="13" s="1"/>
  <c r="B164" i="24" s="1"/>
  <c r="AE21" i="13"/>
  <c r="B36" i="24" s="1"/>
  <c r="C136" i="13"/>
  <c r="C58" i="42"/>
  <c r="B692" i="24" s="1"/>
  <c r="D20" i="42"/>
  <c r="B290" i="24" s="1"/>
  <c r="C34" i="13"/>
  <c r="C46" i="13" s="1"/>
  <c r="C16" i="13"/>
  <c r="C17" i="13" s="1"/>
  <c r="M15" i="13"/>
  <c r="B145" i="24" s="1"/>
  <c r="N71" i="13"/>
  <c r="C71" i="13"/>
  <c r="D72" i="13"/>
  <c r="C40" i="42" l="1"/>
  <c r="B483" i="24" s="1"/>
  <c r="C35" i="13"/>
  <c r="E20" i="13"/>
  <c r="E28" i="42" s="1"/>
  <c r="B361" i="24" s="1"/>
  <c r="H20" i="11"/>
  <c r="H43" i="11" s="1"/>
  <c r="G43" i="11"/>
  <c r="E18" i="36" s="1"/>
  <c r="F25" i="11"/>
  <c r="F26" i="11" s="1"/>
  <c r="C39" i="42"/>
  <c r="B469" i="24" s="1"/>
  <c r="M36" i="50"/>
  <c r="B129" i="24" s="1"/>
  <c r="G46" i="11"/>
  <c r="G45" i="11"/>
  <c r="G25" i="11"/>
  <c r="AZ17" i="11"/>
  <c r="AZ18" i="11" s="1"/>
  <c r="I18" i="11"/>
  <c r="I21" i="11"/>
  <c r="I23" i="11"/>
  <c r="I20" i="11"/>
  <c r="I19" i="11"/>
  <c r="I24" i="11"/>
  <c r="I22" i="11"/>
  <c r="I38" i="11"/>
  <c r="J17" i="11"/>
  <c r="J29" i="11" s="1"/>
  <c r="I30" i="11"/>
  <c r="I37" i="11"/>
  <c r="I36" i="11"/>
  <c r="C18" i="13"/>
  <c r="C19" i="13"/>
  <c r="C20" i="13" s="1"/>
  <c r="I26" i="36"/>
  <c r="B121" i="24" s="1"/>
  <c r="D127" i="13"/>
  <c r="D105" i="13" s="1"/>
  <c r="AE19" i="13"/>
  <c r="B35" i="24" s="1"/>
  <c r="C19" i="42"/>
  <c r="B275" i="24" s="1"/>
  <c r="C126" i="13"/>
  <c r="C20" i="36"/>
  <c r="B106" i="24" s="1"/>
  <c r="C77" i="42"/>
  <c r="B916" i="24" s="1"/>
  <c r="C45" i="13"/>
  <c r="M34" i="13"/>
  <c r="C43" i="13"/>
  <c r="M43" i="13" s="1"/>
  <c r="B163" i="24" s="1"/>
  <c r="C127" i="13"/>
  <c r="C105" i="13" s="1"/>
  <c r="M71" i="13"/>
  <c r="C72" i="13"/>
  <c r="V26" i="13"/>
  <c r="B37" i="24" s="1"/>
  <c r="C48" i="36"/>
  <c r="C51" i="36" s="1"/>
  <c r="C18" i="36"/>
  <c r="B105" i="24" s="1"/>
  <c r="D17" i="13"/>
  <c r="C20" i="42"/>
  <c r="B289" i="24" s="1"/>
  <c r="H25" i="11" l="1"/>
  <c r="H26" i="11" s="1"/>
  <c r="H46" i="11"/>
  <c r="E22" i="13"/>
  <c r="E30" i="13" s="1"/>
  <c r="E37" i="13"/>
  <c r="O20" i="13"/>
  <c r="B153" i="24" s="1"/>
  <c r="E15" i="42"/>
  <c r="B223" i="24" s="1"/>
  <c r="E23" i="13"/>
  <c r="E24" i="13" s="1"/>
  <c r="E103" i="13"/>
  <c r="E107" i="13" s="1"/>
  <c r="E129" i="13" s="1"/>
  <c r="E133" i="13" s="1"/>
  <c r="G26" i="11"/>
  <c r="C15" i="27"/>
  <c r="D15" i="27" s="1"/>
  <c r="M39" i="50"/>
  <c r="BA17" i="11"/>
  <c r="BA18" i="11" s="1"/>
  <c r="J21" i="11"/>
  <c r="J22" i="11"/>
  <c r="J18" i="11"/>
  <c r="J20" i="11"/>
  <c r="J23" i="11"/>
  <c r="J19" i="11"/>
  <c r="J24" i="11"/>
  <c r="I27" i="36"/>
  <c r="J38" i="11"/>
  <c r="K17" i="11"/>
  <c r="K29" i="11" s="1"/>
  <c r="J30" i="11"/>
  <c r="J37" i="11"/>
  <c r="J36" i="11"/>
  <c r="C37" i="13"/>
  <c r="C22" i="13"/>
  <c r="C103" i="13"/>
  <c r="C107" i="13" s="1"/>
  <c r="C23" i="13"/>
  <c r="C24" i="13" s="1"/>
  <c r="C28" i="42"/>
  <c r="B359" i="24" s="1"/>
  <c r="M20" i="13"/>
  <c r="B151" i="24" s="1"/>
  <c r="C15" i="42"/>
  <c r="B221" i="24" s="1"/>
  <c r="D19" i="13"/>
  <c r="D50" i="13" s="1"/>
  <c r="D18" i="13"/>
  <c r="C25" i="36"/>
  <c r="B109" i="24" s="1"/>
  <c r="C26" i="36"/>
  <c r="B116" i="24" s="1"/>
  <c r="E63" i="42" l="1"/>
  <c r="B764" i="24" s="1"/>
  <c r="E57" i="42"/>
  <c r="B681" i="24" s="1"/>
  <c r="E134" i="13"/>
  <c r="E59" i="42"/>
  <c r="B708" i="24" s="1"/>
  <c r="E130" i="13"/>
  <c r="E131" i="13" s="1"/>
  <c r="E66" i="42" s="1"/>
  <c r="B806" i="24" s="1"/>
  <c r="E132" i="13"/>
  <c r="E74" i="42" s="1"/>
  <c r="B876" i="24" s="1"/>
  <c r="E26" i="13"/>
  <c r="E25" i="13"/>
  <c r="E33" i="13" s="1"/>
  <c r="E39" i="13" s="1"/>
  <c r="E75" i="42" s="1"/>
  <c r="B890" i="24" s="1"/>
  <c r="O22" i="13"/>
  <c r="E62" i="42"/>
  <c r="B750" i="24" s="1"/>
  <c r="E56" i="42"/>
  <c r="B667" i="24" s="1"/>
  <c r="BB17" i="11"/>
  <c r="BB18" i="11" s="1"/>
  <c r="K21" i="11"/>
  <c r="K24" i="11"/>
  <c r="K20" i="11"/>
  <c r="K22" i="11"/>
  <c r="K19" i="11"/>
  <c r="K18" i="11"/>
  <c r="K23" i="11"/>
  <c r="L17" i="11"/>
  <c r="L29" i="11" s="1"/>
  <c r="K26" i="11"/>
  <c r="K30" i="11"/>
  <c r="K37" i="11"/>
  <c r="K36" i="11"/>
  <c r="K38" i="11"/>
  <c r="D20" i="13"/>
  <c r="F26" i="36"/>
  <c r="B118" i="24" s="1"/>
  <c r="F25" i="36"/>
  <c r="B111" i="24" s="1"/>
  <c r="C27" i="36"/>
  <c r="F27" i="36" s="1"/>
  <c r="J27" i="36" s="1"/>
  <c r="D27" i="36" s="1"/>
  <c r="E27" i="36" s="1"/>
  <c r="C50" i="13"/>
  <c r="C56" i="42"/>
  <c r="B665" i="24" s="1"/>
  <c r="C129" i="13"/>
  <c r="C133" i="13" s="1"/>
  <c r="C63" i="42"/>
  <c r="B762" i="24" s="1"/>
  <c r="C59" i="42"/>
  <c r="B706" i="24" s="1"/>
  <c r="C62" i="42"/>
  <c r="B748" i="24" s="1"/>
  <c r="C134" i="13"/>
  <c r="C25" i="13"/>
  <c r="C33" i="13" s="1"/>
  <c r="C71" i="42" s="1"/>
  <c r="B832" i="24" s="1"/>
  <c r="M22" i="13"/>
  <c r="C26" i="13"/>
  <c r="C30" i="13"/>
  <c r="E27" i="13" l="1"/>
  <c r="E28" i="13" s="1"/>
  <c r="E76" i="42" s="1"/>
  <c r="B904" i="24" s="1"/>
  <c r="E31" i="13"/>
  <c r="F70" i="42"/>
  <c r="B821" i="24" s="1"/>
  <c r="O33" i="13"/>
  <c r="B156" i="24" s="1"/>
  <c r="E71" i="42"/>
  <c r="BC17" i="11"/>
  <c r="BC18" i="11" s="1"/>
  <c r="L21" i="11"/>
  <c r="L20" i="11"/>
  <c r="L24" i="11"/>
  <c r="L18" i="11"/>
  <c r="L19" i="11"/>
  <c r="L23" i="11"/>
  <c r="L22" i="11"/>
  <c r="E44" i="13"/>
  <c r="O44" i="13"/>
  <c r="E16" i="42"/>
  <c r="B237" i="24" s="1"/>
  <c r="E41" i="13"/>
  <c r="E40" i="13"/>
  <c r="E52" i="13" s="1"/>
  <c r="M17" i="11"/>
  <c r="M29" i="11" s="1"/>
  <c r="L30" i="11"/>
  <c r="L37" i="11"/>
  <c r="L26" i="11"/>
  <c r="L36" i="11"/>
  <c r="L38" i="11"/>
  <c r="D22" i="13"/>
  <c r="V8" i="13" s="1"/>
  <c r="V7" i="13" s="1"/>
  <c r="B19" i="24" s="1"/>
  <c r="D103" i="13"/>
  <c r="D107" i="13" s="1"/>
  <c r="C57" i="42" s="1"/>
  <c r="B679" i="24" s="1"/>
  <c r="D28" i="42"/>
  <c r="B360" i="24" s="1"/>
  <c r="D23" i="13"/>
  <c r="D24" i="13" s="1"/>
  <c r="N20" i="13"/>
  <c r="B152" i="24" s="1"/>
  <c r="D15" i="42"/>
  <c r="B222" i="24" s="1"/>
  <c r="D37" i="13"/>
  <c r="C31" i="13"/>
  <c r="C27" i="13"/>
  <c r="C39" i="13"/>
  <c r="V20" i="13"/>
  <c r="Y21" i="13"/>
  <c r="C132" i="13"/>
  <c r="C74" i="42" s="1"/>
  <c r="B874" i="24" s="1"/>
  <c r="J25" i="36"/>
  <c r="B115" i="24" s="1"/>
  <c r="J26" i="36"/>
  <c r="B122" i="24" s="1"/>
  <c r="O27" i="13" l="1"/>
  <c r="B834" i="24"/>
  <c r="E73" i="42"/>
  <c r="B862" i="24" s="1"/>
  <c r="E70" i="42"/>
  <c r="B820" i="24" s="1"/>
  <c r="BD17" i="11"/>
  <c r="BD18" i="11" s="1"/>
  <c r="M20" i="11"/>
  <c r="M22" i="11"/>
  <c r="M19" i="11"/>
  <c r="M24" i="11"/>
  <c r="M18" i="11"/>
  <c r="M23" i="11"/>
  <c r="M21" i="11"/>
  <c r="E114" i="13"/>
  <c r="E121" i="13" s="1"/>
  <c r="E64" i="42"/>
  <c r="B778" i="24" s="1"/>
  <c r="E65" i="42"/>
  <c r="B792" i="24" s="1"/>
  <c r="M30" i="11"/>
  <c r="M37" i="11"/>
  <c r="M26" i="11"/>
  <c r="M36" i="11"/>
  <c r="M38" i="11"/>
  <c r="N17" i="11"/>
  <c r="N29" i="11" s="1"/>
  <c r="D57" i="42"/>
  <c r="B680" i="24" s="1"/>
  <c r="C75" i="42"/>
  <c r="B888" i="24" s="1"/>
  <c r="D129" i="13"/>
  <c r="D133" i="13" s="1"/>
  <c r="D62" i="42"/>
  <c r="B749" i="24" s="1"/>
  <c r="D56" i="42"/>
  <c r="B666" i="24" s="1"/>
  <c r="D134" i="13"/>
  <c r="D59" i="42"/>
  <c r="B707" i="24" s="1"/>
  <c r="D25" i="13"/>
  <c r="D63" i="42"/>
  <c r="B763" i="24" s="1"/>
  <c r="D26" i="13"/>
  <c r="N22" i="13"/>
  <c r="D30" i="13"/>
  <c r="E53" i="13"/>
  <c r="C28" i="13"/>
  <c r="C76" i="42" s="1"/>
  <c r="B902" i="24" s="1"/>
  <c r="D26" i="36"/>
  <c r="B117" i="24" s="1"/>
  <c r="C40" i="13"/>
  <c r="C41" i="13"/>
  <c r="V19" i="13"/>
  <c r="D25" i="36"/>
  <c r="B110" i="24" s="1"/>
  <c r="C73" i="42"/>
  <c r="B860" i="24" s="1"/>
  <c r="D31" i="13" l="1"/>
  <c r="D33" i="13"/>
  <c r="M33" i="13" s="1"/>
  <c r="B154" i="24" s="1"/>
  <c r="AB19" i="13"/>
  <c r="B32" i="24" s="1"/>
  <c r="B30" i="24"/>
  <c r="E72" i="42"/>
  <c r="B848" i="24" s="1"/>
  <c r="E38" i="42"/>
  <c r="B457" i="24" s="1"/>
  <c r="E37" i="42"/>
  <c r="B443" i="24" s="1"/>
  <c r="BE17" i="11"/>
  <c r="BE18" i="11" s="1"/>
  <c r="N20" i="11"/>
  <c r="N19" i="11"/>
  <c r="N23" i="11"/>
  <c r="N22" i="11"/>
  <c r="N24" i="11"/>
  <c r="N18" i="11"/>
  <c r="N21" i="11"/>
  <c r="N30" i="11"/>
  <c r="N37" i="11"/>
  <c r="N36" i="11"/>
  <c r="N38" i="11"/>
  <c r="O17" i="11"/>
  <c r="O29" i="11" s="1"/>
  <c r="N26" i="11"/>
  <c r="D27" i="13"/>
  <c r="N27" i="13" s="1"/>
  <c r="D132" i="13"/>
  <c r="D74" i="42" s="1"/>
  <c r="B875" i="24" s="1"/>
  <c r="C114" i="13"/>
  <c r="C121" i="13" s="1"/>
  <c r="C65" i="42"/>
  <c r="B790" i="24" s="1"/>
  <c r="C64" i="42"/>
  <c r="B776" i="24" s="1"/>
  <c r="E26" i="36"/>
  <c r="C14" i="27"/>
  <c r="D14" i="27" s="1"/>
  <c r="E25" i="36"/>
  <c r="C13" i="27"/>
  <c r="D13" i="27" s="1"/>
  <c r="O53" i="13"/>
  <c r="E67" i="13"/>
  <c r="O55" i="13"/>
  <c r="E29" i="42"/>
  <c r="B375" i="24" s="1"/>
  <c r="E140" i="13"/>
  <c r="E141" i="13"/>
  <c r="E138" i="13"/>
  <c r="E26" i="42"/>
  <c r="B333" i="24" s="1"/>
  <c r="AH35" i="13"/>
  <c r="B54" i="24" s="1"/>
  <c r="AB35" i="13"/>
  <c r="B48" i="24" s="1"/>
  <c r="E2" i="24"/>
  <c r="V16" i="13" l="1"/>
  <c r="D71" i="42"/>
  <c r="B833" i="24" s="1"/>
  <c r="D39" i="13"/>
  <c r="V15" i="13" s="1"/>
  <c r="N33" i="13"/>
  <c r="B155" i="24" s="1"/>
  <c r="Z63" i="13"/>
  <c r="Z65" i="13" s="1"/>
  <c r="V43" i="13" s="1"/>
  <c r="B64" i="24" s="1"/>
  <c r="V35" i="13"/>
  <c r="B42" i="24" s="1"/>
  <c r="C70" i="42"/>
  <c r="B818" i="24" s="1"/>
  <c r="K8" i="11"/>
  <c r="B86" i="24" s="1"/>
  <c r="BF17" i="11"/>
  <c r="BF18" i="11" s="1"/>
  <c r="O24" i="11"/>
  <c r="O21" i="11"/>
  <c r="O22" i="11"/>
  <c r="O20" i="11"/>
  <c r="O19" i="11"/>
  <c r="O23" i="11"/>
  <c r="O18" i="11"/>
  <c r="O37" i="11"/>
  <c r="O26" i="11"/>
  <c r="O36" i="11"/>
  <c r="O38" i="11"/>
  <c r="P17" i="11"/>
  <c r="P29" i="11" s="1"/>
  <c r="O30" i="11"/>
  <c r="M27" i="13"/>
  <c r="D28" i="13"/>
  <c r="AI35" i="13"/>
  <c r="AI36" i="13" s="1"/>
  <c r="AJ36" i="13" s="1"/>
  <c r="V14" i="13" l="1"/>
  <c r="B23" i="24" s="1"/>
  <c r="M44" i="13"/>
  <c r="N44" i="13"/>
  <c r="C16" i="42"/>
  <c r="B235" i="24" s="1"/>
  <c r="D16" i="42"/>
  <c r="B236" i="24" s="1"/>
  <c r="D76" i="42"/>
  <c r="B903" i="24" s="1"/>
  <c r="D75" i="42"/>
  <c r="B889" i="24" s="1"/>
  <c r="D41" i="13"/>
  <c r="D40" i="13"/>
  <c r="D114" i="13" s="1"/>
  <c r="D121" i="13" s="1"/>
  <c r="D44" i="13"/>
  <c r="C44" i="13"/>
  <c r="D73" i="42"/>
  <c r="B861" i="24" s="1"/>
  <c r="D70" i="42"/>
  <c r="B819" i="24" s="1"/>
  <c r="Y42" i="13"/>
  <c r="B66" i="24" s="1"/>
  <c r="B76" i="24"/>
  <c r="W69" i="13"/>
  <c r="X69" i="13" s="1"/>
  <c r="B79" i="24" s="1"/>
  <c r="W68" i="13"/>
  <c r="B78" i="24" s="1"/>
  <c r="C9" i="27" s="1"/>
  <c r="D9" i="27" s="1"/>
  <c r="K7" i="11"/>
  <c r="B85" i="24" s="1"/>
  <c r="D31" i="11"/>
  <c r="D32" i="11" s="1"/>
  <c r="D33" i="11" s="1"/>
  <c r="C31" i="11"/>
  <c r="E31" i="11"/>
  <c r="E32" i="11" s="1"/>
  <c r="E33" i="11" s="1"/>
  <c r="I31" i="11"/>
  <c r="I32" i="11" s="1"/>
  <c r="J31" i="11"/>
  <c r="J32" i="11" s="1"/>
  <c r="F31" i="11"/>
  <c r="F32" i="11" s="1"/>
  <c r="F33" i="11" s="1"/>
  <c r="H31" i="11"/>
  <c r="H32" i="11" s="1"/>
  <c r="H33" i="11" s="1"/>
  <c r="M31" i="11"/>
  <c r="M32" i="11" s="1"/>
  <c r="G31" i="11"/>
  <c r="G32" i="11" s="1"/>
  <c r="G33" i="11" s="1"/>
  <c r="K31" i="11"/>
  <c r="K32" i="11" s="1"/>
  <c r="N31" i="11"/>
  <c r="N32" i="11" s="1"/>
  <c r="O31" i="11"/>
  <c r="O32" i="11" s="1"/>
  <c r="L31" i="11"/>
  <c r="L32" i="11" s="1"/>
  <c r="B56" i="24"/>
  <c r="C10" i="27" s="1"/>
  <c r="D10" i="27" s="1"/>
  <c r="P23" i="11"/>
  <c r="P18" i="11"/>
  <c r="P20" i="11"/>
  <c r="P22" i="11"/>
  <c r="P19" i="11"/>
  <c r="P24" i="11"/>
  <c r="P21" i="11"/>
  <c r="P31" i="11"/>
  <c r="BG17" i="11"/>
  <c r="BG18" i="11" s="1"/>
  <c r="P36" i="11"/>
  <c r="P26" i="11"/>
  <c r="P38" i="11"/>
  <c r="Q17" i="11"/>
  <c r="Q29" i="11" s="1"/>
  <c r="P30" i="11"/>
  <c r="P37" i="11"/>
  <c r="Y15" i="13" l="1"/>
  <c r="D65" i="42"/>
  <c r="B791" i="24" s="1"/>
  <c r="D52" i="13"/>
  <c r="D53" i="13" s="1"/>
  <c r="D141" i="13" s="1"/>
  <c r="D64" i="42"/>
  <c r="B777" i="24" s="1"/>
  <c r="X68" i="13"/>
  <c r="B80" i="24" s="1"/>
  <c r="W70" i="13"/>
  <c r="X70" i="13" s="1"/>
  <c r="B77" i="24"/>
  <c r="C8" i="27" s="1"/>
  <c r="D8" i="27" s="1"/>
  <c r="C12" i="11"/>
  <c r="P32" i="11"/>
  <c r="BH17" i="11"/>
  <c r="BH18" i="11" s="1"/>
  <c r="Q19" i="11"/>
  <c r="Q22" i="11"/>
  <c r="Q23" i="11"/>
  <c r="Q18" i="11"/>
  <c r="Q24" i="11"/>
  <c r="Q21" i="11"/>
  <c r="Q20" i="11"/>
  <c r="Q36" i="11"/>
  <c r="Q38" i="11"/>
  <c r="Q26" i="11"/>
  <c r="R17" i="11"/>
  <c r="R29" i="11" s="1"/>
  <c r="Q30" i="11"/>
  <c r="Q37" i="11"/>
  <c r="Q31" i="11"/>
  <c r="D67" i="13" l="1"/>
  <c r="C52" i="13"/>
  <c r="C53" i="13" s="1"/>
  <c r="C37" i="42" s="1"/>
  <c r="B441" i="24" s="1"/>
  <c r="N53" i="13"/>
  <c r="N55" i="13"/>
  <c r="D29" i="42"/>
  <c r="B374" i="24" s="1"/>
  <c r="D38" i="42"/>
  <c r="B456" i="24" s="1"/>
  <c r="D140" i="13"/>
  <c r="D72" i="42"/>
  <c r="B847" i="24" s="1"/>
  <c r="D26" i="42"/>
  <c r="B332" i="24" s="1"/>
  <c r="D138" i="13"/>
  <c r="D37" i="42"/>
  <c r="B442" i="24" s="1"/>
  <c r="D12" i="11"/>
  <c r="B89" i="24" s="1"/>
  <c r="BI17" i="11"/>
  <c r="BI18" i="11" s="1"/>
  <c r="R23" i="11"/>
  <c r="R24" i="11"/>
  <c r="R21" i="11"/>
  <c r="R20" i="11"/>
  <c r="R19" i="11"/>
  <c r="R22" i="11"/>
  <c r="R18" i="11"/>
  <c r="Q32" i="11"/>
  <c r="R26" i="11"/>
  <c r="R36" i="11"/>
  <c r="R38" i="11"/>
  <c r="S17" i="11"/>
  <c r="S29" i="11" s="1"/>
  <c r="R30" i="11"/>
  <c r="R37" i="11"/>
  <c r="R31" i="11"/>
  <c r="M53" i="13" l="1"/>
  <c r="M55" i="13"/>
  <c r="Y35" i="13"/>
  <c r="B45" i="24" s="1"/>
  <c r="C138" i="13"/>
  <c r="C38" i="42"/>
  <c r="B455" i="24" s="1"/>
  <c r="C141" i="13"/>
  <c r="C72" i="42"/>
  <c r="B846" i="24" s="1"/>
  <c r="C67" i="13"/>
  <c r="C29" i="42"/>
  <c r="B373" i="24" s="1"/>
  <c r="C140" i="13"/>
  <c r="C26" i="42"/>
  <c r="B331" i="24" s="1"/>
  <c r="AB9" i="13"/>
  <c r="BJ17" i="11"/>
  <c r="BJ18" i="11" s="1"/>
  <c r="S22" i="11"/>
  <c r="S20" i="11"/>
  <c r="S24" i="11"/>
  <c r="S19" i="11"/>
  <c r="S18" i="11"/>
  <c r="S23" i="11"/>
  <c r="S21" i="11"/>
  <c r="R32" i="11"/>
  <c r="S36" i="11"/>
  <c r="S38" i="11"/>
  <c r="T17" i="11"/>
  <c r="T29" i="11" s="1"/>
  <c r="S26" i="11"/>
  <c r="S30" i="11"/>
  <c r="S37" i="11"/>
  <c r="S31" i="11"/>
  <c r="BK17" i="11" l="1"/>
  <c r="BK18" i="11" s="1"/>
  <c r="T18" i="11"/>
  <c r="T23" i="11"/>
  <c r="T22" i="11"/>
  <c r="T20" i="11"/>
  <c r="T19" i="11"/>
  <c r="T24" i="11"/>
  <c r="T21" i="11"/>
  <c r="T30" i="11"/>
  <c r="T26" i="11"/>
  <c r="T31" i="11"/>
  <c r="S32" i="11"/>
  <c r="T32" i="11" l="1"/>
  <c r="J26" i="11" l="1"/>
  <c r="I26" i="11" l="1"/>
  <c r="I25" i="11" s="1"/>
  <c r="I33" i="11" l="1"/>
  <c r="J25" i="11"/>
  <c r="J33" i="11" l="1"/>
  <c r="K25" i="11"/>
  <c r="K33" i="11" l="1"/>
  <c r="L25" i="11"/>
  <c r="L33" i="11" l="1"/>
  <c r="M25" i="11"/>
  <c r="M33" i="11" l="1"/>
  <c r="N25" i="11"/>
  <c r="N33" i="11" l="1"/>
  <c r="O25" i="11"/>
  <c r="O33" i="11" l="1"/>
  <c r="P25" i="11"/>
  <c r="P33" i="11" l="1"/>
  <c r="Q25" i="11"/>
  <c r="Q33" i="11" l="1"/>
  <c r="R25" i="11"/>
  <c r="R33" i="11" l="1"/>
  <c r="S25" i="11"/>
  <c r="S33" i="11" l="1"/>
  <c r="T25" i="11"/>
  <c r="T36" i="11" l="1"/>
  <c r="T37" i="11" s="1"/>
  <c r="T38" i="11" s="1"/>
  <c r="C14" i="11" s="1"/>
  <c r="T33" i="11"/>
  <c r="C13" i="11" s="1"/>
  <c r="C15" i="11" l="1"/>
  <c r="G14" i="11" s="1"/>
  <c r="D14" i="11"/>
  <c r="B91" i="24" s="1"/>
  <c r="D15" i="11" l="1"/>
  <c r="B92" i="24" s="1"/>
  <c r="D13" i="11"/>
  <c r="B90" i="24" s="1"/>
  <c r="G15" i="11" l="1"/>
  <c r="L7" i="11" l="1"/>
  <c r="K14" i="11"/>
  <c r="B93" i="24" s="1"/>
  <c r="C12" i="27" s="1"/>
  <c r="K12" i="11"/>
  <c r="D12" i="27" l="1"/>
  <c r="D22" i="27"/>
  <c r="C29" i="39" s="1"/>
  <c r="BQ262" i="39" s="1"/>
  <c r="H40" i="11"/>
  <c r="O13" i="11"/>
  <c r="BR262" i="39" l="1"/>
  <c r="E22" i="27"/>
  <c r="C30" i="39" s="1"/>
  <c r="B13" i="24"/>
  <c r="E112" i="13"/>
  <c r="E113" i="13" s="1"/>
  <c r="E122" i="13" s="1"/>
  <c r="E123" i="13" s="1"/>
  <c r="B15" i="24" l="1"/>
  <c r="E74" i="13"/>
  <c r="E76" i="13" l="1"/>
  <c r="D112" i="13"/>
  <c r="D113" i="13" s="1"/>
  <c r="O74" i="13"/>
  <c r="D74" i="13" l="1"/>
  <c r="C112" i="13" s="1"/>
  <c r="D76" i="13"/>
  <c r="D122" i="13"/>
  <c r="D123" i="13" s="1"/>
  <c r="D130" i="13"/>
  <c r="D131" i="13" s="1"/>
  <c r="D66" i="42" s="1"/>
  <c r="B805" i="24" s="1"/>
  <c r="E91" i="13"/>
  <c r="E47" i="42"/>
  <c r="B583" i="24" s="1"/>
  <c r="C113" i="13" l="1"/>
  <c r="C130" i="13" s="1"/>
  <c r="C131" i="13" s="1"/>
  <c r="C66" i="42" s="1"/>
  <c r="B804" i="24" s="1"/>
  <c r="C74" i="13"/>
  <c r="N74" i="13"/>
  <c r="E44" i="42"/>
  <c r="B541" i="24" s="1"/>
  <c r="F83" i="42"/>
  <c r="E92" i="13"/>
  <c r="E42" i="42"/>
  <c r="B513" i="24" s="1"/>
  <c r="E83" i="42"/>
  <c r="E45" i="42"/>
  <c r="B555" i="24" s="1"/>
  <c r="E27" i="42"/>
  <c r="B347" i="24" s="1"/>
  <c r="E31" i="42"/>
  <c r="B403" i="24" s="1"/>
  <c r="E139" i="13"/>
  <c r="E35" i="42"/>
  <c r="E60" i="42"/>
  <c r="B722" i="24" s="1"/>
  <c r="E18" i="42"/>
  <c r="B264" i="24" s="1"/>
  <c r="E43" i="42"/>
  <c r="B527" i="24" s="1"/>
  <c r="E42" i="13"/>
  <c r="O42" i="13" s="1"/>
  <c r="B162" i="24" s="1"/>
  <c r="E93" i="13"/>
  <c r="E30" i="42"/>
  <c r="B389" i="24" s="1"/>
  <c r="D47" i="42"/>
  <c r="B582" i="24" s="1"/>
  <c r="D91" i="13"/>
  <c r="M74" i="13"/>
  <c r="C76" i="13"/>
  <c r="C122" i="13" l="1"/>
  <c r="C123" i="13" s="1"/>
  <c r="E85" i="42"/>
  <c r="B946" i="24"/>
  <c r="C91" i="13"/>
  <c r="C47" i="42"/>
  <c r="B581" i="24" s="1"/>
  <c r="D93" i="13"/>
  <c r="D30" i="42"/>
  <c r="B388" i="24" s="1"/>
  <c r="D43" i="42"/>
  <c r="B526" i="24" s="1"/>
  <c r="D92" i="13"/>
  <c r="D45" i="42"/>
  <c r="B554" i="24" s="1"/>
  <c r="D60" i="42"/>
  <c r="B721" i="24" s="1"/>
  <c r="D27" i="42"/>
  <c r="B346" i="24" s="1"/>
  <c r="D31" i="42"/>
  <c r="B402" i="24" s="1"/>
  <c r="D42" i="13"/>
  <c r="N42" i="13" s="1"/>
  <c r="B161" i="24" s="1"/>
  <c r="D83" i="42"/>
  <c r="D35" i="42"/>
  <c r="D139" i="13"/>
  <c r="D18" i="42"/>
  <c r="B263" i="24" s="1"/>
  <c r="D44" i="42"/>
  <c r="B540" i="24" s="1"/>
  <c r="D42" i="42"/>
  <c r="B512" i="24" s="1"/>
  <c r="E36" i="42"/>
  <c r="B430" i="24" s="1"/>
  <c r="B416" i="24"/>
  <c r="F85" i="42"/>
  <c r="B947" i="24"/>
  <c r="D85" i="42" l="1"/>
  <c r="B945" i="24"/>
  <c r="D36" i="42"/>
  <c r="B429" i="24" s="1"/>
  <c r="B415" i="24"/>
  <c r="C30" i="42"/>
  <c r="B387" i="24" s="1"/>
  <c r="Y9" i="13"/>
  <c r="C83" i="42"/>
  <c r="C93" i="13"/>
  <c r="C27" i="42"/>
  <c r="B345" i="24" s="1"/>
  <c r="C92" i="13"/>
  <c r="C43" i="42"/>
  <c r="B525" i="24" s="1"/>
  <c r="C18" i="42"/>
  <c r="B262" i="24" s="1"/>
  <c r="C42" i="13"/>
  <c r="M42" i="13" s="1"/>
  <c r="B160" i="24" s="1"/>
  <c r="C45" i="42"/>
  <c r="B553" i="24" s="1"/>
  <c r="C35" i="42"/>
  <c r="C44" i="42"/>
  <c r="B539" i="24" s="1"/>
  <c r="Y20" i="13"/>
  <c r="Y19" i="13" s="1"/>
  <c r="C31" i="42"/>
  <c r="B401" i="24" s="1"/>
  <c r="C60" i="42"/>
  <c r="B720" i="24" s="1"/>
  <c r="C42" i="42"/>
  <c r="B511" i="24" s="1"/>
  <c r="C139" i="13"/>
  <c r="F50" i="42"/>
  <c r="B626" i="24" s="1"/>
  <c r="B975" i="24"/>
  <c r="E50" i="42"/>
  <c r="B625" i="24" s="1"/>
  <c r="B974" i="24"/>
  <c r="C36" i="42" l="1"/>
  <c r="B428" i="24" s="1"/>
  <c r="B414" i="24"/>
  <c r="C85" i="42"/>
  <c r="B944" i="24"/>
  <c r="Y7" i="13"/>
  <c r="AB8" i="13"/>
  <c r="AB7" i="13" s="1"/>
  <c r="B21" i="24" s="1"/>
  <c r="AE35" i="13"/>
  <c r="V27" i="13"/>
  <c r="V25" i="13" s="1"/>
  <c r="B31" i="24"/>
  <c r="B973" i="24"/>
  <c r="D50" i="42"/>
  <c r="B624" i="24" s="1"/>
  <c r="AH34" i="13" l="1"/>
  <c r="AB34" i="13"/>
  <c r="AE34" i="13"/>
  <c r="C39" i="36"/>
  <c r="C42" i="36" s="1"/>
  <c r="B51" i="24"/>
  <c r="AE7" i="13"/>
  <c r="B20" i="24"/>
  <c r="C50" i="42"/>
  <c r="B623" i="24" s="1"/>
  <c r="B972" i="24"/>
  <c r="Y16" i="13" l="1"/>
  <c r="Y14" i="13" s="1"/>
  <c r="AI25" i="13"/>
  <c r="B57" i="24" s="1"/>
  <c r="B22" i="24"/>
  <c r="V42" i="13"/>
  <c r="Y34" i="13"/>
  <c r="X48" i="13"/>
  <c r="V34" i="13"/>
  <c r="Y43" i="13"/>
  <c r="AE36" i="13"/>
  <c r="B52" i="24" s="1"/>
  <c r="B50" i="24"/>
  <c r="AB36" i="13"/>
  <c r="B49" i="24" s="1"/>
  <c r="B47" i="24"/>
  <c r="B53" i="24"/>
  <c r="AH36" i="13"/>
  <c r="B55" i="24" s="1"/>
  <c r="V36" i="13" l="1"/>
  <c r="B43" i="24" s="1"/>
  <c r="B41" i="24"/>
  <c r="Y44" i="13"/>
  <c r="B68" i="24" s="1"/>
  <c r="B67" i="24"/>
  <c r="AA52" i="13"/>
  <c r="Z48" i="13"/>
  <c r="AA48" i="13" s="1"/>
  <c r="V53" i="13"/>
  <c r="V55" i="13" s="1"/>
  <c r="X57" i="13" s="1"/>
  <c r="Y36" i="13"/>
  <c r="B46" i="24" s="1"/>
  <c r="B44" i="24"/>
  <c r="V44" i="13"/>
  <c r="B65" i="24" s="1"/>
  <c r="B6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Yashin Gopi</author>
  </authors>
  <commentList>
    <comment ref="C22" authorId="0" shapeId="0" xr:uid="{6E75A674-ACE2-4E1F-B127-1DE55BC9BA7F}">
      <text>
        <r>
          <rPr>
            <b/>
            <sz val="9"/>
            <color indexed="81"/>
            <rFont val="Tahoma"/>
            <family val="2"/>
          </rPr>
          <t>Click to select the valuation method to be used</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Andile Buthelezi</author>
  </authors>
  <commentList>
    <comment ref="C1" authorId="0" shapeId="0" xr:uid="{BB50357B-8CF2-41F0-A1F3-A8F81595ED4C}">
      <text>
        <r>
          <rPr>
            <b/>
            <sz val="9"/>
            <color indexed="81"/>
            <rFont val="Tahoma"/>
            <family val="2"/>
          </rPr>
          <t>Andile Buthelezi:</t>
        </r>
        <r>
          <rPr>
            <sz val="9"/>
            <color indexed="81"/>
            <rFont val="Tahoma"/>
            <family val="2"/>
          </rPr>
          <t xml:space="preserve">
Historical + Forecast period</t>
        </r>
      </text>
    </comment>
    <comment ref="H1" authorId="0" shapeId="0" xr:uid="{01615357-9D88-4FFB-BB4E-3908906CEC2E}">
      <text>
        <r>
          <rPr>
            <b/>
            <sz val="9"/>
            <color indexed="81"/>
            <rFont val="Tahoma"/>
            <family val="2"/>
          </rPr>
          <t>Andile Buthelezi:</t>
        </r>
        <r>
          <rPr>
            <sz val="9"/>
            <color indexed="81"/>
            <rFont val="Tahoma"/>
            <family val="2"/>
          </rPr>
          <t xml:space="preserve">
Adjusted to incorporate spot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tc={72B140DB-A27E-488F-BE06-6347FFFADB7B}</author>
    <author>tc={8FD2C3AF-5157-4F47-BBE4-7ADCDCC7A85E}</author>
    <author>tc={AF90B8B9-5D17-440E-A044-31341B1FDC42}</author>
    <author>tc={0B1C505D-B18C-4B9C-B59B-9D04CDD3FCE9}</author>
    <author>tc={FD8B8757-E820-4939-AE52-DC8D86279567}</author>
    <author>tc={624E4968-B668-4198-A482-DE43886E0C1F}</author>
    <author>tc={D0CD559A-2EAD-4B30-876D-78B2F80C050C}</author>
    <author>tc={96046FF6-8C83-4BAC-A3E4-E6CD02850DFB}</author>
    <author>tc={94F1C4A6-9A2B-46D7-89AC-6CF812317E17}</author>
  </authors>
  <commentList>
    <comment ref="B18" authorId="0" shapeId="0" xr:uid="{72B140DB-A27E-488F-BE06-6347FFFADB7B}">
      <text>
        <t>[Threaded comment]
Your version of Excel allows you to read this threaded comment; however, any edits to it will get removed if the file is opened in a newer version of Excel. Learn more: https://go.microsoft.com/fwlink/?linkid=870924
Comment:
    % change in gross magin/% change Total Assets</t>
      </text>
    </comment>
    <comment ref="B28" authorId="1" shapeId="0" xr:uid="{8FD2C3AF-5157-4F47-BBE4-7ADCDCC7A85E}">
      <text>
        <t>[Threaded comment]
Your version of Excel allows you to read this threaded comment; however, any edits to it will get removed if the file is opened in a newer version of Excel. Learn more: https://go.microsoft.com/fwlink/?linkid=870924
Comment:
    Return on Net Operating Assets = Net Income/ (Fixed Assets + Working Capital Assets)</t>
      </text>
    </comment>
    <comment ref="B30" authorId="2" shapeId="0" xr:uid="{AF90B8B9-5D17-440E-A044-31341B1FDC42}">
      <text>
        <t>[Threaded comment]
Your version of Excel allows you to read this threaded comment; however, any edits to it will get removed if the file is opened in a newer version of Excel. Learn more: https://go.microsoft.com/fwlink/?linkid=870924
Comment:
    Return on Capital Employed= EBIT/(Total Assets - Total Current Liabilities)</t>
      </text>
    </comment>
    <comment ref="B31" authorId="3" shapeId="0" xr:uid="{0B1C505D-B18C-4B9C-B59B-9D04CDD3FCE9}">
      <text>
        <t>[Threaded comment]
Your version of Excel allows you to read this threaded comment; however, any edits to it will get removed if the file is opened in a newer version of Excel. Learn more: https://go.microsoft.com/fwlink/?linkid=870924
Comment:
    Return on Increamental Invested Capital =
% Net Income/ (% in Total Assets -%Cash)</t>
      </text>
    </comment>
    <comment ref="B37" authorId="4" shapeId="0" xr:uid="{FD8B8757-E820-4939-AE52-DC8D86279567}">
      <text>
        <t>[Threaded comment]
Your version of Excel allows you to read this threaded comment; however, any edits to it will get removed if the file is opened in a newer version of Excel. Learn more: https://go.microsoft.com/fwlink/?linkid=870924
Comment:
    Net Debt = Gross Debt + Operating Lease - Cash and cash equivalents.</t>
      </text>
    </comment>
    <comment ref="B44" authorId="5" shapeId="0" xr:uid="{624E4968-B668-4198-A482-DE43886E0C1F}">
      <text>
        <t>[Threaded comment]
Your version of Excel allows you to read this threaded comment; however, any edits to it will get removed if the file is opened in a newer version of Excel. Learn more: https://go.microsoft.com/fwlink/?linkid=870924
Comment:
    Accrual Analysis = (Net Income - Cash Flow from Operations)/Total Assets</t>
      </text>
    </comment>
    <comment ref="B50" authorId="6" shapeId="0" xr:uid="{D0CD559A-2EAD-4B30-876D-78B2F80C050C}">
      <text>
        <t>[Threaded comment]
Your version of Excel allows you to read this threaded comment; however, any edits to it will get removed if the file is opened in a newer version of Excel. Learn more: https://go.microsoft.com/fwlink/?linkid=870924
Comment:
    Accrual Ratio = (C/B of Net operating Assets - O/B of Net operating Assets)/Average Net Operating Assets</t>
      </text>
    </comment>
    <comment ref="B59" authorId="7" shapeId="0" xr:uid="{96046FF6-8C83-4BAC-A3E4-E6CD02850DFB}">
      <text>
        <t>[Threaded comment]
Your version of Excel allows you to read this threaded comment; however, any edits to it will get removed if the file is opened in a newer version of Excel. Learn more: https://go.microsoft.com/fwlink/?linkid=870924
Comment:
    Cash flow from operation/CAPEX</t>
      </text>
    </comment>
    <comment ref="B70" authorId="8" shapeId="0" xr:uid="{94F1C4A6-9A2B-46D7-89AC-6CF812317E17}">
      <text>
        <t>[Threaded comment]
Your version of Excel allows you to read this threaded comment; however, any edits to it will get removed if the file is opened in a newer version of Excel. Learn more: https://go.microsoft.com/fwlink/?linkid=870924
Comment:
    If PEG ratio is &lt;= 1.0 - suggests a stock is fairly priced or even undervalued.
If PEG ratio is &gt;1.0 -  suggests a stock is overvalued.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Lesedi Mabuza</author>
  </authors>
  <commentList>
    <comment ref="G6" authorId="0" shapeId="0" xr:uid="{9533FEC0-3AC3-4592-9B59-C90E171EB3D2}">
      <text>
        <r>
          <rPr>
            <b/>
            <sz val="9"/>
            <color indexed="81"/>
            <rFont val="Tahoma"/>
            <family val="2"/>
          </rPr>
          <t>Lesedi Mabuza:</t>
        </r>
        <r>
          <rPr>
            <sz val="9"/>
            <color indexed="81"/>
            <rFont val="Tahoma"/>
            <family val="2"/>
          </rPr>
          <t xml:space="preserve">
Includes termination of Lesotho to the value of 195
</t>
        </r>
      </text>
    </comment>
    <comment ref="B33" authorId="0" shapeId="0" xr:uid="{56AA3A75-F2D4-4727-BE45-8C6BC90EE313}">
      <text>
        <r>
          <rPr>
            <b/>
            <sz val="9"/>
            <color indexed="81"/>
            <rFont val="Tahoma"/>
            <family val="2"/>
          </rPr>
          <t>Lesedi Mabuza:</t>
        </r>
        <r>
          <rPr>
            <sz val="9"/>
            <color indexed="81"/>
            <rFont val="Tahoma"/>
            <family val="2"/>
          </rPr>
          <t xml:space="preserve">
Remember that additional other income is added from the Fcsts sheet </t>
        </r>
      </text>
    </comment>
    <comment ref="B37" authorId="0" shapeId="0" xr:uid="{D46C19F9-4118-4791-938A-9A0B29886ED8}">
      <text>
        <r>
          <rPr>
            <b/>
            <sz val="9"/>
            <color indexed="81"/>
            <rFont val="Tahoma"/>
            <family val="2"/>
          </rPr>
          <t>Lesedi Mabuza:</t>
        </r>
        <r>
          <rPr>
            <sz val="9"/>
            <color indexed="81"/>
            <rFont val="Tahoma"/>
            <family val="2"/>
          </rPr>
          <t xml:space="preserve">
Full year guidnace is R150 million on diesel costs (assuming we are on stage 5 constantly). 
- stage 6+ addes 3 million every month
- stages 1-4 reduce by 3 million every month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Yashin Gopi</author>
  </authors>
  <commentList>
    <comment ref="B19" authorId="0" shapeId="0" xr:uid="{715BA0B7-33D6-4B44-ADCD-1A3A4F011B3E}">
      <text>
        <r>
          <rPr>
            <b/>
            <sz val="9"/>
            <color indexed="81"/>
            <rFont val="Tahoma"/>
            <family val="2"/>
          </rPr>
          <t>Yashin Gopi:</t>
        </r>
        <r>
          <rPr>
            <sz val="9"/>
            <color indexed="81"/>
            <rFont val="Tahoma"/>
            <family val="2"/>
          </rPr>
          <t xml:space="preserve">
E.g. to convert cents to Rands (Zar to ZAR), or USd to USD etc</t>
        </r>
      </text>
    </comment>
    <comment ref="C19" authorId="0" shapeId="0" xr:uid="{DDDB7D7A-2C8B-4296-8231-562F76C70901}">
      <text>
        <r>
          <rPr>
            <b/>
            <sz val="9"/>
            <color indexed="81"/>
            <rFont val="Tahoma"/>
            <family val="2"/>
          </rPr>
          <t>Yashin Gopi:</t>
        </r>
        <r>
          <rPr>
            <sz val="9"/>
            <color indexed="81"/>
            <rFont val="Tahoma"/>
            <family val="2"/>
          </rPr>
          <t xml:space="preserve">
'=IF(EXACT(UPPER(C16),UPPER(C17))=FALSE, NA(),
IF(AND(EXACT(UPPER(C16),UPPER(C17)),EXACT(C16,C17)=FALSE),
IF(EXACT(UPPER(C16),C17),1/100,100),
1))</t>
        </r>
      </text>
    </comment>
    <comment ref="B25" authorId="0" shapeId="0" xr:uid="{A5C1DC12-3C7F-4230-8A52-BC2A1B4A7770}">
      <text>
        <r>
          <rPr>
            <b/>
            <sz val="9"/>
            <color indexed="81"/>
            <rFont val="Tahoma"/>
            <family val="2"/>
          </rPr>
          <t>Yashin Gopi:</t>
        </r>
        <r>
          <rPr>
            <sz val="9"/>
            <color indexed="81"/>
            <rFont val="Tahoma"/>
            <family val="2"/>
          </rPr>
          <t xml:space="preserve">
Assume FYE month has not changed (can't get this easily from BBG)</t>
        </r>
      </text>
    </comment>
    <comment ref="A39" authorId="0" shapeId="0" xr:uid="{6D2EED5A-3817-49AF-A3DA-F9AEE72D71E2}">
      <text>
        <r>
          <rPr>
            <b/>
            <sz val="9"/>
            <color indexed="81"/>
            <rFont val="Tahoma"/>
            <family val="2"/>
          </rPr>
          <t>Yashin Gopi:</t>
        </r>
        <r>
          <rPr>
            <sz val="9"/>
            <color indexed="81"/>
            <rFont val="Tahoma"/>
            <family val="2"/>
          </rPr>
          <t xml:space="preserve">
Old field: IS_SGA_OTHER_OP_DEPR_OP_MAINT </t>
        </r>
      </text>
    </comment>
    <comment ref="A49" authorId="0" shapeId="0" xr:uid="{47181DF2-5BB2-49DF-B40B-54A04088FD08}">
      <text>
        <r>
          <rPr>
            <b/>
            <sz val="9"/>
            <color indexed="81"/>
            <rFont val="Tahoma"/>
            <family val="2"/>
          </rPr>
          <t>Yashin Gopi:</t>
        </r>
        <r>
          <rPr>
            <sz val="9"/>
            <color indexed="81"/>
            <rFont val="Tahoma"/>
            <family val="2"/>
          </rPr>
          <t xml:space="preserve">
Old field: IS_MINORITY_INT </t>
        </r>
      </text>
    </comment>
    <comment ref="A61" authorId="0" shapeId="0" xr:uid="{0B2CC065-67FF-4866-B07B-FA47423DCD19}">
      <text>
        <r>
          <rPr>
            <b/>
            <sz val="9"/>
            <color indexed="81"/>
            <rFont val="Tahoma"/>
            <family val="2"/>
          </rPr>
          <t>Yashin Gopi:</t>
        </r>
        <r>
          <rPr>
            <sz val="9"/>
            <color indexed="81"/>
            <rFont val="Tahoma"/>
            <family val="2"/>
          </rPr>
          <t xml:space="preserve">
Old field: IS_FULLY_DILUTED_EPS </t>
        </r>
      </text>
    </comment>
    <comment ref="A62" authorId="0" shapeId="0" xr:uid="{1983CAE6-0941-480F-A017-86702492EC00}">
      <text>
        <r>
          <rPr>
            <b/>
            <sz val="9"/>
            <color indexed="81"/>
            <rFont val="Tahoma"/>
            <family val="2"/>
          </rPr>
          <t>Yashin Gopi:</t>
        </r>
        <r>
          <rPr>
            <sz val="9"/>
            <color indexed="81"/>
            <rFont val="Tahoma"/>
            <family val="2"/>
          </rPr>
          <t xml:space="preserve">
Old field: IS_SH_FOR_FULLY_DILUTED_EPS </t>
        </r>
      </text>
    </comment>
    <comment ref="A102" authorId="0" shapeId="0" xr:uid="{DFAB6D51-4BD6-4B75-AF37-C3803A60F92B}">
      <text>
        <r>
          <rPr>
            <b/>
            <sz val="9"/>
            <color indexed="81"/>
            <rFont val="Tahoma"/>
            <family val="2"/>
          </rPr>
          <t>Yashin Gopi:</t>
        </r>
        <r>
          <rPr>
            <sz val="9"/>
            <color indexed="81"/>
            <rFont val="Tahoma"/>
            <family val="2"/>
          </rPr>
          <t xml:space="preserve">
Old field: BS_OTHER_ASSET_DEF_CHNG_OTHER</t>
        </r>
      </text>
    </comment>
    <comment ref="A125" authorId="0" shapeId="0" xr:uid="{88A80DF7-044E-4F6A-89E1-D5FB50ED358E}">
      <text>
        <r>
          <rPr>
            <b/>
            <sz val="9"/>
            <color indexed="81"/>
            <rFont val="Tahoma"/>
            <family val="2"/>
          </rPr>
          <t>Yashin Gopi:</t>
        </r>
        <r>
          <rPr>
            <sz val="9"/>
            <color indexed="81"/>
            <rFont val="Tahoma"/>
            <family val="2"/>
          </rPr>
          <t xml:space="preserve">
Old field: BS_PFD_EQY </t>
        </r>
      </text>
    </comment>
    <comment ref="A126" authorId="0" shapeId="0" xr:uid="{7C980F10-5F63-4E8E-B2EA-929A26AD63A1}">
      <text>
        <r>
          <rPr>
            <b/>
            <sz val="9"/>
            <color indexed="81"/>
            <rFont val="Tahoma"/>
            <family val="2"/>
          </rPr>
          <t>Yashin Gopi:</t>
        </r>
        <r>
          <rPr>
            <sz val="9"/>
            <color indexed="81"/>
            <rFont val="Tahoma"/>
            <family val="2"/>
          </rPr>
          <t xml:space="preserve">
Old field: BS_MINORITY_INT </t>
        </r>
      </text>
    </comment>
    <comment ref="A129" authorId="0" shapeId="0" xr:uid="{6F3F000E-3119-42C7-BD7A-1F87BAE6454F}">
      <text>
        <r>
          <rPr>
            <b/>
            <sz val="9"/>
            <color indexed="81"/>
            <rFont val="Tahoma"/>
            <family val="2"/>
          </rPr>
          <t>Yashin Gopi:</t>
        </r>
        <r>
          <rPr>
            <sz val="9"/>
            <color indexed="81"/>
            <rFont val="Tahoma"/>
            <family val="2"/>
          </rPr>
          <t xml:space="preserve">
Old field: TOT_SHRHLDR_EQY</t>
        </r>
      </text>
    </comment>
    <comment ref="A139" authorId="0" shapeId="0" xr:uid="{B9ECC408-5E66-4F87-B486-EFFDCC821DE3}">
      <text>
        <r>
          <rPr>
            <b/>
            <sz val="9"/>
            <color indexed="81"/>
            <rFont val="Tahoma"/>
            <family val="2"/>
          </rPr>
          <t>Yashin Gopi:</t>
        </r>
        <r>
          <rPr>
            <sz val="9"/>
            <color indexed="81"/>
            <rFont val="Tahoma"/>
            <family val="2"/>
          </rPr>
          <t xml:space="preserve">
Old field: TANGIBLE_BK_VAL_TANGIBLE_ASSET</t>
        </r>
      </text>
    </comment>
    <comment ref="A147" authorId="0" shapeId="0" xr:uid="{EF416700-EB62-4C23-991D-B7CD0EA84627}">
      <text>
        <r>
          <rPr>
            <b/>
            <sz val="9"/>
            <color indexed="81"/>
            <rFont val="Tahoma"/>
            <family val="2"/>
          </rPr>
          <t>Yashin Gopi:</t>
        </r>
        <r>
          <rPr>
            <sz val="9"/>
            <color indexed="81"/>
            <rFont val="Tahoma"/>
            <family val="2"/>
          </rPr>
          <t xml:space="preserve">
Old field: GOODWILL </t>
        </r>
      </text>
    </comment>
    <comment ref="A149" authorId="0" shapeId="0" xr:uid="{BA4538D1-9F41-4420-AC4E-A63CE86EFFEF}">
      <text>
        <r>
          <rPr>
            <b/>
            <sz val="9"/>
            <color indexed="81"/>
            <rFont val="Tahoma"/>
            <family val="2"/>
          </rPr>
          <t>Yashin Gopi:</t>
        </r>
        <r>
          <rPr>
            <sz val="9"/>
            <color indexed="81"/>
            <rFont val="Tahoma"/>
            <family val="2"/>
          </rPr>
          <t xml:space="preserve">
Old field: RR121 </t>
        </r>
      </text>
    </comment>
    <comment ref="A189" authorId="0" shapeId="0" xr:uid="{5DF20856-B13A-4887-81C5-574DCD61BFF4}">
      <text>
        <r>
          <rPr>
            <b/>
            <sz val="9"/>
            <color indexed="81"/>
            <rFont val="Tahoma"/>
            <family val="2"/>
          </rPr>
          <t>Yashin Gopi:</t>
        </r>
        <r>
          <rPr>
            <sz val="9"/>
            <color indexed="81"/>
            <rFont val="Tahoma"/>
            <family val="2"/>
          </rPr>
          <t xml:space="preserve">
Old field: RX243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<sst xmlns="http://schemas.openxmlformats.org/spreadsheetml/2006/main" count="3816" uniqueCount="1955">
  <si>
    <t>Base year:</t>
  </si>
  <si>
    <t>Fade growth from:</t>
  </si>
  <si>
    <t>Equity value:</t>
  </si>
  <si>
    <t>Last forecast year:</t>
  </si>
  <si>
    <t>to:</t>
  </si>
  <si>
    <t>Financial assets:</t>
  </si>
  <si>
    <t>Shares in issue:</t>
  </si>
  <si>
    <t>Last trend year:</t>
  </si>
  <si>
    <t>Over (years)</t>
  </si>
  <si>
    <t>Share valuation:</t>
  </si>
  <si>
    <t>Enterprise value:</t>
  </si>
  <si>
    <t>EBIT</t>
  </si>
  <si>
    <t>Depreciation</t>
  </si>
  <si>
    <t>Change provisions</t>
  </si>
  <si>
    <t>Change work cap</t>
  </si>
  <si>
    <t>Minorities</t>
  </si>
  <si>
    <t>Operating FCF</t>
  </si>
  <si>
    <t>Change</t>
  </si>
  <si>
    <t>Discounted Cashflows</t>
  </si>
  <si>
    <t>Year ends</t>
  </si>
  <si>
    <t>Time coefficient</t>
  </si>
  <si>
    <t>WACC</t>
  </si>
  <si>
    <t>Discount factor</t>
  </si>
  <si>
    <t>PV cashflows</t>
  </si>
  <si>
    <t>Residual</t>
  </si>
  <si>
    <t>Residual EV</t>
  </si>
  <si>
    <t>PV Residual EV</t>
  </si>
  <si>
    <t>Tax</t>
  </si>
  <si>
    <t>Valuation date</t>
  </si>
  <si>
    <t>Inputs</t>
  </si>
  <si>
    <t>WACC:</t>
  </si>
  <si>
    <t>DCF Calculation</t>
  </si>
  <si>
    <t>Year end month</t>
  </si>
  <si>
    <t>Outputs</t>
  </si>
  <si>
    <t>(defaults to today)</t>
  </si>
  <si>
    <t>Op Free Cash Flow</t>
  </si>
  <si>
    <t>Capex</t>
  </si>
  <si>
    <t>Turnover</t>
  </si>
  <si>
    <t>Income : Other</t>
  </si>
  <si>
    <t>Surplus Retained</t>
  </si>
  <si>
    <t>Tax Notes : Tax Rate as published</t>
  </si>
  <si>
    <t>Equity</t>
  </si>
  <si>
    <t>Minority Interest</t>
  </si>
  <si>
    <t>Capital Employed</t>
  </si>
  <si>
    <t>Trade Creditors</t>
  </si>
  <si>
    <t>Other Current Liabilities</t>
  </si>
  <si>
    <t>Total Liabilities</t>
  </si>
  <si>
    <t>Capital Work in Progress</t>
  </si>
  <si>
    <t>Other Long-Term Assets</t>
  </si>
  <si>
    <t>Total Long Term Assets</t>
  </si>
  <si>
    <t>Stock &amp; Work in Progress</t>
  </si>
  <si>
    <t>Other Current Assets</t>
  </si>
  <si>
    <t>Total Current Assets</t>
  </si>
  <si>
    <t>Total Assets</t>
  </si>
  <si>
    <t>Cash Flow : Grassroots Expansion of Capital Assets</t>
  </si>
  <si>
    <t>Company Name</t>
  </si>
  <si>
    <t>Theoretical EXIT PE</t>
  </si>
  <si>
    <t>Current PE</t>
  </si>
  <si>
    <t>Exit FCF Multiple:</t>
  </si>
  <si>
    <t>Income Statement</t>
  </si>
  <si>
    <t>Balance Sheet</t>
  </si>
  <si>
    <t>Cash Flow Summary</t>
  </si>
  <si>
    <t>*must equal</t>
  </si>
  <si>
    <t>Profit Margin</t>
  </si>
  <si>
    <t>Asset Turnover</t>
  </si>
  <si>
    <t>Leverage</t>
  </si>
  <si>
    <t>ROE</t>
  </si>
  <si>
    <t>P/E</t>
  </si>
  <si>
    <t>ROE - g</t>
  </si>
  <si>
    <t>P/BV</t>
  </si>
  <si>
    <t>EV/NOPAT</t>
  </si>
  <si>
    <t>ROIC - g</t>
  </si>
  <si>
    <t>EV/Inv Capital</t>
  </si>
  <si>
    <t>EV/EBITDA</t>
  </si>
  <si>
    <t>ROE x (k-g)</t>
  </si>
  <si>
    <t>k - g</t>
  </si>
  <si>
    <t>ROIC x (WACC - g)</t>
  </si>
  <si>
    <t>WACC - g</t>
  </si>
  <si>
    <t>ROIC x (WACC - g) x (1- Depn/EBITDA) x (1-t)</t>
  </si>
  <si>
    <t>Net profit</t>
  </si>
  <si>
    <t>Sales</t>
  </si>
  <si>
    <t>Totals assets</t>
  </si>
  <si>
    <t>Mkt valuation</t>
  </si>
  <si>
    <t>Total assets</t>
  </si>
  <si>
    <t>Upside/downside</t>
  </si>
  <si>
    <t>Retention rate</t>
  </si>
  <si>
    <t>Cost of equity</t>
  </si>
  <si>
    <t>5 yr Beta</t>
  </si>
  <si>
    <t>NOPAT</t>
  </si>
  <si>
    <t>Dividends per share</t>
  </si>
  <si>
    <t>Bond yield</t>
  </si>
  <si>
    <t>Op profit</t>
  </si>
  <si>
    <t>Earnings per share</t>
  </si>
  <si>
    <t>Beta</t>
  </si>
  <si>
    <t>Marginal tax rate</t>
  </si>
  <si>
    <t>Enterprise Value</t>
  </si>
  <si>
    <t>Invested Capital</t>
  </si>
  <si>
    <t>EBITDA</t>
  </si>
  <si>
    <t>Net debt</t>
  </si>
  <si>
    <t>ROIC</t>
  </si>
  <si>
    <t>Average forward growth rates</t>
  </si>
  <si>
    <t>Mkt beta</t>
  </si>
  <si>
    <t>3 yr average</t>
  </si>
  <si>
    <t>Implied retention rate</t>
  </si>
  <si>
    <t>5 yr average</t>
  </si>
  <si>
    <t>Implied growth using mkt P/E</t>
  </si>
  <si>
    <t>ROE - (P/E x ROEx k)</t>
  </si>
  <si>
    <t>ROE implied by mkt price</t>
  </si>
  <si>
    <t>g</t>
  </si>
  <si>
    <t>1 - (P/E x ROE)</t>
  </si>
  <si>
    <t>1 - (P/E x (k-g))</t>
  </si>
  <si>
    <t>Consensus Growth</t>
  </si>
  <si>
    <t>Average ROE</t>
  </si>
  <si>
    <t>Safety ratio</t>
  </si>
  <si>
    <t>Return gap</t>
  </si>
  <si>
    <t>Value multiple</t>
  </si>
  <si>
    <t>Stable state ROE</t>
  </si>
  <si>
    <t>Stable state Growth</t>
  </si>
  <si>
    <t>Stable state P/E</t>
  </si>
  <si>
    <t>P/E/ROE</t>
  </si>
  <si>
    <t>Long-term cost of equity</t>
  </si>
  <si>
    <t>ROE Gap</t>
  </si>
  <si>
    <t xml:space="preserve">Comp Advantage P/E </t>
  </si>
  <si>
    <t>Competitive advantage P/E</t>
  </si>
  <si>
    <t>Stable state PE</t>
  </si>
  <si>
    <t>Stable state PE's vs excess PE</t>
  </si>
  <si>
    <t>Normalised ROE</t>
  </si>
  <si>
    <t>Normalised economic growth rate</t>
  </si>
  <si>
    <t>Normalised</t>
  </si>
  <si>
    <t>Growth rates</t>
  </si>
  <si>
    <t>Sustainable growth rate</t>
  </si>
  <si>
    <t>Implied DuPont ROE</t>
  </si>
  <si>
    <t>Implied DUPont growth</t>
  </si>
  <si>
    <t>Tgt price</t>
  </si>
  <si>
    <t>Comp adv ROE</t>
  </si>
  <si>
    <t>Comp adv growth</t>
  </si>
  <si>
    <t>G Perpertuity</t>
  </si>
  <si>
    <t>N</t>
  </si>
  <si>
    <t>K</t>
  </si>
  <si>
    <t>Price</t>
  </si>
  <si>
    <t>Return</t>
  </si>
  <si>
    <t>PE Steady State</t>
  </si>
  <si>
    <t>PE Growth</t>
  </si>
  <si>
    <t>Average PE</t>
  </si>
  <si>
    <t>Cash on B/Sheet</t>
  </si>
  <si>
    <t>GROSS_PROFIT</t>
  </si>
  <si>
    <t>CF_DEPR_AMORT</t>
  </si>
  <si>
    <t>IS_OPER_INC</t>
  </si>
  <si>
    <t>IS_OTHER_OPER_INC</t>
  </si>
  <si>
    <t>IS_INT_EXPENSE</t>
  </si>
  <si>
    <t>PRETAX_INC</t>
  </si>
  <si>
    <t>IS_INC_TAX_EXP</t>
  </si>
  <si>
    <t>MIN_NONCONTROL_INTEREST_CREDITS</t>
  </si>
  <si>
    <t>IS_TOT_CASH_PFD_DVD</t>
  </si>
  <si>
    <t>NORMALIZED_INCOME</t>
  </si>
  <si>
    <t>EARN_FOR_COMMON</t>
  </si>
  <si>
    <t>IS_TOT_CASH_COM_DVD</t>
  </si>
  <si>
    <t>BS_PURE_RETAINED_EARNINGS</t>
  </si>
  <si>
    <t>IS_DIL_EPS_CONT_OPS</t>
  </si>
  <si>
    <t>IS_BASIC_EPS_CONT_OPS</t>
  </si>
  <si>
    <t>XO_GL_NET_OF_TAX</t>
  </si>
  <si>
    <t>EQY_DPS</t>
  </si>
  <si>
    <t>IS_NET_NON_OPER_LOSS</t>
  </si>
  <si>
    <t>EFF_TAX_RATE</t>
  </si>
  <si>
    <t>IS_CAP_INT_EXP</t>
  </si>
  <si>
    <t>BS_PFD_EQY</t>
  </si>
  <si>
    <t>TOTAL_EQUITY</t>
  </si>
  <si>
    <t>BS_ACCT_PAYABLE</t>
  </si>
  <si>
    <t>BS_OTHER_ST_LIAB</t>
  </si>
  <si>
    <t>BS_TOT_LIAB2</t>
  </si>
  <si>
    <t>INVTRY_IN_PROGRESS</t>
  </si>
  <si>
    <t>BS_OTHER_ASSET_DEF_CHNG_OTHER</t>
  </si>
  <si>
    <t>BS_TOT_NON_CUR_ASSET</t>
  </si>
  <si>
    <t>BS_INVENTORIES</t>
  </si>
  <si>
    <t>BS_OTHER_CUR_ASSET</t>
  </si>
  <si>
    <t>BS_TOT_ASSET</t>
  </si>
  <si>
    <t>CF_CASH_PAID_FOR_TAX</t>
  </si>
  <si>
    <t>CF_CASH_FROM_OPER</t>
  </si>
  <si>
    <t>CF_DVD_PAID</t>
  </si>
  <si>
    <t>CF_INCR_CAP_STOCK</t>
  </si>
  <si>
    <t>CF_DECR_CAP_STOCK</t>
  </si>
  <si>
    <t>CF_CAP_EXPEND_PRPTY_ADD</t>
  </si>
  <si>
    <t>CF_CASH_FROM_INV_ACT</t>
  </si>
  <si>
    <t>CF_INCR_LT_BORROW</t>
  </si>
  <si>
    <t>CF_NET_CHNG_CASH</t>
  </si>
  <si>
    <t>IS_INT_INC</t>
  </si>
  <si>
    <t>Income Statement - Most Recent - Fundamentals</t>
  </si>
  <si>
    <t>Selling, General &amp; Admin Expense</t>
  </si>
  <si>
    <t>Foreign Exchange Losses (Gains)</t>
  </si>
  <si>
    <t>Income Before XO Items</t>
  </si>
  <si>
    <t>Minority Interests</t>
  </si>
  <si>
    <t>Net profit (loss)</t>
  </si>
  <si>
    <t>Abnormal Losses (Gains)</t>
  </si>
  <si>
    <t>Tax Effect on Abnormal Items</t>
  </si>
  <si>
    <t>Basic EPS Before XO Items</t>
  </si>
  <si>
    <t>Basic EPS</t>
  </si>
  <si>
    <t>Basic Weighted Avg Shares</t>
  </si>
  <si>
    <t>Diluted EPS</t>
  </si>
  <si>
    <t>Diluted Weighted Avg Shares</t>
  </si>
  <si>
    <t>Headline EPS</t>
  </si>
  <si>
    <t>Gross Margin</t>
  </si>
  <si>
    <t>Operating Margin</t>
  </si>
  <si>
    <t>Actual Sales Per Employee</t>
  </si>
  <si>
    <t>Sales Growth</t>
  </si>
  <si>
    <t>Basic EPS Before XO Growth</t>
  </si>
  <si>
    <t>Research &amp; Development Expense</t>
  </si>
  <si>
    <t>Personnel Expense</t>
  </si>
  <si>
    <t>Export sales</t>
  </si>
  <si>
    <t>Balance Sheet - Most Recent - Fundamentals</t>
  </si>
  <si>
    <t>Cash &amp; Near Cash Items</t>
  </si>
  <si>
    <t>Short-Term Investments</t>
  </si>
  <si>
    <t>Accounts &amp; Notes Receivable</t>
  </si>
  <si>
    <t>LT Investments &amp; LT Receivables</t>
  </si>
  <si>
    <t>Gross Fixed Assets</t>
  </si>
  <si>
    <t>Accumulated Depreciation</t>
  </si>
  <si>
    <t>Net Fixed Assets</t>
  </si>
  <si>
    <t>Short-Term Borrowings</t>
  </si>
  <si>
    <t>Total Current Liabilities</t>
  </si>
  <si>
    <t>Long-Term Borrowings</t>
  </si>
  <si>
    <t>Other Long-Term Liabilities</t>
  </si>
  <si>
    <t>Total Long-Term Liabilities</t>
  </si>
  <si>
    <t>Total Preferred Equity</t>
  </si>
  <si>
    <t>Share Capital &amp; APIC</t>
  </si>
  <si>
    <t>Retained Earnings &amp; Other Equity</t>
  </si>
  <si>
    <t>Total Shareholders' Equity</t>
  </si>
  <si>
    <t>Total Liabilities &amp; Equity</t>
  </si>
  <si>
    <t>Shares Outstanding</t>
  </si>
  <si>
    <t>Operating Leases</t>
  </si>
  <si>
    <t>Options Granted During Period</t>
  </si>
  <si>
    <t>Options Outstanding at Period End</t>
  </si>
  <si>
    <t>Book Value per Share</t>
  </si>
  <si>
    <t>Total Debt to Total Assets</t>
  </si>
  <si>
    <t>Net Debt</t>
  </si>
  <si>
    <t>Net Debt to Equity</t>
  </si>
  <si>
    <t>Tangible Common Equity Ratio</t>
  </si>
  <si>
    <t>Current Ratio</t>
  </si>
  <si>
    <t>Cash Conversion Cycle</t>
  </si>
  <si>
    <t>Inventory - Raw Materials</t>
  </si>
  <si>
    <t>Inventory - Finished Goods</t>
  </si>
  <si>
    <t>Other Inventory</t>
  </si>
  <si>
    <t>Goodwill</t>
  </si>
  <si>
    <t>Investments in Associated Companies</t>
  </si>
  <si>
    <t>Number of Employees</t>
  </si>
  <si>
    <t>Cash Flow - Most Recent - Fundamentals</t>
  </si>
  <si>
    <t>Net Income</t>
  </si>
  <si>
    <t>Other Non-Cash Adjustments</t>
  </si>
  <si>
    <t>Changes in Non-Cash Capital</t>
  </si>
  <si>
    <t>Disposal of Fixed Assets</t>
  </si>
  <si>
    <t>Increase in Investments</t>
  </si>
  <si>
    <t>Decrease in Investments</t>
  </si>
  <si>
    <t>Other Investing Activities</t>
  </si>
  <si>
    <t>Change in Short-Term Borrowings</t>
  </si>
  <si>
    <t>Decrease in Long-term Borrowings</t>
  </si>
  <si>
    <t>Other Financing Activities</t>
  </si>
  <si>
    <t>Cash from Financing Activities</t>
  </si>
  <si>
    <t>Cash Paid for Interest</t>
  </si>
  <si>
    <t>Net Cash Paid for Acquisitions</t>
  </si>
  <si>
    <t>Free Cash Flow</t>
  </si>
  <si>
    <t>Free Cash Flow To Firm</t>
  </si>
  <si>
    <t>Free Cash Flow to Equity</t>
  </si>
  <si>
    <t>Free Cash Flow per Basic Share</t>
  </si>
  <si>
    <t>Price to Free Cash Flow</t>
  </si>
  <si>
    <t>Cash Flow to Net Income</t>
  </si>
  <si>
    <t>Ratio sales</t>
  </si>
  <si>
    <t>Ratio to sales</t>
  </si>
  <si>
    <t>Growth</t>
  </si>
  <si>
    <t>Difference</t>
  </si>
  <si>
    <t>Ratio to debt</t>
  </si>
  <si>
    <t>Ratio to op inc</t>
  </si>
  <si>
    <t>Ratio to Net Inc</t>
  </si>
  <si>
    <t>% to Pref eq</t>
  </si>
  <si>
    <t>% to Net profit</t>
  </si>
  <si>
    <t>% to Net Profit</t>
  </si>
  <si>
    <t>Dilution</t>
  </si>
  <si>
    <t>% of Tot Sh Eq</t>
  </si>
  <si>
    <t>Explanation of basis</t>
  </si>
  <si>
    <t>% of sales</t>
  </si>
  <si>
    <t>% yoy growth</t>
  </si>
  <si>
    <t>% of assets</t>
  </si>
  <si>
    <t>% of gross fix asst</t>
  </si>
  <si>
    <t>Working Capital Changes</t>
  </si>
  <si>
    <t>Total current assets</t>
  </si>
  <si>
    <t>Total current liabilities</t>
  </si>
  <si>
    <t>Net current assets</t>
  </si>
  <si>
    <t>% of LT Assets</t>
  </si>
  <si>
    <t>Automatic</t>
  </si>
  <si>
    <t>Zero unless debt is reduced</t>
  </si>
  <si>
    <t>Zero unless equity issued</t>
  </si>
  <si>
    <t>Zero unless equity bought back</t>
  </si>
  <si>
    <t>Changes in other ST liabilities</t>
  </si>
  <si>
    <t>% of IS Tax</t>
  </si>
  <si>
    <t>Cash tax adjustments</t>
  </si>
  <si>
    <t>Net working capital change</t>
  </si>
  <si>
    <t>Mkt Cap + Minorities</t>
  </si>
  <si>
    <t>ROE LT</t>
  </si>
  <si>
    <t>G ST</t>
  </si>
  <si>
    <t>EPS FY 1-2 Avg</t>
  </si>
  <si>
    <t>Average value</t>
  </si>
  <si>
    <t>% upside</t>
  </si>
  <si>
    <t>COE</t>
  </si>
  <si>
    <t xml:space="preserve"> </t>
  </si>
  <si>
    <t>Company Year End</t>
  </si>
  <si>
    <t>Today</t>
  </si>
  <si>
    <t>WC/Sales</t>
  </si>
  <si>
    <t>Capex/Sales</t>
  </si>
  <si>
    <t>Dividend yield</t>
  </si>
  <si>
    <t>Depre/Capex</t>
  </si>
  <si>
    <t>Name</t>
  </si>
  <si>
    <t>GBPZAR Curncy</t>
  </si>
  <si>
    <t>Historic</t>
  </si>
  <si>
    <t>Dividend discount model</t>
  </si>
  <si>
    <t>Target</t>
  </si>
  <si>
    <t>Payout Ratio</t>
  </si>
  <si>
    <t>Sustainable Growth Rate</t>
  </si>
  <si>
    <t>Cost of Equity</t>
  </si>
  <si>
    <t>Current Dividend</t>
  </si>
  <si>
    <t>Share buy-back/(Equity raise)</t>
  </si>
  <si>
    <t>Number of shares</t>
  </si>
  <si>
    <t>Discount</t>
  </si>
  <si>
    <t>Ratios</t>
  </si>
  <si>
    <t>RETURN_COM_EQY</t>
  </si>
  <si>
    <t>PX_TO_BOOK_RATIO</t>
  </si>
  <si>
    <t>EV/Ebitda</t>
  </si>
  <si>
    <t>CURRENT_EV_TO_T12M_EBITDA</t>
  </si>
  <si>
    <t>GROSS_MARGIN</t>
  </si>
  <si>
    <t>Ebitda Margin</t>
  </si>
  <si>
    <t>EBITDA_TO_REVENUE</t>
  </si>
  <si>
    <t>OPER_MARGIN</t>
  </si>
  <si>
    <t>Capex/Depreciation</t>
  </si>
  <si>
    <t>CAPEX_TO_DEPR_EXPN_RATIO</t>
  </si>
  <si>
    <t>Working Capital/Sales</t>
  </si>
  <si>
    <t>WORKING_CAPITAL_TO_SALES</t>
  </si>
  <si>
    <t>ASSET_TURNOVER</t>
  </si>
  <si>
    <t>Debt/Equity</t>
  </si>
  <si>
    <t>TOT_DEBT_TO_TOT_EQY</t>
  </si>
  <si>
    <t>RETURN_ON_INV_CAPITAL</t>
  </si>
  <si>
    <t>Equity Cost</t>
  </si>
  <si>
    <t>Debt cost after tax</t>
  </si>
  <si>
    <t>Sustainable/Normalised Growth</t>
  </si>
  <si>
    <t>CODE</t>
  </si>
  <si>
    <t>NAME</t>
  </si>
  <si>
    <t>TICKER</t>
  </si>
  <si>
    <t>SOURCE</t>
  </si>
  <si>
    <t>Bloomberg</t>
  </si>
  <si>
    <t>YEAR</t>
  </si>
  <si>
    <t>Year</t>
  </si>
  <si>
    <t>NET_INCOME</t>
  </si>
  <si>
    <t>IS_FOREIGN_EXCH_LOSS</t>
  </si>
  <si>
    <t>IS_INC_BEF_XO_ITEM</t>
  </si>
  <si>
    <t>IS_ABNORMAL_ITEM</t>
  </si>
  <si>
    <t>IS_TAX_EFF_ON_ABNORMAL_ITEM</t>
  </si>
  <si>
    <t>IS_EARN_BEF_XO_ITEMS_PER_SH</t>
  </si>
  <si>
    <t>IS_EPS</t>
  </si>
  <si>
    <t>IS_AVG_NUM_SH_FOR_EPS</t>
  </si>
  <si>
    <t>PROF_MARGIN</t>
  </si>
  <si>
    <t>ACTUAL_SALES_PER_EMPL</t>
  </si>
  <si>
    <t>SALES_GROWTH</t>
  </si>
  <si>
    <t>EPS_GROWTH</t>
  </si>
  <si>
    <t>IS_RD_EXPEND</t>
  </si>
  <si>
    <t>IS_PERSONNEL_EXP</t>
  </si>
  <si>
    <t>IS_EXPORT_SALES</t>
  </si>
  <si>
    <t>BS_CASH_NEAR_CASH_ITEM</t>
  </si>
  <si>
    <t>BS_MKT_SEC_OTHER_ST_INVEST</t>
  </si>
  <si>
    <t>BS_ACCT_NOTE_RCV</t>
  </si>
  <si>
    <t>BS_CUR_ASSET_REPORT</t>
  </si>
  <si>
    <t>BS_LT_INVEST</t>
  </si>
  <si>
    <t>BS_GROSS_FIX_ASSET</t>
  </si>
  <si>
    <t>BS_ACCUM_DEPR</t>
  </si>
  <si>
    <t>BS_NET_FIX_ASSET</t>
  </si>
  <si>
    <t>BS_ST_BORROW</t>
  </si>
  <si>
    <t>BS_CUR_LIAB</t>
  </si>
  <si>
    <t>BS_LT_BORROW</t>
  </si>
  <si>
    <t>BS_OTHER_LT_LIABILITIES</t>
  </si>
  <si>
    <t>NON_CUR_LIAB</t>
  </si>
  <si>
    <t>BS_SH_CAP_AND_APIC</t>
  </si>
  <si>
    <t>BS_RETAIN_EARN</t>
  </si>
  <si>
    <t>TOT_LIAB_AND_EQY</t>
  </si>
  <si>
    <t>BS_SH_OUT</t>
  </si>
  <si>
    <t>BS_FUTURE_MIN_OPER_LEASE_OBLIG</t>
  </si>
  <si>
    <t>BS_OPTIONS_GRANTED</t>
  </si>
  <si>
    <t>BS_OPTIONS_OUTSTANDING</t>
  </si>
  <si>
    <t>BOOK_VAL_PER_SH</t>
  </si>
  <si>
    <t>TOT_DEBT_TO_TOT_ASSET</t>
  </si>
  <si>
    <t>NET_DEBT</t>
  </si>
  <si>
    <t>NET_DEBT_TO_SHRHLDR_EQTY</t>
  </si>
  <si>
    <t>CUR_RATIO</t>
  </si>
  <si>
    <t>CASH_CONVERSION_CYCLE</t>
  </si>
  <si>
    <t>INVTRY_RAW_MATERIALS</t>
  </si>
  <si>
    <t>INVTRY_FINISHED_GOODS</t>
  </si>
  <si>
    <t>BS_OTHER_INV</t>
  </si>
  <si>
    <t>BS_INVEST_IN_ASSOC_CO</t>
  </si>
  <si>
    <t>CF_OTHER_NON_CASH_ADJUST</t>
  </si>
  <si>
    <t>CF_CHNG_NON_CASH_WORK_CAP</t>
  </si>
  <si>
    <t>CF_DISP_FIX_ASSET</t>
  </si>
  <si>
    <t>CF_INCR_INVEST</t>
  </si>
  <si>
    <t>CF_DECR_INVEST</t>
  </si>
  <si>
    <t>CF_OTHER_INV_ACT</t>
  </si>
  <si>
    <t>CF_INCR_ST_BORROW</t>
  </si>
  <si>
    <t>CF_REIMB_LT_BORROW</t>
  </si>
  <si>
    <t>CF_OTHER_FNC_ACT</t>
  </si>
  <si>
    <t>CF_CASH_FROM_FNC_ACT</t>
  </si>
  <si>
    <t>CF_ACT_CASH_PAID_FOR_INT_DEBT</t>
  </si>
  <si>
    <t>CF_NET_CASH_PAID_FOR_AQUIS</t>
  </si>
  <si>
    <t>CF_FREE_CASH_FLOW</t>
  </si>
  <si>
    <t>CF_FREE_CASH_FLOW_FIRM</t>
  </si>
  <si>
    <t>FREE_CASH_FLOW_PER_SH</t>
  </si>
  <si>
    <t>PX_TO_FREE_CASH_FLOW</t>
  </si>
  <si>
    <t>CASH_FLOW_TO_NET_INC</t>
  </si>
  <si>
    <t>SALES_REV_TURN</t>
  </si>
  <si>
    <t>CF_NET_INC</t>
  </si>
  <si>
    <t>IS_COGS_TO_FE_AND_PP_AND_G</t>
  </si>
  <si>
    <t>Return on Common Equity</t>
  </si>
  <si>
    <t>Average Equity/Average Assets</t>
  </si>
  <si>
    <t>Return on investment capital</t>
  </si>
  <si>
    <t>BBG Mnemonic</t>
  </si>
  <si>
    <t>Value</t>
  </si>
  <si>
    <t>Mkt Price</t>
  </si>
  <si>
    <t>Currency</t>
  </si>
  <si>
    <t>Investment Case</t>
  </si>
  <si>
    <t>Positives</t>
  </si>
  <si>
    <t>Negatives</t>
  </si>
  <si>
    <t>BS_GOODWILL</t>
  </si>
  <si>
    <t>FREE_CASH_FLOW_EQUITY</t>
  </si>
  <si>
    <t>Interest Expense</t>
  </si>
  <si>
    <t>Other Short-Term Liabilities</t>
  </si>
  <si>
    <t>NUM_OF_EMPLOYEES</t>
  </si>
  <si>
    <t>TCE_RATIO</t>
  </si>
  <si>
    <t>IS_DILUTED_EPS</t>
  </si>
  <si>
    <t>ZAR</t>
  </si>
  <si>
    <t>BS_OTHER_ASSETS_DEF_CHRG_OTHER</t>
  </si>
  <si>
    <t>IS_OPERATING_EXPN</t>
  </si>
  <si>
    <t>Cost of sales</t>
  </si>
  <si>
    <t>Gross Profit</t>
  </si>
  <si>
    <t>Other Operating Revenue</t>
  </si>
  <si>
    <t>Operating profit (loss)</t>
  </si>
  <si>
    <t>Net Non-Operating Losses (Gains)</t>
  </si>
  <si>
    <t>Pretax Income</t>
  </si>
  <si>
    <t>Income Tax Expense</t>
  </si>
  <si>
    <t>Extraordinary Loss Net of Tax</t>
  </si>
  <si>
    <t>Total Cash Preferred Dividends</t>
  </si>
  <si>
    <t>Net Inc Avail to Common Shareholders</t>
  </si>
  <si>
    <t>Normalized Income</t>
  </si>
  <si>
    <t>Basic EPS Before Abnormal Items</t>
  </si>
  <si>
    <t>Diluted EPS Before Abnormal Items</t>
  </si>
  <si>
    <t>Dividends per Share</t>
  </si>
  <si>
    <t>Total Cash Common Dividends</t>
  </si>
  <si>
    <t>Capitalized Interest Expense</t>
  </si>
  <si>
    <t>Inventories</t>
  </si>
  <si>
    <t>Total Long-Term Assets</t>
  </si>
  <si>
    <t>Accounts Payable</t>
  </si>
  <si>
    <t>Inventory - Work in Progress</t>
  </si>
  <si>
    <t>Pure Retained Earnings</t>
  </si>
  <si>
    <t>Depreciation &amp; Amortization</t>
  </si>
  <si>
    <t>Cash From Operations</t>
  </si>
  <si>
    <t>Capital Expenditures</t>
  </si>
  <si>
    <t>Cash From Investing Activities</t>
  </si>
  <si>
    <t>Dividends Paid</t>
  </si>
  <si>
    <t>Increase in Long-Term Borrowings</t>
  </si>
  <si>
    <t>Increase in Capital Stocks</t>
  </si>
  <si>
    <t>Decrease in Capital Stocks</t>
  </si>
  <si>
    <t>Net Changes in Cash</t>
  </si>
  <si>
    <t>Cash Paid for Taxes</t>
  </si>
  <si>
    <t>Supplementary Share Data</t>
  </si>
  <si>
    <t>Market Price</t>
  </si>
  <si>
    <t>Market Cap</t>
  </si>
  <si>
    <t>BBERG Field 1</t>
  </si>
  <si>
    <t>BBERG Field 2</t>
  </si>
  <si>
    <t>Share Code</t>
  </si>
  <si>
    <t>Checks (PD vs BBG)</t>
  </si>
  <si>
    <t>Return on Equity</t>
  </si>
  <si>
    <t>Price to Book</t>
  </si>
  <si>
    <t>Gross margin</t>
  </si>
  <si>
    <t>Tax Rate</t>
  </si>
  <si>
    <t>Fcsts: Profit Margin</t>
  </si>
  <si>
    <t>Fcsts: Asset Turnover</t>
  </si>
  <si>
    <t>Fcsts: Leverage</t>
  </si>
  <si>
    <t>Fcsts: ROE</t>
  </si>
  <si>
    <t>Fcsts: Retention rate</t>
  </si>
  <si>
    <t>Fcsts: Growth rates</t>
  </si>
  <si>
    <t>Fcsts: Bond yield</t>
  </si>
  <si>
    <t>Fcsts: Beta</t>
  </si>
  <si>
    <t>Fcsts: Op profit</t>
  </si>
  <si>
    <t>Fcsts: NOPAT</t>
  </si>
  <si>
    <t>Fcsts: Enterprise Value</t>
  </si>
  <si>
    <t>Fcsts: Invested Capital</t>
  </si>
  <si>
    <t>Fcsts: WACC</t>
  </si>
  <si>
    <t>Fcsts: Fundamental beta</t>
  </si>
  <si>
    <t>Fcsts: EBITDA</t>
  </si>
  <si>
    <t>Fcsts: Depreciation</t>
  </si>
  <si>
    <t>Fcsts: ROIC</t>
  </si>
  <si>
    <t>Fcsts: Normalised economic growth rate</t>
  </si>
  <si>
    <t>Fcsts: P/E</t>
  </si>
  <si>
    <t>Fcsts: P/E Mkt</t>
  </si>
  <si>
    <t>Fcsts: P/E Upside</t>
  </si>
  <si>
    <t>Fcsts: P/BV</t>
  </si>
  <si>
    <t>Fcsts: P/BV Mkt</t>
  </si>
  <si>
    <t>Fcsts: P/BV Upside</t>
  </si>
  <si>
    <t>Fcsts: EV/NOPAT</t>
  </si>
  <si>
    <t>Fcsts: EV/NOPAT Mkt</t>
  </si>
  <si>
    <t>Fcsts: EV/NOPAT Upside</t>
  </si>
  <si>
    <t>Fcsts: EV/Inv Capital</t>
  </si>
  <si>
    <t>Fcsts: EV/Inv Capital Mkt</t>
  </si>
  <si>
    <t>Fcsts: EV/Inv Capital Upside</t>
  </si>
  <si>
    <t>Fcsts: EV/EBITDA</t>
  </si>
  <si>
    <t>Fcsts: EV/EBITDA Mkt</t>
  </si>
  <si>
    <t>Fcsts: EV/EBITDA Upside</t>
  </si>
  <si>
    <t>Fcsts: Implied DUPont growth</t>
  </si>
  <si>
    <t>Fcsts: Consensus Growth</t>
  </si>
  <si>
    <t>Fcsts: Safety ratio</t>
  </si>
  <si>
    <t>Fcsts: Implied DuPont ROE</t>
  </si>
  <si>
    <t>Fcsts: Average ROE</t>
  </si>
  <si>
    <t>Fcsts: Return gap</t>
  </si>
  <si>
    <t>Fcsts: Ave fwd growth rates 3YR</t>
  </si>
  <si>
    <t>Fcsts: Ave fwd growth rates 5YR</t>
  </si>
  <si>
    <t>DCF: Fade growth from</t>
  </si>
  <si>
    <t>DCF: Fade growth to</t>
  </si>
  <si>
    <t>DCF: Over (years)</t>
  </si>
  <si>
    <t>DCF: Tax rate</t>
  </si>
  <si>
    <t>DCF: WACC</t>
  </si>
  <si>
    <t>DCF: Exit FCF Multiple</t>
  </si>
  <si>
    <t>DCF: Valuation</t>
  </si>
  <si>
    <t>Fcsts: COE</t>
  </si>
  <si>
    <t>Fcsts: EV/EBITDA Valuation</t>
  </si>
  <si>
    <t>Fcsts: DDM ROE</t>
  </si>
  <si>
    <t>Fcsts: DDM Payout Ratio</t>
  </si>
  <si>
    <t>Fcsts: DDM Sustainable Growth Rate</t>
  </si>
  <si>
    <t>Fcsts: DDM Cost of Equity</t>
  </si>
  <si>
    <t>Fcsts: DDM Current Dividend</t>
  </si>
  <si>
    <t>Models:</t>
  </si>
  <si>
    <t>Sector:</t>
  </si>
  <si>
    <t>Reason:</t>
  </si>
  <si>
    <t>Fcsts: DDM Valuation</t>
  </si>
  <si>
    <t>Fcsts: DuP ROE LT</t>
  </si>
  <si>
    <t>Fcsts: DuP DuP: G ST</t>
  </si>
  <si>
    <t>Fcsts: DuP G Perpertuity</t>
  </si>
  <si>
    <t>Fcsts: DuP N</t>
  </si>
  <si>
    <t>Fcsts: DuP K</t>
  </si>
  <si>
    <t>Fcsts: DuP Growth PE</t>
  </si>
  <si>
    <t>Fcsts: DuP Steady State PE</t>
  </si>
  <si>
    <t>Fcsts: DuP EPS FY 1-2 Avg</t>
  </si>
  <si>
    <t>Fcsts: DuP Growth Return</t>
  </si>
  <si>
    <t>Fcsts: DuP Steady State Return</t>
  </si>
  <si>
    <t>Summary: Positives Notes</t>
  </si>
  <si>
    <t>Summary: Negative Notes</t>
  </si>
  <si>
    <t>Summary: Recommendations Notes</t>
  </si>
  <si>
    <t>Fcsts: DuP Growth Valuation</t>
  </si>
  <si>
    <t>Fcsts: DuP Steady State Valuation</t>
  </si>
  <si>
    <t>Valuation</t>
  </si>
  <si>
    <t>Fcsts: DuP Growth</t>
  </si>
  <si>
    <t>Fcsts: DuP Steady State</t>
  </si>
  <si>
    <t>Fcsts: DDM</t>
  </si>
  <si>
    <t>DCF:</t>
  </si>
  <si>
    <t>ER (%)</t>
  </si>
  <si>
    <t>Formula</t>
  </si>
  <si>
    <t>---- Forecast assumptions ----</t>
  </si>
  <si>
    <t>% sales</t>
  </si>
  <si>
    <t>Cost</t>
  </si>
  <si>
    <t>Weights</t>
  </si>
  <si>
    <t>Equity Value</t>
  </si>
  <si>
    <t>Debt Value</t>
  </si>
  <si>
    <t>Total Value</t>
  </si>
  <si>
    <t>5 Year History</t>
  </si>
  <si>
    <t>ROIC LT</t>
  </si>
  <si>
    <t>Depn/EBITDA</t>
  </si>
  <si>
    <t>Tax rate</t>
  </si>
  <si>
    <t>Avg 3 yr Fwd EBITDA</t>
  </si>
  <si>
    <t>Shares in issue</t>
  </si>
  <si>
    <t>Implied EV</t>
  </si>
  <si>
    <t>Cash Value</t>
  </si>
  <si>
    <t>Implied MV</t>
  </si>
  <si>
    <t>EV/EBITDA Steady State</t>
  </si>
  <si>
    <t>EV/EBITDA Growth</t>
  </si>
  <si>
    <t>Normalised ROIC</t>
  </si>
  <si>
    <t>Normalised Invested Capital</t>
  </si>
  <si>
    <t>Normalised NOPAT</t>
  </si>
  <si>
    <t>Mkt Value</t>
  </si>
  <si>
    <t>Normalised multiple</t>
  </si>
  <si>
    <t>Current EV/Normal Inv Cap</t>
  </si>
  <si>
    <t>Upside/downside to normal</t>
  </si>
  <si>
    <t>Current EV to Normal NOPAT</t>
  </si>
  <si>
    <t>DuPont Valuation</t>
  </si>
  <si>
    <t>Depreciation/EBITDA</t>
  </si>
  <si>
    <t>IS_SGA_OTHER_OP_DEPR_OP_MAINT</t>
  </si>
  <si>
    <t>IS_OPERATING_EXPN  </t>
  </si>
  <si>
    <t>   </t>
  </si>
  <si>
    <t> </t>
  </si>
  <si>
    <t>IS_MINORITY_INT</t>
  </si>
  <si>
    <t>IS_FULLY_DILUTED_EPS</t>
  </si>
  <si>
    <t>IS_SH_FOR_FULLY_DILUTED_EPS</t>
  </si>
  <si>
    <t>BS_PFD_EQTY_&amp;_HYBRID_CPTL </t>
  </si>
  <si>
    <t>BS_MINORITY_INT</t>
  </si>
  <si>
    <t>MINORITY_NONCONTROLLING_INTEREST</t>
  </si>
  <si>
    <t>TANGIBLE_BK_VAL_TANGIBLE_ASSET</t>
  </si>
  <si>
    <t>GOODWILL</t>
  </si>
  <si>
    <t>BS_GOODWILL  </t>
  </si>
  <si>
    <t>RR121</t>
  </si>
  <si>
    <t>RX243</t>
  </si>
  <si>
    <t>BS_TOT_DPST_SEC_DPST</t>
  </si>
  <si>
    <t>BS_CUSTOMER_DEPOSITS</t>
  </si>
  <si>
    <t>NET_INT_MARGIN</t>
  </si>
  <si>
    <t>T12_NET_INT_MARGIN</t>
  </si>
  <si>
    <t>TOT_SHRHLDR_EQY</t>
  </si>
  <si>
    <t>CASH_AND_ST_INVESTMENTS</t>
  </si>
  <si>
    <t>CASH_&amp;_ST_INVESTMENTS</t>
  </si>
  <si>
    <t>CF_DECR_INCR_LOAN</t>
  </si>
  <si>
    <t>CF_CHANGE_IN_LOANS</t>
  </si>
  <si>
    <t>BS_CORE_CAP_RATIO</t>
  </si>
  <si>
    <t>BS_CORE_TIER1_CAPITAL_RATIO</t>
  </si>
  <si>
    <t>OLD</t>
  </si>
  <si>
    <t>NEW</t>
  </si>
  <si>
    <t>Model Used</t>
  </si>
  <si>
    <t>Model Reason</t>
  </si>
  <si>
    <t>Expected Return</t>
  </si>
  <si>
    <t>FOR_TICKER</t>
  </si>
  <si>
    <t>FOR_YEARS</t>
  </si>
  <si>
    <t>NA</t>
  </si>
  <si>
    <t>BS Minority Interest</t>
  </si>
  <si>
    <t>ICB_INDUSTRY</t>
  </si>
  <si>
    <t>ICB_SUPERSECTOR</t>
  </si>
  <si>
    <t>ICB_SECTOR</t>
  </si>
  <si>
    <t>ICB_SUBSECTOR</t>
  </si>
  <si>
    <t>DATE</t>
  </si>
  <si>
    <t>Date</t>
  </si>
  <si>
    <t>Pretax Margin</t>
  </si>
  <si>
    <t>CRNCY</t>
  </si>
  <si>
    <t>Currency of security</t>
  </si>
  <si>
    <t>ZAr</t>
  </si>
  <si>
    <t>EQY_FUND_CRNCY</t>
  </si>
  <si>
    <t>Currency in which the fundamental data is reported</t>
  </si>
  <si>
    <t># Years of Accounting Data</t>
  </si>
  <si>
    <t>BBG Ticker</t>
  </si>
  <si>
    <t>PO Ratio</t>
  </si>
  <si>
    <t>HEPS Growth</t>
  </si>
  <si>
    <t>Net Margin</t>
  </si>
  <si>
    <t>Funding Rate</t>
  </si>
  <si>
    <t>SGA Growth</t>
  </si>
  <si>
    <t>Turnover Growth</t>
  </si>
  <si>
    <t>Creditors to Sales</t>
  </si>
  <si>
    <t>ST Borrowings to Sales</t>
  </si>
  <si>
    <t>Other Curr L to Sales</t>
  </si>
  <si>
    <t>Inventory to Sales</t>
  </si>
  <si>
    <t>Acc&amp;Notes rec to Sales</t>
  </si>
  <si>
    <t>Other Curr Assets to Sales</t>
  </si>
  <si>
    <t>WACC_EV: Tax Rate</t>
  </si>
  <si>
    <t>WACC_EV: Equity Wt (WACC)</t>
  </si>
  <si>
    <t>WACC_EV: Debt Wt (WACC)</t>
  </si>
  <si>
    <t>WACC_EV: ROIC (5yr)</t>
  </si>
  <si>
    <t>WACC_EV: WACC</t>
  </si>
  <si>
    <t>WACC_EV: WACC (5yr)</t>
  </si>
  <si>
    <t>WACC_EV: ROIC LT</t>
  </si>
  <si>
    <t>WACC_EV: G ST</t>
  </si>
  <si>
    <t>WACC_EV: G Perpertuity</t>
  </si>
  <si>
    <t>WACC_EV: N</t>
  </si>
  <si>
    <t>WACC_EV: Depn/EBITDA</t>
  </si>
  <si>
    <t>WACC_EV: Avg 3 yr Fwd EBITDA</t>
  </si>
  <si>
    <t>WACC_EV: Shares in issue</t>
  </si>
  <si>
    <t>WACC_EV: Current price</t>
  </si>
  <si>
    <t>Multiple</t>
  </si>
  <si>
    <t>WACC_EV: Funding Rate</t>
  </si>
  <si>
    <t>WACC_EV: EV/EBITDA Steady State (x)</t>
  </si>
  <si>
    <t>WACC_EV: EV/EBITDA Steady State (Implied EV)</t>
  </si>
  <si>
    <t>WACC_EV: EV/EBITDA Steady State (Debt Value)</t>
  </si>
  <si>
    <t>WACC_EV: EV/EBITDA Steady State (Cash Value)</t>
  </si>
  <si>
    <t>WACC_EV: EV/EBITDA Steady State (Minorities)</t>
  </si>
  <si>
    <t>WACC_EV: EV/EBITDA Steady State (Implied MV)</t>
  </si>
  <si>
    <t>WACC_EV: EV/EBITDA Growth (x)</t>
  </si>
  <si>
    <t>WACC_EV: EV/EBITDA Growth (Implied EV)</t>
  </si>
  <si>
    <t>WACC_EV: EV/EBITDA Growth (Debt Value)</t>
  </si>
  <si>
    <t>WACC_EV: EV/EBITDA Growth (Cash Value)</t>
  </si>
  <si>
    <t>WACC_EV: EV/EBITDA Growth (Minorities)</t>
  </si>
  <si>
    <t>WACC_EV: EV/EBITDA Growth (Implied MV)</t>
  </si>
  <si>
    <t>=AVERAGE('Margin hist'!N57)</t>
  </si>
  <si>
    <t>CAPEX to Depreciation</t>
  </si>
  <si>
    <t>Net Cash Generated from Operations</t>
  </si>
  <si>
    <t>Cash Flow from Investing Activties</t>
  </si>
  <si>
    <t>Net Cash and Cash Equivalents</t>
  </si>
  <si>
    <t>Depreciation/Sales</t>
  </si>
  <si>
    <t>Disposals to Fixed Assets</t>
  </si>
  <si>
    <t>CAPEX to Sales</t>
  </si>
  <si>
    <t>Other Investing Activities to LT Assets</t>
  </si>
  <si>
    <t>EBITDA Growth</t>
  </si>
  <si>
    <t>Dividend Growth</t>
  </si>
  <si>
    <t>NAV Growth</t>
  </si>
  <si>
    <t>Net Debt to EBITDA</t>
  </si>
  <si>
    <t>Interest Cover</t>
  </si>
  <si>
    <t>Dividend growth</t>
  </si>
  <si>
    <t>ROA</t>
  </si>
  <si>
    <t>Debt to Equity ratio</t>
  </si>
  <si>
    <t>Operating Cash Flow to Net Income</t>
  </si>
  <si>
    <t>Leverage Index</t>
  </si>
  <si>
    <t>Accrual Analysis</t>
  </si>
  <si>
    <t>Cash Flow to Total Debt</t>
  </si>
  <si>
    <t>Cash Flow to Reinvestment</t>
  </si>
  <si>
    <t>Cash Interest Cover</t>
  </si>
  <si>
    <t>CAPEX to Long term assets</t>
  </si>
  <si>
    <t>ROCE</t>
  </si>
  <si>
    <t>Return Ratio</t>
  </si>
  <si>
    <t>Gross Debt to Total Assets</t>
  </si>
  <si>
    <t xml:space="preserve">Cash Flows Ratios </t>
  </si>
  <si>
    <t>Operating Cash on Total Assets</t>
  </si>
  <si>
    <t xml:space="preserve">Free Cash Flow Yield </t>
  </si>
  <si>
    <t xml:space="preserve">Balance Sheet  Ratios </t>
  </si>
  <si>
    <t>Operating Cash Flow to Dividend payment</t>
  </si>
  <si>
    <t xml:space="preserve">Cash Flow to Total Assets </t>
  </si>
  <si>
    <t>Total Assets to Sales</t>
  </si>
  <si>
    <t xml:space="preserve">Receivales to totals sales </t>
  </si>
  <si>
    <t>Accrual Ratio</t>
  </si>
  <si>
    <t>Finance Cost to Interest bearing debt</t>
  </si>
  <si>
    <t>Expenses to Inventory</t>
  </si>
  <si>
    <t>Valuation Metrics/ Multiples</t>
  </si>
  <si>
    <t>PEG</t>
  </si>
  <si>
    <t>P/CFO</t>
  </si>
  <si>
    <t>Retentio ratio</t>
  </si>
  <si>
    <t>EV/Sales</t>
  </si>
  <si>
    <t>P/Sales</t>
  </si>
  <si>
    <t>CAPEX to Inventory</t>
  </si>
  <si>
    <t>% growth in CFO to % growth in Sales</t>
  </si>
  <si>
    <t>Basic Income ratios</t>
  </si>
  <si>
    <t xml:space="preserve">ROIIC </t>
  </si>
  <si>
    <t>Operating Assets</t>
  </si>
  <si>
    <t>Operating Liabilities</t>
  </si>
  <si>
    <t>Net Operating Assets (NOA)</t>
  </si>
  <si>
    <t>Receivable to Total Assets</t>
  </si>
  <si>
    <t>Days Inventory Outstanding</t>
  </si>
  <si>
    <t>Days Sales Outstanding</t>
  </si>
  <si>
    <t>Days Payable Outstanding</t>
  </si>
  <si>
    <t>RONA</t>
  </si>
  <si>
    <t>Cost to Income ratio</t>
  </si>
  <si>
    <t>Total Cash Flow Cover</t>
  </si>
  <si>
    <t>FYE Date</t>
  </si>
  <si>
    <t>Mkt Cap (Current)</t>
  </si>
  <si>
    <t>Mkt Cap (Monthly)</t>
  </si>
  <si>
    <t>Price (Monthly)</t>
  </si>
  <si>
    <t>Price (Current)</t>
  </si>
  <si>
    <t>P/E ratio</t>
  </si>
  <si>
    <t>P/B ratio</t>
  </si>
  <si>
    <t>EBITDA/Gross Profit</t>
  </si>
  <si>
    <t>Net Debt to Assets</t>
  </si>
  <si>
    <t>Price Multiplier</t>
  </si>
  <si>
    <t>Note</t>
  </si>
  <si>
    <t>YG done with main sheets</t>
  </si>
  <si>
    <t>KN added Ratios sheet</t>
  </si>
  <si>
    <t>YG added daily and monthly prices/mktcaps for calcs.</t>
  </si>
  <si>
    <t>YG added calculations for average 12 month price/mktcap for ratios. NB - check the year end dates to make sure they are correct!</t>
  </si>
  <si>
    <t>YG added Rands/cents check to convert prices into Rands</t>
  </si>
  <si>
    <t>YG added current price to Config sheet for upside calcs</t>
  </si>
  <si>
    <t>BBG INPUTS</t>
  </si>
  <si>
    <t>Current Price/MktCap</t>
  </si>
  <si>
    <t>Mkt Cap</t>
  </si>
  <si>
    <r>
      <t>%</t>
    </r>
    <r>
      <rPr>
        <sz val="10"/>
        <rFont val="Calibri"/>
        <family val="2"/>
      </rPr>
      <t>Δ</t>
    </r>
    <r>
      <rPr>
        <sz val="10"/>
        <rFont val="Arial"/>
        <family val="2"/>
      </rPr>
      <t xml:space="preserve"> in GM / % Δ in TA</t>
    </r>
  </si>
  <si>
    <t>Fcsts: DuP Next Company Year End</t>
  </si>
  <si>
    <t>CC fixed some bugs regarding the retrieval of saved valuations and market data</t>
  </si>
  <si>
    <t>Choose Model:</t>
  </si>
  <si>
    <t>WACC_EV: EV/EBITDA Steady State Valuation</t>
  </si>
  <si>
    <t>WACC_EV: EV/EBITDA Growth Valuation</t>
  </si>
  <si>
    <t>WACC_EV: EV/EBITDA Steady State</t>
  </si>
  <si>
    <t>WACC_EV: EV/EBITDA Growth</t>
  </si>
  <si>
    <t>Valuation Summary:</t>
  </si>
  <si>
    <t>YG cleaned up "Help" sheet and tidied up workbook.</t>
  </si>
  <si>
    <t>YG changed "Config" sheet to "Frontend"</t>
  </si>
  <si>
    <t>Recommendation Notes</t>
  </si>
  <si>
    <t>What are we saying?</t>
  </si>
  <si>
    <t>What is the company saying?</t>
  </si>
  <si>
    <t>What is the market saying?</t>
  </si>
  <si>
    <t>One line summary</t>
  </si>
  <si>
    <t>1. Go to the "Frontend" sheet</t>
  </si>
  <si>
    <t>2. Change the BBG ticker code in cell C7</t>
  </si>
  <si>
    <r>
      <t xml:space="preserve">3. </t>
    </r>
    <r>
      <rPr>
        <sz val="10"/>
        <color rgb="FFFF0000"/>
        <rFont val="Arial"/>
        <family val="2"/>
      </rPr>
      <t>IF</t>
    </r>
    <r>
      <rPr>
        <sz val="10"/>
        <rFont val="Arial"/>
        <family val="2"/>
      </rPr>
      <t xml:space="preserve"> you need to, in cell C8 you can change the # of years of AFS data to pull (but probably best to leave this at 11 years).</t>
    </r>
  </si>
  <si>
    <t>4. If you want to update the price &amp; mkt cap data to check your expected return, then Click on the "DataFi" tab in the ribbon.</t>
  </si>
  <si>
    <t>5. Click on the "Update Data" button in the ribbon. This will refresh the data in cells C17:C18.</t>
  </si>
  <si>
    <t>The above steps can be seen in the screenshot below:</t>
  </si>
  <si>
    <t>1. Go to the "Financials DF (Live)" sheet</t>
  </si>
  <si>
    <r>
      <t xml:space="preserve">NB: </t>
    </r>
    <r>
      <rPr>
        <sz val="10"/>
        <color rgb="FFFF0000"/>
        <rFont val="Arial"/>
        <family val="2"/>
      </rPr>
      <t>DO NOT</t>
    </r>
    <r>
      <rPr>
        <sz val="10"/>
        <rFont val="Arial"/>
        <family val="2"/>
      </rPr>
      <t xml:space="preserve"> change anything on this sheet. If you need to change the ticker code or # of years, then go to the "Frontend" sheet.</t>
    </r>
  </si>
  <si>
    <t>6. Note that you should now be in the " Financials DF" sheet (not "Financial DF (Live))"</t>
  </si>
  <si>
    <t>7. If the analyst disagrees with any of the BBG data, then he/she can change the data in this sheet and any changes will be highlighted in orange.</t>
  </si>
  <si>
    <t>8. Any missing data is highlighted in red.</t>
  </si>
  <si>
    <t>1. Go to the relevant model sheet (e.g. "Fcsts" or "DCF") and update the model (e.g. DuPont).</t>
  </si>
  <si>
    <t>2. Go to the "Summary" sheet and fill in the cells highlighted in blue.</t>
  </si>
  <si>
    <t>3. Use the drop-down to choose the valuation model that you have updated and decided to use for this share</t>
  </si>
  <si>
    <t>4. Provide a reason for changing the valuation model</t>
  </si>
  <si>
    <t>5. Provide at most 3 points on the positives for the share</t>
  </si>
  <si>
    <t>6. Provide at most 3 points on the negatives for the share</t>
  </si>
  <si>
    <t>8. Click on the "DataFi" tab in the ribbon and click on the "Upload Valuation" button</t>
  </si>
  <si>
    <t>7. Provide a recommendation summary</t>
  </si>
  <si>
    <t>1/3. Update Basic Info</t>
  </si>
  <si>
    <t xml:space="preserve">2/3. Update Data Sources </t>
  </si>
  <si>
    <t>3/3. Update the Valuation Models</t>
  </si>
  <si>
    <t>1. Click on the "DataFi" tab in the ribbon (can be on any sheet).</t>
  </si>
  <si>
    <t>2. Click on "Instrument Valuation"</t>
  </si>
  <si>
    <t>3. Log in to the DataFi addin and then click on the "Fundamentals" heading.</t>
  </si>
  <si>
    <t>5. Choose the date at which the data must be extracted (usually leave it at the default)</t>
  </si>
  <si>
    <t>7. Click on the three dots in the "Insert Equity Data" button</t>
  </si>
  <si>
    <t>4. Under "Equity" type in the name or the code of the security to be analysed, e.g. "Foschini" or "TFG"</t>
  </si>
  <si>
    <t>8. Click on "Get from Source". This will download the data into the database. To access the data in Excel you now need to follow the Step 2/3 at the top of this worksheet.</t>
  </si>
  <si>
    <t>3/3. Update and Save the Valuation Models</t>
  </si>
  <si>
    <t>Download new BBG Data into Database</t>
  </si>
  <si>
    <t>Workflow/Help</t>
  </si>
  <si>
    <t>If the a company's financial data is not available in the database but is available on BBG you can manually download the data into the database as follows:</t>
  </si>
  <si>
    <t>1/3. Update Basic Info (e.g. share code etc)</t>
  </si>
  <si>
    <t>2/3. Update Data Sources (i.e. download new AFS data from the database)</t>
  </si>
  <si>
    <t>Download new BBG Data into Database (for a new company or a company that has released new data)</t>
  </si>
  <si>
    <r>
      <t xml:space="preserve">6. Choose the number of years of fundametal data to download from BBG (leave at </t>
    </r>
    <r>
      <rPr>
        <sz val="10"/>
        <color rgb="FFFF0000"/>
        <rFont val="Arial"/>
        <family val="2"/>
      </rPr>
      <t>0 years</t>
    </r>
    <r>
      <rPr>
        <sz val="10"/>
        <rFont val="Arial"/>
        <family val="2"/>
      </rPr>
      <t xml:space="preserve"> for a share that has been </t>
    </r>
    <r>
      <rPr>
        <sz val="10"/>
        <color rgb="FFFF0000"/>
        <rFont val="Arial"/>
        <family val="2"/>
      </rPr>
      <t>analysed before</t>
    </r>
    <r>
      <rPr>
        <sz val="10"/>
        <rFont val="Arial"/>
        <family val="2"/>
      </rPr>
      <t xml:space="preserve"> and set to </t>
    </r>
    <r>
      <rPr>
        <sz val="10"/>
        <color rgb="FFFF0000"/>
        <rFont val="Arial"/>
        <family val="2"/>
      </rPr>
      <t>11 years for a NEW share</t>
    </r>
    <r>
      <rPr>
        <sz val="10"/>
        <rFont val="Arial"/>
        <family val="2"/>
      </rPr>
      <t>)</t>
    </r>
  </si>
  <si>
    <t>FX</t>
  </si>
  <si>
    <t>New Currency</t>
  </si>
  <si>
    <t>Orignal Currency</t>
  </si>
  <si>
    <t>Pricing Currency</t>
  </si>
  <si>
    <t>Valuation Currency</t>
  </si>
  <si>
    <t>OUTPUTS</t>
  </si>
  <si>
    <t>Filename</t>
  </si>
  <si>
    <t>Indus_Resi_DCF_DuP DF 202103231</t>
  </si>
  <si>
    <t>Indus_Resi_DCF_DuP DF - TFG (With Ratio tab)</t>
  </si>
  <si>
    <t># Days</t>
  </si>
  <si>
    <t>Chart Title</t>
  </si>
  <si>
    <t>F/X</t>
  </si>
  <si>
    <t>The OUTPUTS section provides a quick summary of the current share price and mkt cap (in both currencies) and the chart shows the last 1 year of price movement and the current valuation.</t>
  </si>
  <si>
    <r>
      <t xml:space="preserve">NB: If this is the </t>
    </r>
    <r>
      <rPr>
        <sz val="10"/>
        <color rgb="FFFF0000"/>
        <rFont val="Arial"/>
        <family val="2"/>
      </rPr>
      <t>first time</t>
    </r>
    <r>
      <rPr>
        <sz val="10"/>
        <rFont val="Arial"/>
        <family val="2"/>
      </rPr>
      <t xml:space="preserve"> you are setting up the model, and if the Pricing currency (C17) and the Valuation currency (C18) are different, then you will need to press the "Update Data " button again (to download the F/X data).</t>
    </r>
  </si>
  <si>
    <t>YG modified calcs to include currency differences between share price and AFS</t>
  </si>
  <si>
    <t>YG protected sheets from row/column insertion</t>
  </si>
  <si>
    <t>BS_PFD_EQTY_&amp;_HYBRID_CPTL</t>
  </si>
  <si>
    <t>CHFZAR Curncy</t>
  </si>
  <si>
    <t>EURZAR Curncy</t>
  </si>
  <si>
    <t>JPYZAR Curncy</t>
  </si>
  <si>
    <t>USDZAR Curncy</t>
  </si>
  <si>
    <t>NEXT_FISCAL_YR_END_MONTH</t>
  </si>
  <si>
    <t>Next Fiscal Year End Month</t>
  </si>
  <si>
    <t>ST_CAPITAL_LEASE_OBLIGATIONS</t>
  </si>
  <si>
    <t>Capital Leases - Short Term</t>
  </si>
  <si>
    <t>LT_CAPITAL_LEASE_OBLIGATIONS</t>
  </si>
  <si>
    <t>Capital Leases - Long Term</t>
  </si>
  <si>
    <t>-</t>
  </si>
  <si>
    <t>Current Price (ZAR)</t>
  </si>
  <si>
    <t>Current Market Cap (ZAR m)</t>
  </si>
  <si>
    <t>Average Price (for ratios): ZAR</t>
  </si>
  <si>
    <t>Average Market Cap (for ratios): ZAR</t>
  </si>
  <si>
    <t>3. Click on the "DataFi" tab in the ribbon</t>
  </si>
  <si>
    <t>4. Click on the "Update Data" button in the ribbon.</t>
  </si>
  <si>
    <t>5. This will refresh the data in cells with a white background and black text (see area #4).</t>
  </si>
  <si>
    <t>YG Set Next FYE date to EOM in Fcsts Z61</t>
  </si>
  <si>
    <t>Ticker:</t>
  </si>
  <si>
    <t>Name:</t>
  </si>
  <si>
    <t>FY3</t>
  </si>
  <si>
    <t>FY2</t>
  </si>
  <si>
    <t>FY1</t>
  </si>
  <si>
    <t>FY0</t>
  </si>
  <si>
    <t>FY-1</t>
  </si>
  <si>
    <t>FY-2</t>
  </si>
  <si>
    <t>FY-3</t>
  </si>
  <si>
    <t>FY-4</t>
  </si>
  <si>
    <t>FY-5</t>
  </si>
  <si>
    <t>FY-6</t>
  </si>
  <si>
    <t>FY-7</t>
  </si>
  <si>
    <t>FY-8</t>
  </si>
  <si>
    <t>FY-9</t>
  </si>
  <si>
    <t>FY-10</t>
  </si>
  <si>
    <t>Ratios: Gross Margin FY3</t>
  </si>
  <si>
    <t>Ratios: Operating Margin FY3</t>
  </si>
  <si>
    <t>Ratios: Profit Margin FY3</t>
  </si>
  <si>
    <t>Ratios: Dividend growth FY3</t>
  </si>
  <si>
    <t>Ratios: Interest Cover FY3</t>
  </si>
  <si>
    <t>Ratios: %Δ in GM / % Δ in TA FY3</t>
  </si>
  <si>
    <t>Ratios: EBITDA/Gross Profit FY3</t>
  </si>
  <si>
    <t>Ratios: Depreciation/EBITDA FY3</t>
  </si>
  <si>
    <t>Ratios: Cost to Income ratio FY3</t>
  </si>
  <si>
    <t>Ratios: Expenses to Inventory FY3</t>
  </si>
  <si>
    <t>Ratios: ROE FY3</t>
  </si>
  <si>
    <t>Ratios: ROA FY3</t>
  </si>
  <si>
    <t>Ratios: RONA FY3</t>
  </si>
  <si>
    <t>Ratios: ROIC FY3</t>
  </si>
  <si>
    <t>Ratios: ROCE FY3</t>
  </si>
  <si>
    <t>Ratios: ROIIC  FY3</t>
  </si>
  <si>
    <t>Ratios: Gross Debt to Total Assets FY3</t>
  </si>
  <si>
    <t>Ratios: Leverage Index FY3</t>
  </si>
  <si>
    <t>Ratios: Net Debt to Equity FY3</t>
  </si>
  <si>
    <t>Ratios: Net Debt to EBITDA FY3</t>
  </si>
  <si>
    <t>Ratios: Current Ratio FY3</t>
  </si>
  <si>
    <t>Ratios: Cash Flow to Total Assets  FY3</t>
  </si>
  <si>
    <t>Ratios: Total Assets to Sales FY3</t>
  </si>
  <si>
    <t>Ratios: Accrual Analysis FY3</t>
  </si>
  <si>
    <t>Ratios: Receivable to Total Assets FY3</t>
  </si>
  <si>
    <t>Ratios: Working Capital/Sales FY3</t>
  </si>
  <si>
    <t>Ratios: CAPEX to Long term assets FY3</t>
  </si>
  <si>
    <t>Ratios: CAPEX to Sales FY3</t>
  </si>
  <si>
    <t>Ratios: Receivales to totals sales  FY3</t>
  </si>
  <si>
    <t>Ratios: Accrual Ratio FY3</t>
  </si>
  <si>
    <t>Ratios: Finance Cost to Interest bearing debt FY3</t>
  </si>
  <si>
    <t>Ratios: CAPEX to Inventory FY3</t>
  </si>
  <si>
    <t>Ratios: Operating Cash Flow to Net Income FY3</t>
  </si>
  <si>
    <t>Ratios: % growth in CFO to % growth in Sales FY3</t>
  </si>
  <si>
    <t>Ratios: CAPEX to Depreciation FY3</t>
  </si>
  <si>
    <t>Ratios: Cash Flow to Reinvestment FY3</t>
  </si>
  <si>
    <t>Ratios: Operating Cash on Total Assets FY3</t>
  </si>
  <si>
    <t>Ratios: Cash Conversion Cycle FY3</t>
  </si>
  <si>
    <t>Ratios: Cash Flow to Total Debt FY3</t>
  </si>
  <si>
    <t>Ratios: Cash Interest Cover FY3</t>
  </si>
  <si>
    <t>Ratios: Operating Cash Flow to Dividend payment FY3</t>
  </si>
  <si>
    <t>Ratios: Total Cash Flow Cover FY3</t>
  </si>
  <si>
    <t>Ratios: Free Cash Flow Yield  FY3</t>
  </si>
  <si>
    <t>Ratios: PEG FY3</t>
  </si>
  <si>
    <t>Ratios: P/E ratio FY3</t>
  </si>
  <si>
    <t>Ratios: P/B ratio FY3</t>
  </si>
  <si>
    <t>Ratios: P/Sales FY3</t>
  </si>
  <si>
    <t>Ratios: P/CFO FY3</t>
  </si>
  <si>
    <t>Ratios: Dividend yield FY3</t>
  </si>
  <si>
    <t>Ratios: Retentio ratio FY3</t>
  </si>
  <si>
    <t>Ratios: EV/EBITDA FY3</t>
  </si>
  <si>
    <t>Ratios: EV/Sales FY3</t>
  </si>
  <si>
    <t>Ratios: Operating Assets FY3</t>
  </si>
  <si>
    <t>Ratios: Operating Liabilities FY3</t>
  </si>
  <si>
    <t>Ratios: Net Operating Assets (NOA) FY3</t>
  </si>
  <si>
    <t>Ratios: Days Inventory Outstanding FY3</t>
  </si>
  <si>
    <t>Ratios: Days Sales Outstanding FY3</t>
  </si>
  <si>
    <t>Ratios: Days Payable Outstanding FY3</t>
  </si>
  <si>
    <t>Ratios: Gross Margin FY2</t>
  </si>
  <si>
    <t>Ratios: Operating Margin FY2</t>
  </si>
  <si>
    <t>Ratios: Profit Margin FY2</t>
  </si>
  <si>
    <t>Ratios: Dividend growth FY2</t>
  </si>
  <si>
    <t>Ratios: Interest Cover FY2</t>
  </si>
  <si>
    <t>Ratios: %Δ in GM / % Δ in TA FY2</t>
  </si>
  <si>
    <t>Ratios: EBITDA/Gross Profit FY2</t>
  </si>
  <si>
    <t>Ratios: Depreciation/EBITDA FY2</t>
  </si>
  <si>
    <t>Ratios: Cost to Income ratio FY2</t>
  </si>
  <si>
    <t>Ratios: Expenses to Inventory FY2</t>
  </si>
  <si>
    <t>Ratios: ROE FY2</t>
  </si>
  <si>
    <t>Ratios: ROA FY2</t>
  </si>
  <si>
    <t>Ratios: RONA FY2</t>
  </si>
  <si>
    <t>Ratios: ROIC FY2</t>
  </si>
  <si>
    <t>Ratios: ROCE FY2</t>
  </si>
  <si>
    <t>Ratios: ROIIC  FY2</t>
  </si>
  <si>
    <t>Ratios: Gross Debt to Total Assets FY2</t>
  </si>
  <si>
    <t>Ratios: Leverage Index FY2</t>
  </si>
  <si>
    <t>Ratios: Net Debt to Equity FY2</t>
  </si>
  <si>
    <t>Ratios: Net Debt to EBITDA FY2</t>
  </si>
  <si>
    <t>Ratios: Current Ratio FY2</t>
  </si>
  <si>
    <t>Ratios: Cash Flow to Total Assets  FY2</t>
  </si>
  <si>
    <t>Ratios: Total Assets to Sales FY2</t>
  </si>
  <si>
    <t>Ratios: Accrual Analysis FY2</t>
  </si>
  <si>
    <t>Ratios: Receivable to Total Assets FY2</t>
  </si>
  <si>
    <t>Ratios: Working Capital/Sales FY2</t>
  </si>
  <si>
    <t>Ratios: CAPEX to Long term assets FY2</t>
  </si>
  <si>
    <t>Ratios: CAPEX to Sales FY2</t>
  </si>
  <si>
    <t>Ratios: Receivales to totals sales  FY2</t>
  </si>
  <si>
    <t>Ratios: Accrual Ratio FY2</t>
  </si>
  <si>
    <t>Ratios: Finance Cost to Interest bearing debt FY2</t>
  </si>
  <si>
    <t>Ratios: CAPEX to Inventory FY2</t>
  </si>
  <si>
    <t>Ratios: Operating Cash Flow to Net Income FY2</t>
  </si>
  <si>
    <t>Ratios: % growth in CFO to % growth in Sales FY2</t>
  </si>
  <si>
    <t>Ratios: CAPEX to Depreciation FY2</t>
  </si>
  <si>
    <t>Ratios: Cash Flow to Reinvestment FY2</t>
  </si>
  <si>
    <t>Ratios: Operating Cash on Total Assets FY2</t>
  </si>
  <si>
    <t>Ratios: Cash Conversion Cycle FY2</t>
  </si>
  <si>
    <t>Ratios: Cash Flow to Total Debt FY2</t>
  </si>
  <si>
    <t>Ratios: Cash Interest Cover FY2</t>
  </si>
  <si>
    <t>Ratios: Operating Cash Flow to Dividend payment FY2</t>
  </si>
  <si>
    <t>Ratios: Total Cash Flow Cover FY2</t>
  </si>
  <si>
    <t>Ratios: Free Cash Flow Yield  FY2</t>
  </si>
  <si>
    <t>Ratios: PEG FY2</t>
  </si>
  <si>
    <t>Ratios: P/E ratio FY2</t>
  </si>
  <si>
    <t>Ratios: P/B ratio FY2</t>
  </si>
  <si>
    <t>Ratios: P/Sales FY2</t>
  </si>
  <si>
    <t>Ratios: P/CFO FY2</t>
  </si>
  <si>
    <t>Ratios: Dividend yield FY2</t>
  </si>
  <si>
    <t>Ratios: Retentio ratio FY2</t>
  </si>
  <si>
    <t>Ratios: EV/EBITDA FY2</t>
  </si>
  <si>
    <t>Ratios: EV/Sales FY2</t>
  </si>
  <si>
    <t>Ratios: Operating Assets FY2</t>
  </si>
  <si>
    <t>Ratios: Operating Liabilities FY2</t>
  </si>
  <si>
    <t>Ratios: Net Operating Assets (NOA) FY2</t>
  </si>
  <si>
    <t>Ratios: Days Inventory Outstanding FY2</t>
  </si>
  <si>
    <t>Ratios: Days Sales Outstanding FY2</t>
  </si>
  <si>
    <t>Ratios: Days Payable Outstanding FY2</t>
  </si>
  <si>
    <t>Ratios: Gross Margin FY1</t>
  </si>
  <si>
    <t>Ratios: Operating Margin FY1</t>
  </si>
  <si>
    <t>Ratios: Profit Margin FY1</t>
  </si>
  <si>
    <t>Ratios: Dividend growth FY1</t>
  </si>
  <si>
    <t>Ratios: Interest Cover FY1</t>
  </si>
  <si>
    <t>Ratios: %Δ in GM / % Δ in TA FY1</t>
  </si>
  <si>
    <t>Ratios: EBITDA/Gross Profit FY1</t>
  </si>
  <si>
    <t>Ratios: Depreciation/EBITDA FY1</t>
  </si>
  <si>
    <t>Ratios: Cost to Income ratio FY1</t>
  </si>
  <si>
    <t>Ratios: Expenses to Inventory FY1</t>
  </si>
  <si>
    <t>Ratios: ROE FY1</t>
  </si>
  <si>
    <t>Ratios: ROA FY1</t>
  </si>
  <si>
    <t>Ratios: RONA FY1</t>
  </si>
  <si>
    <t>Ratios: ROIC FY1</t>
  </si>
  <si>
    <t>Ratios: ROCE FY1</t>
  </si>
  <si>
    <t>Ratios: ROIIC  FY1</t>
  </si>
  <si>
    <t>Ratios: Gross Debt to Total Assets FY1</t>
  </si>
  <si>
    <t>Ratios: Leverage Index FY1</t>
  </si>
  <si>
    <t>Ratios: Net Debt to Equity FY1</t>
  </si>
  <si>
    <t>Ratios: Net Debt to EBITDA FY1</t>
  </si>
  <si>
    <t>Ratios: Current Ratio FY1</t>
  </si>
  <si>
    <t>Ratios: Cash Flow to Total Assets  FY1</t>
  </si>
  <si>
    <t>Ratios: Total Assets to Sales FY1</t>
  </si>
  <si>
    <t>Ratios: Accrual Analysis FY1</t>
  </si>
  <si>
    <t>Ratios: Receivable to Total Assets FY1</t>
  </si>
  <si>
    <t>Ratios: Working Capital/Sales FY1</t>
  </si>
  <si>
    <t>Ratios: CAPEX to Long term assets FY1</t>
  </si>
  <si>
    <t>Ratios: CAPEX to Sales FY1</t>
  </si>
  <si>
    <t>Ratios: Receivales to totals sales  FY1</t>
  </si>
  <si>
    <t>Ratios: Accrual Ratio FY1</t>
  </si>
  <si>
    <t>Ratios: Finance Cost to Interest bearing debt FY1</t>
  </si>
  <si>
    <t>Ratios: CAPEX to Inventory FY1</t>
  </si>
  <si>
    <t>Ratios: Operating Cash Flow to Net Income FY1</t>
  </si>
  <si>
    <t>Ratios: % growth in CFO to % growth in Sales FY1</t>
  </si>
  <si>
    <t>Ratios: CAPEX to Depreciation FY1</t>
  </si>
  <si>
    <t>Ratios: Cash Flow to Reinvestment FY1</t>
  </si>
  <si>
    <t>Ratios: Operating Cash on Total Assets FY1</t>
  </si>
  <si>
    <t>Ratios: Cash Conversion Cycle FY1</t>
  </si>
  <si>
    <t>Ratios: Cash Flow to Total Debt FY1</t>
  </si>
  <si>
    <t>Ratios: Cash Interest Cover FY1</t>
  </si>
  <si>
    <t>Ratios: Operating Cash Flow to Dividend payment FY1</t>
  </si>
  <si>
    <t>Ratios: Total Cash Flow Cover FY1</t>
  </si>
  <si>
    <t>Ratios: Free Cash Flow Yield  FY1</t>
  </si>
  <si>
    <t>Ratios: PEG FY1</t>
  </si>
  <si>
    <t>Ratios: P/E ratio FY1</t>
  </si>
  <si>
    <t>Ratios: P/B ratio FY1</t>
  </si>
  <si>
    <t>Ratios: P/Sales FY1</t>
  </si>
  <si>
    <t>Ratios: P/CFO FY1</t>
  </si>
  <si>
    <t>Ratios: Dividend yield FY1</t>
  </si>
  <si>
    <t>Ratios: Retentio ratio FY1</t>
  </si>
  <si>
    <t>Ratios: EV/EBITDA FY1</t>
  </si>
  <si>
    <t>Ratios: EV/Sales FY1</t>
  </si>
  <si>
    <t>Ratios: Operating Assets FY1</t>
  </si>
  <si>
    <t>Ratios: Operating Liabilities FY1</t>
  </si>
  <si>
    <t>Ratios: Net Operating Assets (NOA) FY1</t>
  </si>
  <si>
    <t>Ratios: Days Inventory Outstanding FY1</t>
  </si>
  <si>
    <t>Ratios: Days Sales Outstanding FY1</t>
  </si>
  <si>
    <t>Ratios: Days Payable Outstanding FY1</t>
  </si>
  <si>
    <t>Ratios: Gross Margin  FY0</t>
  </si>
  <si>
    <t>Ratios: Operating Margin  FY0</t>
  </si>
  <si>
    <t>Ratios: Profit Margin  FY0</t>
  </si>
  <si>
    <t>Ratios: Dividend growth  FY0</t>
  </si>
  <si>
    <t>Ratios: Interest Cover  FY0</t>
  </si>
  <si>
    <t>Ratios: %Δ in GM / % Δ in TA  FY0</t>
  </si>
  <si>
    <t>Ratios: EBITDA/Gross Profit  FY0</t>
  </si>
  <si>
    <t>Ratios: Depreciation/EBITDA  FY0</t>
  </si>
  <si>
    <t>Ratios: Cost to Income ratio  FY0</t>
  </si>
  <si>
    <t>Ratios: Expenses to Inventory  FY0</t>
  </si>
  <si>
    <t>Ratios: ROE  FY0</t>
  </si>
  <si>
    <t>Ratios: ROA  FY0</t>
  </si>
  <si>
    <t>Ratios: RONA  FY0</t>
  </si>
  <si>
    <t>Ratios: ROIC  FY0</t>
  </si>
  <si>
    <t>Ratios: ROCE  FY0</t>
  </si>
  <si>
    <t>Ratios: ROIIC   FY0</t>
  </si>
  <si>
    <t>Ratios: Gross Debt to Total Assets  FY0</t>
  </si>
  <si>
    <t>Ratios: Leverage Index  FY0</t>
  </si>
  <si>
    <t>Ratios: Net Debt to Equity  FY0</t>
  </si>
  <si>
    <t>Ratios: Net Debt to EBITDA  FY0</t>
  </si>
  <si>
    <t>Ratios: Current Ratio  FY0</t>
  </si>
  <si>
    <t>Ratios: Cash Flow to Total Assets   FY0</t>
  </si>
  <si>
    <t>Ratios: Total Assets to Sales  FY0</t>
  </si>
  <si>
    <t>Ratios: Accrual Analysis  FY0</t>
  </si>
  <si>
    <t>Ratios: Receivable to Total Assets  FY0</t>
  </si>
  <si>
    <t>Ratios: Working Capital/Sales  FY0</t>
  </si>
  <si>
    <t>Ratios: CAPEX to Long term assets  FY0</t>
  </si>
  <si>
    <t>Ratios: CAPEX to Sales  FY0</t>
  </si>
  <si>
    <t>Ratios: Receivales to totals sales   FY0</t>
  </si>
  <si>
    <t>Ratios: Accrual Ratio  FY0</t>
  </si>
  <si>
    <t>Ratios: Finance Cost to Interest bearing debt  FY0</t>
  </si>
  <si>
    <t>Ratios: CAPEX to Inventory  FY0</t>
  </si>
  <si>
    <t>Ratios: Operating Cash Flow to Net Income  FY0</t>
  </si>
  <si>
    <t>Ratios: % growth in CFO to % growth in Sales  FY0</t>
  </si>
  <si>
    <t>Ratios: CAPEX to Depreciation  FY0</t>
  </si>
  <si>
    <t>Ratios: Cash Flow to Reinvestment  FY0</t>
  </si>
  <si>
    <t>Ratios: Operating Cash on Total Assets  FY0</t>
  </si>
  <si>
    <t>Ratios: Cash Conversion Cycle  FY0</t>
  </si>
  <si>
    <t>Ratios: Cash Flow to Total Debt  FY0</t>
  </si>
  <si>
    <t>Ratios: Cash Interest Cover  FY0</t>
  </si>
  <si>
    <t>Ratios: Operating Cash Flow to Dividend payment  FY0</t>
  </si>
  <si>
    <t>Ratios: Total Cash Flow Cover  FY0</t>
  </si>
  <si>
    <t>Ratios: Free Cash Flow Yield   FY0</t>
  </si>
  <si>
    <t>Ratios: PEG  FY0</t>
  </si>
  <si>
    <t>Ratios: P/E ratio  FY0</t>
  </si>
  <si>
    <t>Ratios: P/B ratio  FY0</t>
  </si>
  <si>
    <t>Ratios: P/Sales  FY0</t>
  </si>
  <si>
    <t>Ratios: P/CFO  FY0</t>
  </si>
  <si>
    <t>Ratios: Dividend yield  FY0</t>
  </si>
  <si>
    <t>Ratios: Retentio ratio  FY0</t>
  </si>
  <si>
    <t>Ratios: EV/EBITDA  FY0</t>
  </si>
  <si>
    <t>Ratios: EV/Sales  FY0</t>
  </si>
  <si>
    <t>Ratios: Operating Assets  FY0</t>
  </si>
  <si>
    <t>Ratios: Operating Liabilities  FY0</t>
  </si>
  <si>
    <t>Ratios: Net Operating Assets (NOA)  FY0</t>
  </si>
  <si>
    <t>Ratios: Days Inventory Outstanding  FY0</t>
  </si>
  <si>
    <t>Ratios: Days Sales Outstanding  FY0</t>
  </si>
  <si>
    <t>Ratios: Days Payable Outstanding  FY0</t>
  </si>
  <si>
    <t>Ratios: Gross Margin  FY-1</t>
  </si>
  <si>
    <t>Ratios: Operating Margin  FY-1</t>
  </si>
  <si>
    <t>Ratios: Profit Margin  FY-1</t>
  </si>
  <si>
    <t>Ratios: Dividend growth  FY-1</t>
  </si>
  <si>
    <t>Ratios: Interest Cover  FY-1</t>
  </si>
  <si>
    <t>Ratios: %Δ in GM / % Δ in TA  FY-1</t>
  </si>
  <si>
    <t>Ratios: EBITDA/Gross Profit  FY-1</t>
  </si>
  <si>
    <t>Ratios: Depreciation/EBITDA  FY-1</t>
  </si>
  <si>
    <t>Ratios: Cost to Income ratio  FY-1</t>
  </si>
  <si>
    <t>Ratios: Expenses to Inventory  FY-1</t>
  </si>
  <si>
    <t>Ratios: ROE  FY-1</t>
  </si>
  <si>
    <t>Ratios: ROA  FY-1</t>
  </si>
  <si>
    <t>Ratios: RONA  FY-1</t>
  </si>
  <si>
    <t>Ratios: ROIC  FY-1</t>
  </si>
  <si>
    <t>Ratios: ROCE  FY-1</t>
  </si>
  <si>
    <t>Ratios: ROIIC   FY-1</t>
  </si>
  <si>
    <t>Ratios: Gross Debt to Total Assets  FY-1</t>
  </si>
  <si>
    <t>Ratios: Leverage Index  FY-1</t>
  </si>
  <si>
    <t>Ratios: Net Debt to Equity  FY-1</t>
  </si>
  <si>
    <t>Ratios: Net Debt to EBITDA  FY-1</t>
  </si>
  <si>
    <t>Ratios: Current Ratio  FY-1</t>
  </si>
  <si>
    <t>Ratios: Cash Flow to Total Assets   FY-1</t>
  </si>
  <si>
    <t>Ratios: Total Assets to Sales  FY-1</t>
  </si>
  <si>
    <t>Ratios: Accrual Analysis  FY-1</t>
  </si>
  <si>
    <t>Ratios: Receivable to Total Assets  FY-1</t>
  </si>
  <si>
    <t>Ratios: Working Capital/Sales  FY-1</t>
  </si>
  <si>
    <t>Ratios: CAPEX to Long term assets  FY-1</t>
  </si>
  <si>
    <t>Ratios: CAPEX to Sales  FY-1</t>
  </si>
  <si>
    <t>Ratios: Receivales to totals sales   FY-1</t>
  </si>
  <si>
    <t>Ratios: Accrual Ratio  FY-1</t>
  </si>
  <si>
    <t>Ratios: Finance Cost to Interest bearing debt  FY-1</t>
  </si>
  <si>
    <t>Ratios: CAPEX to Inventory  FY-1</t>
  </si>
  <si>
    <t>Ratios: Operating Cash Flow to Net Income  FY-1</t>
  </si>
  <si>
    <t>Ratios: % growth in CFO to % growth in Sales  FY-1</t>
  </si>
  <si>
    <t>Ratios: CAPEX to Depreciation  FY-1</t>
  </si>
  <si>
    <t>Ratios: Cash Flow to Reinvestment  FY-1</t>
  </si>
  <si>
    <t>Ratios: Operating Cash on Total Assets  FY-1</t>
  </si>
  <si>
    <t>Ratios: Cash Conversion Cycle  FY-1</t>
  </si>
  <si>
    <t>Ratios: Cash Flow to Total Debt  FY-1</t>
  </si>
  <si>
    <t>Ratios: Cash Interest Cover  FY-1</t>
  </si>
  <si>
    <t>Ratios: Operating Cash Flow to Dividend payment  FY-1</t>
  </si>
  <si>
    <t>Ratios: Total Cash Flow Cover  FY-1</t>
  </si>
  <si>
    <t>Ratios: Free Cash Flow Yield   FY-1</t>
  </si>
  <si>
    <t>Ratios: PEG  FY-1</t>
  </si>
  <si>
    <t>Ratios: P/E ratio  FY-1</t>
  </si>
  <si>
    <t>Ratios: P/B ratio  FY-1</t>
  </si>
  <si>
    <t>Ratios: P/Sales  FY-1</t>
  </si>
  <si>
    <t>Ratios: P/CFO  FY-1</t>
  </si>
  <si>
    <t>Ratios: Dividend yield  FY-1</t>
  </si>
  <si>
    <t>Ratios: Retentio ratio  FY-1</t>
  </si>
  <si>
    <t>Ratios: EV/EBITDA  FY-1</t>
  </si>
  <si>
    <t>Ratios: EV/Sales  FY-1</t>
  </si>
  <si>
    <t>Ratios: Operating Assets  FY-1</t>
  </si>
  <si>
    <t>Ratios: Operating Liabilities  FY-1</t>
  </si>
  <si>
    <t>Ratios: Net Operating Assets (NOA)  FY-1</t>
  </si>
  <si>
    <t>Ratios: Days Inventory Outstanding  FY-1</t>
  </si>
  <si>
    <t>Ratios: Days Sales Outstanding  FY-1</t>
  </si>
  <si>
    <t>Ratios: Days Payable Outstanding  FY-1</t>
  </si>
  <si>
    <t>Ratios: Gross Margin  FY-2</t>
  </si>
  <si>
    <t>Ratios: Operating Margin  FY-2</t>
  </si>
  <si>
    <t>Ratios: Profit Margin  FY-2</t>
  </si>
  <si>
    <t>Ratios: Dividend growth  FY-2</t>
  </si>
  <si>
    <t>Ratios: Interest Cover  FY-2</t>
  </si>
  <si>
    <t>Ratios: %Δ in GM / % Δ in TA  FY-2</t>
  </si>
  <si>
    <t>Ratios: EBITDA/Gross Profit  FY-2</t>
  </si>
  <si>
    <t>Ratios: Depreciation/EBITDA  FY-2</t>
  </si>
  <si>
    <t>Ratios: Cost to Income ratio  FY-2</t>
  </si>
  <si>
    <t>Ratios: Expenses to Inventory  FY-2</t>
  </si>
  <si>
    <t>Ratios: ROE  FY-2</t>
  </si>
  <si>
    <t>Ratios: ROA  FY-2</t>
  </si>
  <si>
    <t>Ratios: RONA  FY-2</t>
  </si>
  <si>
    <t>Ratios: ROIC  FY-2</t>
  </si>
  <si>
    <t>Ratios: ROCE  FY-2</t>
  </si>
  <si>
    <t>Ratios: ROIIC   FY-2</t>
  </si>
  <si>
    <t>Ratios: Gross Debt to Total Assets  FY-2</t>
  </si>
  <si>
    <t>Ratios: Leverage Index  FY-2</t>
  </si>
  <si>
    <t>Ratios: Net Debt to Equity  FY-2</t>
  </si>
  <si>
    <t>Ratios: Net Debt to EBITDA  FY-2</t>
  </si>
  <si>
    <t>Ratios: Current Ratio  FY-2</t>
  </si>
  <si>
    <t>Ratios: Cash Flow to Total Assets   FY-2</t>
  </si>
  <si>
    <t>Ratios: Total Assets to Sales  FY-2</t>
  </si>
  <si>
    <t>Ratios: Accrual Analysis  FY-2</t>
  </si>
  <si>
    <t>Ratios: Receivable to Total Assets  FY-2</t>
  </si>
  <si>
    <t>Ratios: Working Capital/Sales  FY-2</t>
  </si>
  <si>
    <t>Ratios: CAPEX to Long term assets  FY-2</t>
  </si>
  <si>
    <t>Ratios: CAPEX to Sales  FY-2</t>
  </si>
  <si>
    <t>Ratios: Receivales to totals sales   FY-2</t>
  </si>
  <si>
    <t>Ratios: Accrual Ratio  FY-2</t>
  </si>
  <si>
    <t>Ratios: Finance Cost to Interest bearing debt  FY-2</t>
  </si>
  <si>
    <t>Ratios: CAPEX to Inventory  FY-2</t>
  </si>
  <si>
    <t>Ratios: Operating Cash Flow to Net Income  FY-2</t>
  </si>
  <si>
    <t>Ratios: % growth in CFO to % growth in Sales  FY-2</t>
  </si>
  <si>
    <t>Ratios: CAPEX to Depreciation  FY-2</t>
  </si>
  <si>
    <t>Ratios: Cash Flow to Reinvestment  FY-2</t>
  </si>
  <si>
    <t>Ratios: Operating Cash on Total Assets  FY-2</t>
  </si>
  <si>
    <t>Ratios: Cash Conversion Cycle  FY-2</t>
  </si>
  <si>
    <t>Ratios: Cash Flow to Total Debt  FY-2</t>
  </si>
  <si>
    <t>Ratios: Cash Interest Cover  FY-2</t>
  </si>
  <si>
    <t>Ratios: Operating Cash Flow to Dividend payment  FY-2</t>
  </si>
  <si>
    <t>Ratios: Total Cash Flow Cover  FY-2</t>
  </si>
  <si>
    <t>Ratios: Free Cash Flow Yield   FY-2</t>
  </si>
  <si>
    <t>Ratios: PEG  FY-2</t>
  </si>
  <si>
    <t>Ratios: P/E ratio  FY-2</t>
  </si>
  <si>
    <t>Ratios: P/B ratio  FY-2</t>
  </si>
  <si>
    <t>Ratios: P/Sales  FY-2</t>
  </si>
  <si>
    <t>Ratios: P/CFO  FY-2</t>
  </si>
  <si>
    <t>Ratios: Dividend yield  FY-2</t>
  </si>
  <si>
    <t>Ratios: Retentio ratio  FY-2</t>
  </si>
  <si>
    <t>Ratios: EV/EBITDA  FY-2</t>
  </si>
  <si>
    <t>Ratios: EV/Sales  FY-2</t>
  </si>
  <si>
    <t>Ratios: Operating Assets  FY-2</t>
  </si>
  <si>
    <t>Ratios: Operating Liabilities  FY-2</t>
  </si>
  <si>
    <t>Ratios: Net Operating Assets (NOA)  FY-2</t>
  </si>
  <si>
    <t>Ratios: Days Inventory Outstanding  FY-2</t>
  </si>
  <si>
    <t>Ratios: Days Sales Outstanding  FY-2</t>
  </si>
  <si>
    <t>Ratios: Days Payable Outstanding  FY-2</t>
  </si>
  <si>
    <t>Ratios: Gross Margin  FY-3</t>
  </si>
  <si>
    <t>Ratios: Operating Margin  FY-3</t>
  </si>
  <si>
    <t>Ratios: Profit Margin  FY-3</t>
  </si>
  <si>
    <t>Ratios: Dividend growth  FY-3</t>
  </si>
  <si>
    <t>Ratios: Interest Cover  FY-3</t>
  </si>
  <si>
    <t>Ratios: %Δ in GM / % Δ in TA  FY-3</t>
  </si>
  <si>
    <t>Ratios: EBITDA/Gross Profit  FY-3</t>
  </si>
  <si>
    <t>Ratios: Depreciation/EBITDA  FY-3</t>
  </si>
  <si>
    <t>Ratios: Cost to Income ratio  FY-3</t>
  </si>
  <si>
    <t>Ratios: Expenses to Inventory  FY-3</t>
  </si>
  <si>
    <t>Ratios: ROE  FY-3</t>
  </si>
  <si>
    <t>Ratios: ROA  FY-3</t>
  </si>
  <si>
    <t>Ratios: RONA  FY-3</t>
  </si>
  <si>
    <t>Ratios: ROIC  FY-3</t>
  </si>
  <si>
    <t>Ratios: ROCE  FY-3</t>
  </si>
  <si>
    <t>Ratios: ROIIC   FY-3</t>
  </si>
  <si>
    <t>Ratios: Gross Debt to Total Assets  FY-3</t>
  </si>
  <si>
    <t>Ratios: Leverage Index  FY-3</t>
  </si>
  <si>
    <t>Ratios: Net Debt to Equity  FY-3</t>
  </si>
  <si>
    <t>Ratios: Net Debt to EBITDA  FY-3</t>
  </si>
  <si>
    <t>Ratios: Current Ratio  FY-3</t>
  </si>
  <si>
    <t>Ratios: Cash Flow to Total Assets   FY-3</t>
  </si>
  <si>
    <t>Ratios: Total Assets to Sales  FY-3</t>
  </si>
  <si>
    <t>Ratios: Accrual Analysis  FY-3</t>
  </si>
  <si>
    <t>Ratios: Receivable to Total Assets  FY-3</t>
  </si>
  <si>
    <t>Ratios: Working Capital/Sales  FY-3</t>
  </si>
  <si>
    <t>Ratios: CAPEX to Long term assets  FY-3</t>
  </si>
  <si>
    <t>Ratios: CAPEX to Sales  FY-3</t>
  </si>
  <si>
    <t>Ratios: Receivales to totals sales   FY-3</t>
  </si>
  <si>
    <t>Ratios: Accrual Ratio  FY-3</t>
  </si>
  <si>
    <t>Ratios: Finance Cost to Interest bearing debt  FY-3</t>
  </si>
  <si>
    <t>Ratios: CAPEX to Inventory  FY-3</t>
  </si>
  <si>
    <t>Ratios: Operating Cash Flow to Net Income  FY-3</t>
  </si>
  <si>
    <t>Ratios: % growth in CFO to % growth in Sales  FY-3</t>
  </si>
  <si>
    <t>Ratios: CAPEX to Depreciation  FY-3</t>
  </si>
  <si>
    <t>Ratios: Cash Flow to Reinvestment  FY-3</t>
  </si>
  <si>
    <t>Ratios: Operating Cash on Total Assets  FY-3</t>
  </si>
  <si>
    <t>Ratios: Cash Conversion Cycle  FY-3</t>
  </si>
  <si>
    <t>Ratios: Cash Flow to Total Debt  FY-3</t>
  </si>
  <si>
    <t>Ratios: Cash Interest Cover  FY-3</t>
  </si>
  <si>
    <t>Ratios: Operating Cash Flow to Dividend payment  FY-3</t>
  </si>
  <si>
    <t>Ratios: Total Cash Flow Cover  FY-3</t>
  </si>
  <si>
    <t>Ratios: Free Cash Flow Yield   FY-3</t>
  </si>
  <si>
    <t>Ratios: PEG  FY-3</t>
  </si>
  <si>
    <t>Ratios: P/E ratio  FY-3</t>
  </si>
  <si>
    <t>Ratios: P/B ratio  FY-3</t>
  </si>
  <si>
    <t>Ratios: P/Sales  FY-3</t>
  </si>
  <si>
    <t>Ratios: P/CFO  FY-3</t>
  </si>
  <si>
    <t>Ratios: Dividend yield  FY-3</t>
  </si>
  <si>
    <t>Ratios: Retentio ratio  FY-3</t>
  </si>
  <si>
    <t>Ratios: EV/EBITDA  FY-3</t>
  </si>
  <si>
    <t>Ratios: EV/Sales  FY-3</t>
  </si>
  <si>
    <t>Ratios: Operating Assets  FY-3</t>
  </si>
  <si>
    <t>Ratios: Operating Liabilities  FY-3</t>
  </si>
  <si>
    <t>Ratios: Net Operating Assets (NOA)  FY-3</t>
  </si>
  <si>
    <t>Ratios: Days Inventory Outstanding  FY-3</t>
  </si>
  <si>
    <t>Ratios: Days Sales Outstanding  FY-3</t>
  </si>
  <si>
    <t>Ratios: Days Payable Outstanding  FY-3</t>
  </si>
  <si>
    <t>Ratios: Gross Margin  FY-4</t>
  </si>
  <si>
    <t>Ratios: Operating Margin  FY-4</t>
  </si>
  <si>
    <t>Ratios: Profit Margin  FY-4</t>
  </si>
  <si>
    <t>Ratios: Dividend growth  FY-4</t>
  </si>
  <si>
    <t>Ratios: Interest Cover  FY-4</t>
  </si>
  <si>
    <t>Ratios: %Δ in GM / % Δ in TA  FY-4</t>
  </si>
  <si>
    <t>Ratios: EBITDA/Gross Profit  FY-4</t>
  </si>
  <si>
    <t>Ratios: Depreciation/EBITDA  FY-4</t>
  </si>
  <si>
    <t>Ratios: Cost to Income ratio  FY-4</t>
  </si>
  <si>
    <t>Ratios: Expenses to Inventory  FY-4</t>
  </si>
  <si>
    <t>Ratios: ROE  FY-4</t>
  </si>
  <si>
    <t>Ratios: ROA  FY-4</t>
  </si>
  <si>
    <t>Ratios: RONA  FY-4</t>
  </si>
  <si>
    <t>Ratios: ROIC  FY-4</t>
  </si>
  <si>
    <t>Ratios: ROCE  FY-4</t>
  </si>
  <si>
    <t>Ratios: ROIIC   FY-4</t>
  </si>
  <si>
    <t>Ratios: Gross Debt to Total Assets  FY-4</t>
  </si>
  <si>
    <t>Ratios: Leverage Index  FY-4</t>
  </si>
  <si>
    <t>Ratios: Net Debt to Equity  FY-4</t>
  </si>
  <si>
    <t>Ratios: Net Debt to EBITDA  FY-4</t>
  </si>
  <si>
    <t>Ratios: Current Ratio  FY-4</t>
  </si>
  <si>
    <t>Ratios: Cash Flow to Total Assets   FY-4</t>
  </si>
  <si>
    <t>Ratios: Total Assets to Sales  FY-4</t>
  </si>
  <si>
    <t>Ratios: Accrual Analysis  FY-4</t>
  </si>
  <si>
    <t>Ratios: Receivable to Total Assets  FY-4</t>
  </si>
  <si>
    <t>Ratios: Working Capital/Sales  FY-4</t>
  </si>
  <si>
    <t>Ratios: CAPEX to Long term assets  FY-4</t>
  </si>
  <si>
    <t>Ratios: CAPEX to Sales  FY-4</t>
  </si>
  <si>
    <t>Ratios: Receivales to totals sales   FY-4</t>
  </si>
  <si>
    <t>Ratios: Accrual Ratio  FY-4</t>
  </si>
  <si>
    <t>Ratios: Finance Cost to Interest bearing debt  FY-4</t>
  </si>
  <si>
    <t>Ratios: CAPEX to Inventory  FY-4</t>
  </si>
  <si>
    <t>Ratios: Operating Cash Flow to Net Income  FY-4</t>
  </si>
  <si>
    <t>Ratios: % growth in CFO to % growth in Sales  FY-4</t>
  </si>
  <si>
    <t>Ratios: CAPEX to Depreciation  FY-4</t>
  </si>
  <si>
    <t>Ratios: Cash Flow to Reinvestment  FY-4</t>
  </si>
  <si>
    <t>Ratios: Operating Cash on Total Assets  FY-4</t>
  </si>
  <si>
    <t>Ratios: Cash Conversion Cycle  FY-4</t>
  </si>
  <si>
    <t>Ratios: Cash Flow to Total Debt  FY-4</t>
  </si>
  <si>
    <t>Ratios: Cash Interest Cover  FY-4</t>
  </si>
  <si>
    <t>Ratios: Operating Cash Flow to Dividend payment  FY-4</t>
  </si>
  <si>
    <t>Ratios: Total Cash Flow Cover  FY-4</t>
  </si>
  <si>
    <t>Ratios: Free Cash Flow Yield   FY-4</t>
  </si>
  <si>
    <t>Ratios: PEG  FY-4</t>
  </si>
  <si>
    <t>Ratios: P/E ratio  FY-4</t>
  </si>
  <si>
    <t>Ratios: P/B ratio  FY-4</t>
  </si>
  <si>
    <t>Ratios: P/Sales  FY-4</t>
  </si>
  <si>
    <t>Ratios: P/CFO  FY-4</t>
  </si>
  <si>
    <t>Ratios: Dividend yield  FY-4</t>
  </si>
  <si>
    <t>Ratios: Retentio ratio  FY-4</t>
  </si>
  <si>
    <t>Ratios: EV/EBITDA  FY-4</t>
  </si>
  <si>
    <t>Ratios: EV/Sales  FY-4</t>
  </si>
  <si>
    <t>Ratios: Operating Assets  FY-4</t>
  </si>
  <si>
    <t>Ratios: Operating Liabilities  FY-4</t>
  </si>
  <si>
    <t>Ratios: Net Operating Assets (NOA)  FY-4</t>
  </si>
  <si>
    <t>Ratios: Days Inventory Outstanding  FY-4</t>
  </si>
  <si>
    <t>Ratios: Days Sales Outstanding  FY-4</t>
  </si>
  <si>
    <t>Ratios: Days Payable Outstanding  FY-4</t>
  </si>
  <si>
    <t>Ratios: Gross Margin  FY-5</t>
  </si>
  <si>
    <t>Ratios: Operating Margin  FY-5</t>
  </si>
  <si>
    <t>Ratios: Profit Margin  FY-5</t>
  </si>
  <si>
    <t>Ratios: Dividend growth  FY-5</t>
  </si>
  <si>
    <t>Ratios: Interest Cover  FY-5</t>
  </si>
  <si>
    <t>Ratios: %Δ in GM / % Δ in TA  FY-5</t>
  </si>
  <si>
    <t>Ratios: EBITDA/Gross Profit  FY-5</t>
  </si>
  <si>
    <t>Ratios: Depreciation/EBITDA  FY-5</t>
  </si>
  <si>
    <t>Ratios: Cost to Income ratio  FY-5</t>
  </si>
  <si>
    <t>Ratios: Expenses to Inventory  FY-5</t>
  </si>
  <si>
    <t>Ratios: ROE  FY-5</t>
  </si>
  <si>
    <t>Ratios: ROA  FY-5</t>
  </si>
  <si>
    <t>Ratios: RONA  FY-5</t>
  </si>
  <si>
    <t>Ratios: ROIC  FY-5</t>
  </si>
  <si>
    <t>Ratios: ROCE  FY-5</t>
  </si>
  <si>
    <t>Ratios: ROIIC   FY-5</t>
  </si>
  <si>
    <t>Ratios: Gross Debt to Total Assets  FY-5</t>
  </si>
  <si>
    <t>Ratios: Leverage Index  FY-5</t>
  </si>
  <si>
    <t>Ratios: Net Debt to Equity  FY-5</t>
  </si>
  <si>
    <t>Ratios: Net Debt to EBITDA  FY-5</t>
  </si>
  <si>
    <t>Ratios: Current Ratio  FY-5</t>
  </si>
  <si>
    <t>Ratios: Cash Flow to Total Assets   FY-5</t>
  </si>
  <si>
    <t>Ratios: Total Assets to Sales  FY-5</t>
  </si>
  <si>
    <t>Ratios: Accrual Analysis  FY-5</t>
  </si>
  <si>
    <t>Ratios: Receivable to Total Assets  FY-5</t>
  </si>
  <si>
    <t>Ratios: Working Capital/Sales  FY-5</t>
  </si>
  <si>
    <t>Ratios: CAPEX to Long term assets  FY-5</t>
  </si>
  <si>
    <t>Ratios: CAPEX to Sales  FY-5</t>
  </si>
  <si>
    <t>Ratios: Receivales to totals sales   FY-5</t>
  </si>
  <si>
    <t>Ratios: Accrual Ratio  FY-5</t>
  </si>
  <si>
    <t>Ratios: Finance Cost to Interest bearing debt  FY-5</t>
  </si>
  <si>
    <t>Ratios: CAPEX to Inventory  FY-5</t>
  </si>
  <si>
    <t>Ratios: Operating Cash Flow to Net Income  FY-5</t>
  </si>
  <si>
    <t>Ratios: % growth in CFO to % growth in Sales  FY-5</t>
  </si>
  <si>
    <t>Ratios: CAPEX to Depreciation  FY-5</t>
  </si>
  <si>
    <t>Ratios: Cash Flow to Reinvestment  FY-5</t>
  </si>
  <si>
    <t>Ratios: Operating Cash on Total Assets  FY-5</t>
  </si>
  <si>
    <t>Ratios: Cash Conversion Cycle  FY-5</t>
  </si>
  <si>
    <t>Ratios: Cash Flow to Total Debt  FY-5</t>
  </si>
  <si>
    <t>Ratios: Cash Interest Cover  FY-5</t>
  </si>
  <si>
    <t>Ratios: Operating Cash Flow to Dividend payment  FY-5</t>
  </si>
  <si>
    <t>Ratios: Total Cash Flow Cover  FY-5</t>
  </si>
  <si>
    <t>Ratios: Free Cash Flow Yield   FY-5</t>
  </si>
  <si>
    <t>Ratios: PEG  FY-5</t>
  </si>
  <si>
    <t>Ratios: P/E ratio  FY-5</t>
  </si>
  <si>
    <t>Ratios: P/B ratio  FY-5</t>
  </si>
  <si>
    <t>Ratios: P/Sales  FY-5</t>
  </si>
  <si>
    <t>Ratios: P/CFO  FY-5</t>
  </si>
  <si>
    <t>Ratios: Dividend yield  FY-5</t>
  </si>
  <si>
    <t>Ratios: Retentio ratio  FY-5</t>
  </si>
  <si>
    <t>Ratios: EV/EBITDA  FY-5</t>
  </si>
  <si>
    <t>Ratios: EV/Sales  FY-5</t>
  </si>
  <si>
    <t>Ratios: Operating Assets  FY-5</t>
  </si>
  <si>
    <t>Ratios: Operating Liabilities  FY-5</t>
  </si>
  <si>
    <t>Ratios: Net Operating Assets (NOA)  FY-5</t>
  </si>
  <si>
    <t>Ratios: Days Inventory Outstanding  FY-5</t>
  </si>
  <si>
    <t>Ratios: Days Sales Outstanding  FY-5</t>
  </si>
  <si>
    <t>Ratios: Days Payable Outstanding  FY-5</t>
  </si>
  <si>
    <t>Ratios: Gross Margin  FY-6</t>
  </si>
  <si>
    <t>Ratios: Operating Margin  FY-6</t>
  </si>
  <si>
    <t>Ratios: Profit Margin  FY-6</t>
  </si>
  <si>
    <t>Ratios: Dividend growth  FY-6</t>
  </si>
  <si>
    <t>Ratios: Interest Cover  FY-6</t>
  </si>
  <si>
    <t>Ratios: %Δ in GM / % Δ in TA  FY-6</t>
  </si>
  <si>
    <t>Ratios: EBITDA/Gross Profit  FY-6</t>
  </si>
  <si>
    <t>Ratios: Depreciation/EBITDA  FY-6</t>
  </si>
  <si>
    <t>Ratios: Cost to Income ratio  FY-6</t>
  </si>
  <si>
    <t>Ratios: Expenses to Inventory  FY-6</t>
  </si>
  <si>
    <t>Ratios: ROE  FY-6</t>
  </si>
  <si>
    <t>Ratios: ROA  FY-6</t>
  </si>
  <si>
    <t>Ratios: RONA  FY-6</t>
  </si>
  <si>
    <t>Ratios: ROIC  FY-6</t>
  </si>
  <si>
    <t>Ratios: ROCE  FY-6</t>
  </si>
  <si>
    <t>Ratios: ROIIC   FY-6</t>
  </si>
  <si>
    <t>Ratios: Gross Debt to Total Assets  FY-6</t>
  </si>
  <si>
    <t>Ratios: Leverage Index  FY-6</t>
  </si>
  <si>
    <t>Ratios: Net Debt to Equity  FY-6</t>
  </si>
  <si>
    <t>Ratios: Net Debt to EBITDA  FY-6</t>
  </si>
  <si>
    <t>Ratios: Current Ratio  FY-6</t>
  </si>
  <si>
    <t>Ratios: Cash Flow to Total Assets   FY-6</t>
  </si>
  <si>
    <t>Ratios: Total Assets to Sales  FY-6</t>
  </si>
  <si>
    <t>Ratios: Accrual Analysis  FY-6</t>
  </si>
  <si>
    <t>Ratios: Receivable to Total Assets  FY-6</t>
  </si>
  <si>
    <t>Ratios: Working Capital/Sales  FY-6</t>
  </si>
  <si>
    <t>Ratios: CAPEX to Long term assets  FY-6</t>
  </si>
  <si>
    <t>Ratios: CAPEX to Sales  FY-6</t>
  </si>
  <si>
    <t>Ratios: Receivales to totals sales   FY-6</t>
  </si>
  <si>
    <t>Ratios: Accrual Ratio  FY-6</t>
  </si>
  <si>
    <t>Ratios: Finance Cost to Interest bearing debt  FY-6</t>
  </si>
  <si>
    <t>Ratios: CAPEX to Inventory  FY-6</t>
  </si>
  <si>
    <t>Ratios: Operating Cash Flow to Net Income  FY-6</t>
  </si>
  <si>
    <t>Ratios: % growth in CFO to % growth in Sales  FY-6</t>
  </si>
  <si>
    <t>Ratios: CAPEX to Depreciation  FY-6</t>
  </si>
  <si>
    <t>Ratios: Cash Flow to Reinvestment  FY-6</t>
  </si>
  <si>
    <t>Ratios: Operating Cash on Total Assets  FY-6</t>
  </si>
  <si>
    <t>Ratios: Cash Conversion Cycle  FY-6</t>
  </si>
  <si>
    <t>Ratios: Cash Flow to Total Debt  FY-6</t>
  </si>
  <si>
    <t>Ratios: Cash Interest Cover  FY-6</t>
  </si>
  <si>
    <t>Ratios: Operating Cash Flow to Dividend payment  FY-6</t>
  </si>
  <si>
    <t>Ratios: Total Cash Flow Cover  FY-6</t>
  </si>
  <si>
    <t>Ratios: Free Cash Flow Yield   FY-6</t>
  </si>
  <si>
    <t>Ratios: PEG  FY-6</t>
  </si>
  <si>
    <t>Ratios: P/E ratio  FY-6</t>
  </si>
  <si>
    <t>Ratios: P/B ratio  FY-6</t>
  </si>
  <si>
    <t>Ratios: P/Sales  FY-6</t>
  </si>
  <si>
    <t>Ratios: P/CFO  FY-6</t>
  </si>
  <si>
    <t>Ratios: Dividend yield  FY-6</t>
  </si>
  <si>
    <t>Ratios: Retentio ratio  FY-6</t>
  </si>
  <si>
    <t>Ratios: EV/EBITDA  FY-6</t>
  </si>
  <si>
    <t>Ratios: EV/Sales  FY-6</t>
  </si>
  <si>
    <t>Ratios: Operating Assets  FY-6</t>
  </si>
  <si>
    <t>Ratios: Operating Liabilities  FY-6</t>
  </si>
  <si>
    <t>Ratios: Net Operating Assets (NOA)  FY-6</t>
  </si>
  <si>
    <t>Ratios: Days Inventory Outstanding  FY-6</t>
  </si>
  <si>
    <t>Ratios: Days Sales Outstanding  FY-6</t>
  </si>
  <si>
    <t>Ratios: Days Payable Outstanding  FY-6</t>
  </si>
  <si>
    <t>Ratios: Gross Margin  FY-7</t>
  </si>
  <si>
    <t>Ratios: Operating Margin  FY-7</t>
  </si>
  <si>
    <t>Ratios: Profit Margin  FY-7</t>
  </si>
  <si>
    <t>Ratios: Dividend growth  FY-7</t>
  </si>
  <si>
    <t>Ratios: Interest Cover  FY-7</t>
  </si>
  <si>
    <t>Ratios: %Δ in GM / % Δ in TA  FY-7</t>
  </si>
  <si>
    <t>Ratios: EBITDA/Gross Profit  FY-7</t>
  </si>
  <si>
    <t>Ratios: Depreciation/EBITDA  FY-7</t>
  </si>
  <si>
    <t>Ratios: Cost to Income ratio  FY-7</t>
  </si>
  <si>
    <t>Ratios: Expenses to Inventory  FY-7</t>
  </si>
  <si>
    <t>Ratios: ROE  FY-7</t>
  </si>
  <si>
    <t>Ratios: ROA  FY-7</t>
  </si>
  <si>
    <t>Ratios: RONA  FY-7</t>
  </si>
  <si>
    <t>Ratios: ROIC  FY-7</t>
  </si>
  <si>
    <t>Ratios: ROCE  FY-7</t>
  </si>
  <si>
    <t>Ratios: ROIIC   FY-7</t>
  </si>
  <si>
    <t>Ratios: Gross Debt to Total Assets  FY-7</t>
  </si>
  <si>
    <t>Ratios: Leverage Index  FY-7</t>
  </si>
  <si>
    <t>Ratios: Net Debt to Equity  FY-7</t>
  </si>
  <si>
    <t>Ratios: Net Debt to EBITDA  FY-7</t>
  </si>
  <si>
    <t>Ratios: Current Ratio  FY-7</t>
  </si>
  <si>
    <t>Ratios: Cash Flow to Total Assets   FY-7</t>
  </si>
  <si>
    <t>Ratios: Total Assets to Sales  FY-7</t>
  </si>
  <si>
    <t>Ratios: Accrual Analysis  FY-7</t>
  </si>
  <si>
    <t>Ratios: Receivable to Total Assets  FY-7</t>
  </si>
  <si>
    <t>Ratios: Working Capital/Sales  FY-7</t>
  </si>
  <si>
    <t>Ratios: CAPEX to Long term assets  FY-7</t>
  </si>
  <si>
    <t>Ratios: CAPEX to Sales  FY-7</t>
  </si>
  <si>
    <t>Ratios: Receivales to totals sales   FY-7</t>
  </si>
  <si>
    <t>Ratios: Accrual Ratio  FY-7</t>
  </si>
  <si>
    <t>Ratios: Finance Cost to Interest bearing debt  FY-7</t>
  </si>
  <si>
    <t>Ratios: CAPEX to Inventory  FY-7</t>
  </si>
  <si>
    <t>Ratios: Operating Cash Flow to Net Income  FY-7</t>
  </si>
  <si>
    <t>Ratios: % growth in CFO to % growth in Sales  FY-7</t>
  </si>
  <si>
    <t>Ratios: CAPEX to Depreciation  FY-7</t>
  </si>
  <si>
    <t>Ratios: Cash Flow to Reinvestment  FY-7</t>
  </si>
  <si>
    <t>Ratios: Operating Cash on Total Assets  FY-7</t>
  </si>
  <si>
    <t>Ratios: Cash Conversion Cycle  FY-7</t>
  </si>
  <si>
    <t>Ratios: Cash Flow to Total Debt  FY-7</t>
  </si>
  <si>
    <t>Ratios: Cash Interest Cover  FY-7</t>
  </si>
  <si>
    <t>Ratios: Operating Cash Flow to Dividend payment  FY-7</t>
  </si>
  <si>
    <t>Ratios: Total Cash Flow Cover  FY-7</t>
  </si>
  <si>
    <t>Ratios: Free Cash Flow Yield   FY-7</t>
  </si>
  <si>
    <t>Ratios: PEG  FY-7</t>
  </si>
  <si>
    <t>Ratios: P/E ratio  FY-7</t>
  </si>
  <si>
    <t>Ratios: P/B ratio  FY-7</t>
  </si>
  <si>
    <t>Ratios: P/Sales  FY-7</t>
  </si>
  <si>
    <t>Ratios: P/CFO  FY-7</t>
  </si>
  <si>
    <t>Ratios: Dividend yield  FY-7</t>
  </si>
  <si>
    <t>Ratios: Retentio ratio  FY-7</t>
  </si>
  <si>
    <t>Ratios: EV/EBITDA  FY-7</t>
  </si>
  <si>
    <t>Ratios: EV/Sales  FY-7</t>
  </si>
  <si>
    <t>Ratios: Operating Assets  FY-7</t>
  </si>
  <si>
    <t>Ratios: Operating Liabilities  FY-7</t>
  </si>
  <si>
    <t>Ratios: Net Operating Assets (NOA)  FY-7</t>
  </si>
  <si>
    <t>Ratios: Days Inventory Outstanding  FY-7</t>
  </si>
  <si>
    <t>Ratios: Days Sales Outstanding  FY-7</t>
  </si>
  <si>
    <t>Ratios: Days Payable Outstanding  FY-7</t>
  </si>
  <si>
    <t>Ratios: Gross Margin  FY-8</t>
  </si>
  <si>
    <t>Ratios: Operating Margin  FY-8</t>
  </si>
  <si>
    <t>Ratios: Profit Margin  FY-8</t>
  </si>
  <si>
    <t>Ratios: Dividend growth  FY-8</t>
  </si>
  <si>
    <t>Ratios: Interest Cover  FY-8</t>
  </si>
  <si>
    <t>Ratios: %Δ in GM / % Δ in TA  FY-8</t>
  </si>
  <si>
    <t>Ratios: EBITDA/Gross Profit  FY-8</t>
  </si>
  <si>
    <t>Ratios: Depreciation/EBITDA  FY-8</t>
  </si>
  <si>
    <t>Ratios: Cost to Income ratio  FY-8</t>
  </si>
  <si>
    <t>Ratios: Expenses to Inventory  FY-8</t>
  </si>
  <si>
    <t>Ratios: ROE  FY-8</t>
  </si>
  <si>
    <t>Ratios: ROA  FY-8</t>
  </si>
  <si>
    <t>Ratios: RONA  FY-8</t>
  </si>
  <si>
    <t>Ratios: ROIC  FY-8</t>
  </si>
  <si>
    <t>Ratios: ROCE  FY-8</t>
  </si>
  <si>
    <t>Ratios: ROIIC   FY-8</t>
  </si>
  <si>
    <t>Ratios: Gross Debt to Total Assets  FY-8</t>
  </si>
  <si>
    <t>Ratios: Leverage Index  FY-8</t>
  </si>
  <si>
    <t>Ratios: Net Debt to Equity  FY-8</t>
  </si>
  <si>
    <t>Ratios: Net Debt to EBITDA  FY-8</t>
  </si>
  <si>
    <t>Ratios: Current Ratio  FY-8</t>
  </si>
  <si>
    <t>Ratios: Cash Flow to Total Assets   FY-8</t>
  </si>
  <si>
    <t>Ratios: Total Assets to Sales  FY-8</t>
  </si>
  <si>
    <t>Ratios: Accrual Analysis  FY-8</t>
  </si>
  <si>
    <t>Ratios: Receivable to Total Assets  FY-8</t>
  </si>
  <si>
    <t>Ratios: Working Capital/Sales  FY-8</t>
  </si>
  <si>
    <t>Ratios: CAPEX to Long term assets  FY-8</t>
  </si>
  <si>
    <t>Ratios: CAPEX to Sales  FY-8</t>
  </si>
  <si>
    <t>Ratios: Receivales to totals sales   FY-8</t>
  </si>
  <si>
    <t>Ratios: Accrual Ratio  FY-8</t>
  </si>
  <si>
    <t>Ratios: Finance Cost to Interest bearing debt  FY-8</t>
  </si>
  <si>
    <t>Ratios: CAPEX to Inventory  FY-8</t>
  </si>
  <si>
    <t>Ratios: Operating Cash Flow to Net Income  FY-8</t>
  </si>
  <si>
    <t>Ratios: % growth in CFO to % growth in Sales  FY-8</t>
  </si>
  <si>
    <t>Ratios: CAPEX to Depreciation  FY-8</t>
  </si>
  <si>
    <t>Ratios: Cash Flow to Reinvestment  FY-8</t>
  </si>
  <si>
    <t>Ratios: Operating Cash on Total Assets  FY-8</t>
  </si>
  <si>
    <t>Ratios: Cash Conversion Cycle  FY-8</t>
  </si>
  <si>
    <t>Ratios: Cash Flow to Total Debt  FY-8</t>
  </si>
  <si>
    <t>Ratios: Cash Interest Cover  FY-8</t>
  </si>
  <si>
    <t>Ratios: Operating Cash Flow to Dividend payment  FY-8</t>
  </si>
  <si>
    <t>Ratios: Total Cash Flow Cover  FY-8</t>
  </si>
  <si>
    <t>Ratios: Free Cash Flow Yield   FY-8</t>
  </si>
  <si>
    <t>Ratios: PEG  FY-8</t>
  </si>
  <si>
    <t>Ratios: P/E ratio  FY-8</t>
  </si>
  <si>
    <t>Ratios: P/B ratio  FY-8</t>
  </si>
  <si>
    <t>Ratios: P/Sales  FY-8</t>
  </si>
  <si>
    <t>Ratios: P/CFO  FY-8</t>
  </si>
  <si>
    <t>Ratios: Dividend yield  FY-8</t>
  </si>
  <si>
    <t>Ratios: Retentio ratio  FY-8</t>
  </si>
  <si>
    <t>Ratios: EV/EBITDA  FY-8</t>
  </si>
  <si>
    <t>Ratios: EV/Sales  FY-8</t>
  </si>
  <si>
    <t>Ratios: Operating Assets  FY-8</t>
  </si>
  <si>
    <t>Ratios: Operating Liabilities  FY-8</t>
  </si>
  <si>
    <t>Ratios: Net Operating Assets (NOA)  FY-8</t>
  </si>
  <si>
    <t>Ratios: Days Inventory Outstanding  FY-8</t>
  </si>
  <si>
    <t>Ratios: Days Sales Outstanding  FY-8</t>
  </si>
  <si>
    <t>Ratios: Days Payable Outstanding  FY-8</t>
  </si>
  <si>
    <t>Ratios: Gross Margin  FY-9</t>
  </si>
  <si>
    <t>Ratios: Operating Margin  FY-9</t>
  </si>
  <si>
    <t>Ratios: Profit Margin  FY-9</t>
  </si>
  <si>
    <t>Ratios: Dividend growth  FY-9</t>
  </si>
  <si>
    <t>Ratios: Interest Cover  FY-9</t>
  </si>
  <si>
    <t>Ratios: %Δ in GM / % Δ in TA  FY-9</t>
  </si>
  <si>
    <t>Ratios: EBITDA/Gross Profit  FY-9</t>
  </si>
  <si>
    <t>Ratios: Depreciation/EBITDA  FY-9</t>
  </si>
  <si>
    <t>Ratios: Cost to Income ratio  FY-9</t>
  </si>
  <si>
    <t>Ratios: Expenses to Inventory  FY-9</t>
  </si>
  <si>
    <t>Ratios: ROE  FY-9</t>
  </si>
  <si>
    <t>Ratios: ROA  FY-9</t>
  </si>
  <si>
    <t>Ratios: RONA  FY-9</t>
  </si>
  <si>
    <t>Ratios: ROIC  FY-9</t>
  </si>
  <si>
    <t>Ratios: ROCE  FY-9</t>
  </si>
  <si>
    <t>Ratios: ROIIC   FY-9</t>
  </si>
  <si>
    <t>Ratios: Gross Debt to Total Assets  FY-9</t>
  </si>
  <si>
    <t>Ratios: Leverage Index  FY-9</t>
  </si>
  <si>
    <t>Ratios: Net Debt to Equity  FY-9</t>
  </si>
  <si>
    <t>Ratios: Net Debt to EBITDA  FY-9</t>
  </si>
  <si>
    <t>Ratios: Current Ratio  FY-9</t>
  </si>
  <si>
    <t>Ratios: Cash Flow to Total Assets   FY-9</t>
  </si>
  <si>
    <t>Ratios: Total Assets to Sales  FY-9</t>
  </si>
  <si>
    <t>Ratios: Accrual Analysis  FY-9</t>
  </si>
  <si>
    <t>Ratios: Receivable to Total Assets  FY-9</t>
  </si>
  <si>
    <t>Ratios: Working Capital/Sales  FY-9</t>
  </si>
  <si>
    <t>Ratios: CAPEX to Long term assets  FY-9</t>
  </si>
  <si>
    <t>Ratios: CAPEX to Sales  FY-9</t>
  </si>
  <si>
    <t>Ratios: Receivales to totals sales   FY-9</t>
  </si>
  <si>
    <t>Ratios: Accrual Ratio  FY-9</t>
  </si>
  <si>
    <t>Ratios: Finance Cost to Interest bearing debt  FY-9</t>
  </si>
  <si>
    <t>Ratios: CAPEX to Inventory  FY-9</t>
  </si>
  <si>
    <t>Ratios: Operating Cash Flow to Net Income  FY-9</t>
  </si>
  <si>
    <t>Ratios: % growth in CFO to % growth in Sales  FY-9</t>
  </si>
  <si>
    <t>Ratios: CAPEX to Depreciation  FY-9</t>
  </si>
  <si>
    <t>Ratios: Cash Flow to Reinvestment  FY-9</t>
  </si>
  <si>
    <t>Ratios: Operating Cash on Total Assets  FY-9</t>
  </si>
  <si>
    <t>Ratios: Cash Conversion Cycle  FY-9</t>
  </si>
  <si>
    <t>Ratios: Cash Flow to Total Debt  FY-9</t>
  </si>
  <si>
    <t>Ratios: Cash Interest Cover  FY-9</t>
  </si>
  <si>
    <t>Ratios: Operating Cash Flow to Dividend payment  FY-9</t>
  </si>
  <si>
    <t>Ratios: Total Cash Flow Cover  FY-9</t>
  </si>
  <si>
    <t>Ratios: Free Cash Flow Yield   FY-9</t>
  </si>
  <si>
    <t>Ratios: PEG  FY-9</t>
  </si>
  <si>
    <t>Ratios: P/E ratio  FY-9</t>
  </si>
  <si>
    <t>Ratios: P/B ratio  FY-9</t>
  </si>
  <si>
    <t>Ratios: P/Sales  FY-9</t>
  </si>
  <si>
    <t>Ratios: P/CFO  FY-9</t>
  </si>
  <si>
    <t>Ratios: Dividend yield  FY-9</t>
  </si>
  <si>
    <t>Ratios: Retentio ratio  FY-9</t>
  </si>
  <si>
    <t>Ratios: EV/EBITDA  FY-9</t>
  </si>
  <si>
    <t>Ratios: EV/Sales  FY-9</t>
  </si>
  <si>
    <t>Ratios: Operating Assets  FY-9</t>
  </si>
  <si>
    <t>Ratios: Operating Liabilities  FY-9</t>
  </si>
  <si>
    <t>Ratios: Net Operating Assets (NOA)  FY-9</t>
  </si>
  <si>
    <t>Ratios: Days Inventory Outstanding  FY-9</t>
  </si>
  <si>
    <t>Ratios: Days Sales Outstanding  FY-9</t>
  </si>
  <si>
    <t>Ratios: Days Payable Outstanding  FY-9</t>
  </si>
  <si>
    <t>Ratios: Gross Margin FY-10</t>
  </si>
  <si>
    <t>Ratios: Operating Margin FY-10</t>
  </si>
  <si>
    <t>Ratios: Profit Margin FY-10</t>
  </si>
  <si>
    <t>Ratios: Interest Cover FY-10</t>
  </si>
  <si>
    <t>Ratios: EBITDA/Gross Profit FY-10</t>
  </si>
  <si>
    <t>Ratios: Depreciation/EBITDA FY-10</t>
  </si>
  <si>
    <t>Ratios: Cost to Income ratio FY-10</t>
  </si>
  <si>
    <t>Ratios: Expenses to Inventory FY-10</t>
  </si>
  <si>
    <t>Ratios: ROE FY-10</t>
  </si>
  <si>
    <t>Ratios: ROA FY-10</t>
  </si>
  <si>
    <t>Ratios: RONA FY-10</t>
  </si>
  <si>
    <t>Ratios: ROIC FY-10</t>
  </si>
  <si>
    <t>Ratios: ROCE FY-10</t>
  </si>
  <si>
    <t>Ratios: Gross Debt to Total Assets FY-10</t>
  </si>
  <si>
    <t>Ratios: Net Debt to Equity FY-10</t>
  </si>
  <si>
    <t>Ratios: Net Debt to EBITDA FY-10</t>
  </si>
  <si>
    <t>Ratios: Current Ratio FY-10</t>
  </si>
  <si>
    <t>Ratios: Cash Flow to Total Assets  FY-10</t>
  </si>
  <si>
    <t>Ratios: Total Assets to Sales FY-10</t>
  </si>
  <si>
    <t>Ratios: Accrual Analysis FY-10</t>
  </si>
  <si>
    <t>Ratios: Receivable to Total Assets FY-10</t>
  </si>
  <si>
    <t>Ratios: Working Capital/Sales FY-10</t>
  </si>
  <si>
    <t>Ratios: CAPEX to Long term assets FY-10</t>
  </si>
  <si>
    <t>Ratios: CAPEX to Sales FY-10</t>
  </si>
  <si>
    <t>Ratios: Receivales to totals sales  FY-10</t>
  </si>
  <si>
    <t>Ratios: Accrual Ratio FY-10</t>
  </si>
  <si>
    <t>Ratios: Finance Cost to Interest bearing debt FY-10</t>
  </si>
  <si>
    <t>Ratios: CAPEX to Inventory FY-10</t>
  </si>
  <si>
    <t>Ratios: Operating Cash Flow to Net Income FY-10</t>
  </si>
  <si>
    <t>Ratios: CAPEX to Depreciation FY-10</t>
  </si>
  <si>
    <t>Ratios: Cash Flow to Reinvestment FY-10</t>
  </si>
  <si>
    <t>Ratios: Operating Cash on Total Assets FY-10</t>
  </si>
  <si>
    <t>Ratios: Cash Conversion Cycle FY-10</t>
  </si>
  <si>
    <t>Ratios: Cash Flow to Total Debt FY-10</t>
  </si>
  <si>
    <t>Ratios: Cash Interest Cover FY-10</t>
  </si>
  <si>
    <t>Ratios: Operating Cash Flow to Dividend payment FY-10</t>
  </si>
  <si>
    <t>Ratios: Total Cash Flow Cover FY-10</t>
  </si>
  <si>
    <t>Ratios: Free Cash Flow Yield  FY-10</t>
  </si>
  <si>
    <t>Ratios: PEG FY-10</t>
  </si>
  <si>
    <t>Ratios: P/E ratio FY-10</t>
  </si>
  <si>
    <t>Ratios: P/B ratio FY-10</t>
  </si>
  <si>
    <t>Ratios: P/Sales FY-10</t>
  </si>
  <si>
    <t>Ratios: P/CFO FY-10</t>
  </si>
  <si>
    <t>Ratios: Dividend yield FY-10</t>
  </si>
  <si>
    <t>Ratios: Retentio ratio FY-10</t>
  </si>
  <si>
    <t>Ratios: EV/EBITDA FY-10</t>
  </si>
  <si>
    <t>Ratios: EV/Sales FY-10</t>
  </si>
  <si>
    <t>Ratios: Operating Assets FY-10</t>
  </si>
  <si>
    <t>Ratios: Operating Liabilities FY-10</t>
  </si>
  <si>
    <t>Ratios: Net Operating Assets (NOA) FY-10</t>
  </si>
  <si>
    <t>Ratios: Days Inventory Outstanding FY-10</t>
  </si>
  <si>
    <t>Ratios: Days Sales Outstanding FY-10</t>
  </si>
  <si>
    <t>Ratios: Days Payable Outstanding FY-10</t>
  </si>
  <si>
    <t>Fcsts: Turnover Growth FY3</t>
  </si>
  <si>
    <t>Fcsts: Gross Margin FY3</t>
  </si>
  <si>
    <t>Fcsts: SGA Growth FY3</t>
  </si>
  <si>
    <t>Fcsts: Operating Margin FY3</t>
  </si>
  <si>
    <t>Fcsts: Funding Rate FY3</t>
  </si>
  <si>
    <t>Fcsts: Pretax Margin FY3</t>
  </si>
  <si>
    <t>Fcsts: Tax Rate FY3</t>
  </si>
  <si>
    <t>Fcsts: Net Margin FY3</t>
  </si>
  <si>
    <t>Fcsts: HEPS Growth FY3</t>
  </si>
  <si>
    <t>Fcsts: PO Ratio FY3</t>
  </si>
  <si>
    <t>Fcsts: Debt to Assets FY3</t>
  </si>
  <si>
    <t>Fcsts: Debt to EBITDA FY3</t>
  </si>
  <si>
    <t>Fcsts: Creditors to Sales FY3</t>
  </si>
  <si>
    <t>Fcsts: ST Borrowings to Sales FY3</t>
  </si>
  <si>
    <t>Fcsts: Other Curr L to Sales FY3</t>
  </si>
  <si>
    <t>Fcsts: Inventory to Sales FY3</t>
  </si>
  <si>
    <t>Fcsts: Acc&amp;Notes rec to Sales FY3</t>
  </si>
  <si>
    <t>Fcsts: Other Curr Assets to Sales FY3</t>
  </si>
  <si>
    <t>Fcsts: Turnover Growth FY1</t>
  </si>
  <si>
    <t>Fcsts: Gross Margin FY1</t>
  </si>
  <si>
    <t>Fcsts: SGA Growth FY1</t>
  </si>
  <si>
    <t>Fcsts: Operating Margin FY1</t>
  </si>
  <si>
    <t>Fcsts: Funding Rate FY1</t>
  </si>
  <si>
    <t>Fcsts: Pretax Margin FY1</t>
  </si>
  <si>
    <t>Fcsts: Tax Rate FY1</t>
  </si>
  <si>
    <t>Fcsts: Net Margin FY1</t>
  </si>
  <si>
    <t>Fcsts: HEPS Growth FY1</t>
  </si>
  <si>
    <t>Fcsts: PO Ratio FY1</t>
  </si>
  <si>
    <t>Fcsts: Debt to Assets FY1</t>
  </si>
  <si>
    <t>Fcsts: Debt to EBITDA FY1</t>
  </si>
  <si>
    <t>Fcsts: Creditors to Sales FY1</t>
  </si>
  <si>
    <t>Fcsts: ST Borrowings to Sales FY1</t>
  </si>
  <si>
    <t>Fcsts: Other Curr L to Sales FY1</t>
  </si>
  <si>
    <t>Fcsts: Inventory to Sales FY1</t>
  </si>
  <si>
    <t>Fcsts: Acc&amp;Notes rec to Sales FY1</t>
  </si>
  <si>
    <t>Fcsts: Other Curr Assets to Sales FY1</t>
  </si>
  <si>
    <t>Fcsts: Turnover Growth FY2</t>
  </si>
  <si>
    <t>Fcsts: Gross Margin FY2</t>
  </si>
  <si>
    <t>Fcsts: SGA Growth FY2</t>
  </si>
  <si>
    <t>Fcsts: Operating Margin FY2</t>
  </si>
  <si>
    <t>Fcsts: Funding Rate FY2</t>
  </si>
  <si>
    <t>Fcsts: Pretax Margin FY2</t>
  </si>
  <si>
    <t>Fcsts: Tax Rate FY2</t>
  </si>
  <si>
    <t>Fcsts: Net Margin FY2</t>
  </si>
  <si>
    <t>Fcsts: HEPS Growth FY2</t>
  </si>
  <si>
    <t>Fcsts: PO Ratio FY2</t>
  </si>
  <si>
    <t>Fcsts: Debt to Assets FY2</t>
  </si>
  <si>
    <t>Fcsts: Debt to EBITDA FY2</t>
  </si>
  <si>
    <t>Fcsts: Creditors to Sales FY2</t>
  </si>
  <si>
    <t>Fcsts: ST Borrowings to Sales FY2</t>
  </si>
  <si>
    <t>Fcsts: Other Curr L to Sales FY2</t>
  </si>
  <si>
    <t>Fcsts: Inventory to Sales FY2</t>
  </si>
  <si>
    <t>Fcsts: Acc&amp;Notes rec to Sales FY2</t>
  </si>
  <si>
    <t>Fcsts: Other Curr Assets to Sales FY2</t>
  </si>
  <si>
    <t>Sum of the Parts Valuation</t>
  </si>
  <si>
    <t>Attributable
%</t>
  </si>
  <si>
    <t>EBITDA FY1
$m</t>
  </si>
  <si>
    <t>High</t>
  </si>
  <si>
    <t>Mid</t>
  </si>
  <si>
    <t>Low</t>
  </si>
  <si>
    <t>Value
$m</t>
  </si>
  <si>
    <t>EV/sh
$</t>
  </si>
  <si>
    <t>Of total
%</t>
  </si>
  <si>
    <t>Associates</t>
  </si>
  <si>
    <t>Market value</t>
  </si>
  <si>
    <t>Subsidiaries</t>
  </si>
  <si>
    <t>Potential Acquisitions</t>
  </si>
  <si>
    <t>Acquisition at cost</t>
  </si>
  <si>
    <t>Group EV</t>
  </si>
  <si>
    <t>Net debt/Cash</t>
  </si>
  <si>
    <t>Holding Discount</t>
  </si>
  <si>
    <t>Fair value of equity</t>
  </si>
  <si>
    <t>Current share price</t>
  </si>
  <si>
    <t>Upside from current price</t>
  </si>
  <si>
    <t>Associate 1</t>
  </si>
  <si>
    <t>Associate 2</t>
  </si>
  <si>
    <t>Associate 3</t>
  </si>
  <si>
    <t>Associate 4</t>
  </si>
  <si>
    <t>Associate 5</t>
  </si>
  <si>
    <t>Subsidiary 1</t>
  </si>
  <si>
    <t>Subsidiary 2</t>
  </si>
  <si>
    <t>Subsidiary 3</t>
  </si>
  <si>
    <t>Subsidiary 4</t>
  </si>
  <si>
    <t>Subsidiary 5</t>
  </si>
  <si>
    <t>NAV: Holding Discount</t>
  </si>
  <si>
    <t>NAV: SOP Valuation</t>
  </si>
  <si>
    <t>NAV: Associates EV/Sh</t>
  </si>
  <si>
    <t>NAV: Subsidiaries EV/Sh</t>
  </si>
  <si>
    <t>NAV: Potential Acquisitions EV/Sh</t>
  </si>
  <si>
    <t>NAV: Group EV/Sh</t>
  </si>
  <si>
    <t>NAV: Net Debt/Cash EV/Sh</t>
  </si>
  <si>
    <t>NAV: SOP</t>
  </si>
  <si>
    <t>Associate 6</t>
  </si>
  <si>
    <t>Associate 7</t>
  </si>
  <si>
    <t>Associate 8</t>
  </si>
  <si>
    <t>Associate 9</t>
  </si>
  <si>
    <t>Associate 10</t>
  </si>
  <si>
    <t>Subsidiary 6</t>
  </si>
  <si>
    <t>Subsidiary 7</t>
  </si>
  <si>
    <t>Subsidiary 8</t>
  </si>
  <si>
    <t>Subsidiary 9</t>
  </si>
  <si>
    <t>Subsidiary 10</t>
  </si>
  <si>
    <t>Indus_Resi_Hlding_DCF_DuP_NAV DF 202105101</t>
  </si>
  <si>
    <t>YG - added inON template for NAV/SOP valuation</t>
  </si>
  <si>
    <t>YG/RJ - fixed DCF calcs</t>
  </si>
  <si>
    <t>Field</t>
  </si>
  <si>
    <t>Sheet</t>
  </si>
  <si>
    <t>Financials DF</t>
  </si>
  <si>
    <t>Fcsts</t>
  </si>
  <si>
    <t>Col Matches for Data to cater for asc dates in DCF and desc dates in Financials DF/Fcst</t>
  </si>
  <si>
    <t>Change in Long Term Borr</t>
  </si>
  <si>
    <t>PV Residual:</t>
  </si>
  <si>
    <t>DCF: PV Fcst/sh</t>
  </si>
  <si>
    <t>DCF: PV Fade/sh</t>
  </si>
  <si>
    <t>DCF: PV Residual/sh</t>
  </si>
  <si>
    <t>DCF: Enterprise Value/sh</t>
  </si>
  <si>
    <t>DCF: Shares in Issue</t>
  </si>
  <si>
    <t>Next FYE</t>
  </si>
  <si>
    <t>Fcsts!B105</t>
  </si>
  <si>
    <t>Fcsts!B108</t>
  </si>
  <si>
    <t>Fcsts!B19</t>
  </si>
  <si>
    <t>Fcsts!B11</t>
  </si>
  <si>
    <t>Fcsts: Change in Long Term Borrowings FY1</t>
  </si>
  <si>
    <t>Fcsts: Change in Long Term Borrowings FY2</t>
  </si>
  <si>
    <t>Fcsts: Change in Long Term Borrowings FY3</t>
  </si>
  <si>
    <t>FX - 1 year</t>
  </si>
  <si>
    <t>Average</t>
  </si>
  <si>
    <t># Obs</t>
  </si>
  <si>
    <t>Exchange Rates - 1 yr</t>
  </si>
  <si>
    <t>Recent Market Data</t>
  </si>
  <si>
    <t>Historic Monthly Market Data</t>
  </si>
  <si>
    <t>BS_LT_OPERATING_LEASE_LIABS</t>
  </si>
  <si>
    <t>Long Term Operating Lease Liabilities</t>
  </si>
  <si>
    <t>BS_LT_CPTL_LEA_AND_OP_LEA_LIABS</t>
  </si>
  <si>
    <t>Long Term Finance Lease And Operating Lease Liabs</t>
  </si>
  <si>
    <t>BS_ST_OPERATING_LEASE_LIABS</t>
  </si>
  <si>
    <t>Short Term Operating Lease Liabilities</t>
  </si>
  <si>
    <t>BS_ST_CPTL_LEA_AND_OP_LEA_LIABS</t>
  </si>
  <si>
    <t>Short Time Finance Lease And Operating Lease Liabs</t>
  </si>
  <si>
    <t>LONG_TERM_BORROWINGS_DETAILED</t>
  </si>
  <si>
    <t>Long Term Lease Liabilities</t>
  </si>
  <si>
    <t>Short Term Lease Liabilities</t>
  </si>
  <si>
    <t>SHORT_TERM_DEBT_DETAILED</t>
  </si>
  <si>
    <t>Short Term Borrowings Detailed</t>
  </si>
  <si>
    <t>Long Term Borrowings Detailed</t>
  </si>
  <si>
    <t>Short Term Borrowings</t>
  </si>
  <si>
    <t>Long Term Borrowings</t>
  </si>
  <si>
    <t>ZARZAR Curncy</t>
  </si>
  <si>
    <t>Mkt Cap (Monthly): ZAR</t>
  </si>
  <si>
    <t>Price (Monthly): ZAR</t>
  </si>
  <si>
    <t>#N/A N/A</t>
  </si>
  <si>
    <t>FY1 2019</t>
  </si>
  <si>
    <t>FY1 2018</t>
  </si>
  <si>
    <t>FY1 2017</t>
  </si>
  <si>
    <t>FY1 2016</t>
  </si>
  <si>
    <t>FY1 2015</t>
  </si>
  <si>
    <t>FY1 2014</t>
  </si>
  <si>
    <t>FY1 2013</t>
  </si>
  <si>
    <t>FY1 2012</t>
  </si>
  <si>
    <t>Currencies</t>
  </si>
  <si>
    <t>FY1 2020</t>
  </si>
  <si>
    <t>2. Click on the "Clear Old AFS data" button</t>
  </si>
  <si>
    <t>6. Click on the "Copy/Paste to Static Sheet" button to make a copy of the data to the "Financials DF" sheet and take you to that sheet.</t>
  </si>
  <si>
    <t>Change in LT Lease Liab</t>
  </si>
  <si>
    <t>Net Debt to Equity (incl Op Lease)</t>
  </si>
  <si>
    <t>Net Debt to EBITDA (incl Op Lease)</t>
  </si>
  <si>
    <t>Fcsts: Change in LT Lease Liab FY3</t>
  </si>
  <si>
    <t>Fcsts: Change in LT Lease Liab FY2</t>
  </si>
  <si>
    <t>Fcsts: Change in LT Lease Liab FY1</t>
  </si>
  <si>
    <t>Ratios: Net Debt to Equity (incl Op Leases) FY3</t>
  </si>
  <si>
    <t>Ratios: Net Debt to Equity (incl Op Leases) FY2</t>
  </si>
  <si>
    <t>Ratios: Net Debt to Equity (incl Op Leases) FY1</t>
  </si>
  <si>
    <t>Ratios: Net Debt to Equity (incl Op Leases)  FY0</t>
  </si>
  <si>
    <t>Ratios: Net Debt to Equity (incl Op Leases)  FY-1</t>
  </si>
  <si>
    <t>Ratios: Net Debt to Equity (incl Op Leases)  FY-2</t>
  </si>
  <si>
    <t>Ratios: Net Debt to Equity (incl Op Leases)  FY-3</t>
  </si>
  <si>
    <t>Ratios: Net Debt to Equity (incl Op Leases)  FY-4</t>
  </si>
  <si>
    <t>Ratios: Net Debt to Equity (incl Op Leases)  FY-5</t>
  </si>
  <si>
    <t>Ratios: Net Debt to Equity (incl Op Leases)  FY-6</t>
  </si>
  <si>
    <t>Ratios: Net Debt to Equity (incl Op Leases)  FY-7</t>
  </si>
  <si>
    <t>Ratios: Net Debt to Equity (incl Op Leases)  FY-8</t>
  </si>
  <si>
    <t>Ratios: Net Debt to Equity (incl Op Leases)  FY-9</t>
  </si>
  <si>
    <t>Ratios: Net Debt to Equity (incl Op Leases) FY-10</t>
  </si>
  <si>
    <t>Ratios: Net Debt to EBITDA (incl Op Leases) FY3</t>
  </si>
  <si>
    <t>Ratios: Net Debt to EBITDA (incl Op Leases) FY2</t>
  </si>
  <si>
    <t>Ratios: Net Debt to EBITDA (incl Op Leases) FY1</t>
  </si>
  <si>
    <t>Ratios: Net Debt to EBITDA (incl Op Leases)  FY0</t>
  </si>
  <si>
    <t>Ratios: Net Debt to EBITDA (incl Op Leases)  FY-1</t>
  </si>
  <si>
    <t>Ratios: Net Debt to EBITDA (incl Op Leases)  FY-2</t>
  </si>
  <si>
    <t>Ratios: Net Debt to EBITDA (incl Op Leases)  FY-3</t>
  </si>
  <si>
    <t>Ratios: Net Debt to EBITDA (incl Op Leases)  FY-4</t>
  </si>
  <si>
    <t>Ratios: Net Debt to EBITDA (incl Op Leases)  FY-5</t>
  </si>
  <si>
    <t>Ratios: Net Debt to EBITDA (incl Op Leases)  FY-6</t>
  </si>
  <si>
    <t>Ratios: Net Debt to EBITDA (incl Op Leases)  FY-7</t>
  </si>
  <si>
    <t>Ratios: Net Debt to EBITDA (incl Op Leases)  FY-8</t>
  </si>
  <si>
    <t>Ratios: Net Debt to EBITDA (incl Op Leases)  FY-9</t>
  </si>
  <si>
    <t>Ratios: Net Debt to EBITDA (incl Op Leases) FY-10</t>
  </si>
  <si>
    <t>Indus_Resi_Hlding_DCF_DuP_NAV DF 202106041</t>
  </si>
  <si>
    <t>YG/KN - added lease liab on Fcst sheet and Ratios</t>
  </si>
  <si>
    <t>YG changed BBG "Clear AFS" data function to remove only downloaded data</t>
  </si>
  <si>
    <t>Short Term Debt</t>
  </si>
  <si>
    <t>Long Term Debt</t>
  </si>
  <si>
    <t>Divisions</t>
  </si>
  <si>
    <t>Division 1</t>
  </si>
  <si>
    <t>Division 2</t>
  </si>
  <si>
    <t>Division 3</t>
  </si>
  <si>
    <t>Division 4</t>
  </si>
  <si>
    <t>Average LT EBITDA</t>
  </si>
  <si>
    <t>Average LT Commodity Prices</t>
  </si>
  <si>
    <t>Spot Commodity Prices</t>
  </si>
  <si>
    <t>Spot vs LT Commodity Price</t>
  </si>
  <si>
    <t>Adjusted EBITDA</t>
  </si>
  <si>
    <t>Division 5</t>
  </si>
  <si>
    <t>Division 6</t>
  </si>
  <si>
    <t xml:space="preserve">Division 7 </t>
  </si>
  <si>
    <t>Division 8</t>
  </si>
  <si>
    <t>Division 9</t>
  </si>
  <si>
    <t>Division 10</t>
  </si>
  <si>
    <t>TOTAL</t>
  </si>
  <si>
    <t>FCFF</t>
  </si>
  <si>
    <t>FCFF Calculation</t>
  </si>
  <si>
    <t>Depreciation x Tax Rate</t>
  </si>
  <si>
    <t>EBITDA x (1-Tax Rate)</t>
  </si>
  <si>
    <t>Average change in WC</t>
  </si>
  <si>
    <t>Average Capital Expenditure</t>
  </si>
  <si>
    <t>Total FCFF</t>
  </si>
  <si>
    <t>FCFE Calculation</t>
  </si>
  <si>
    <t>Interest x (1-Tax Rate)</t>
  </si>
  <si>
    <t>Net Borrowings</t>
  </si>
  <si>
    <t>Total FCFE</t>
  </si>
  <si>
    <t>Macro and Other Inputs</t>
  </si>
  <si>
    <t>USDZAR Rate</t>
  </si>
  <si>
    <t>Other 1</t>
  </si>
  <si>
    <t>Other 2</t>
  </si>
  <si>
    <t>Average Depreciation</t>
  </si>
  <si>
    <t>Average Interest</t>
  </si>
  <si>
    <t>na</t>
  </si>
  <si>
    <t>Cost of Equity (k)</t>
  </si>
  <si>
    <t>Perpetual Growth Rate (g)</t>
  </si>
  <si>
    <t>Fair Value</t>
  </si>
  <si>
    <t>Fair Value/s</t>
  </si>
  <si>
    <t>Current Share Price</t>
  </si>
  <si>
    <t>Upside/Downside</t>
  </si>
  <si>
    <t>Gross debt:</t>
  </si>
  <si>
    <t>PV Fcst:</t>
  </si>
  <si>
    <t>PV Fade:</t>
  </si>
  <si>
    <t>Tax rate:</t>
  </si>
  <si>
    <t>NTC SJ Equity</t>
  </si>
  <si>
    <t>NTC</t>
  </si>
  <si>
    <t>Health Care</t>
  </si>
  <si>
    <t>Health Care Providers</t>
  </si>
  <si>
    <t>Improved Capital Allocation Track record supports DCF valuation</t>
  </si>
  <si>
    <t>Good cash flow generation and capital allocation will allow dividends and buy-backs</t>
  </si>
  <si>
    <t>Management credibility improving</t>
  </si>
  <si>
    <t>Lack of diversification - SA Focussed</t>
  </si>
  <si>
    <t>Very cheap valuation supported by post Covid recovery in earnings and dividends</t>
  </si>
  <si>
    <t>Management confident of earnings recovery but concerns around Covid waves remain</t>
  </si>
  <si>
    <t>Market skeptical around SA Covid and Macro risk</t>
  </si>
  <si>
    <t>NETCARE LTD</t>
  </si>
  <si>
    <t>Health Care Facilities</t>
  </si>
  <si>
    <t>FY1 2021</t>
  </si>
  <si>
    <t>EBITDA Margin</t>
  </si>
  <si>
    <t>Post Covid recovery supports higher revenue growth and margins</t>
  </si>
  <si>
    <t>FY1 2022</t>
  </si>
  <si>
    <t>GET|CUR_MKT_CAP|NTC SJ Equity|START|20230215|MONTHSLASTDAY|156</t>
  </si>
  <si>
    <t>GET|PX_Last|NTC SJ Equity|START|20230215|MONTHSLASTDAY|156</t>
  </si>
  <si>
    <t>GET|PX_Last|ZARZAR Curncy|START|20230215|MONTHSLASTDAY|156</t>
  </si>
  <si>
    <t>GET|CUR_MKT_CAP|NTC SJ Equity|START|20230215|DAYS|30</t>
  </si>
  <si>
    <t>GET|PX_Last|NTC SJ Equity|START|20230215|DAYS|30</t>
  </si>
  <si>
    <t>GET|PX_Last|EURZAR Curncy|START|20230215|DAYS|198</t>
  </si>
  <si>
    <t>Long terms margins under pressure due to slower PMI growth and high costs</t>
  </si>
  <si>
    <t>NHI Risks to business model - higher cost of capital</t>
  </si>
  <si>
    <t>FY 3</t>
  </si>
  <si>
    <t xml:space="preserve">FY2 </t>
  </si>
  <si>
    <t xml:space="preserve">Hospital &amp; Pharmacy Ops. </t>
  </si>
  <si>
    <t xml:space="preserve">Non-acute services </t>
  </si>
  <si>
    <t xml:space="preserve">Primary Care </t>
  </si>
  <si>
    <t xml:space="preserve">Services </t>
  </si>
  <si>
    <t xml:space="preserve">Hospital &amp; Emergency Services </t>
  </si>
  <si>
    <t xml:space="preserve">Total </t>
  </si>
  <si>
    <t xml:space="preserve">Cost of Goods Sold </t>
  </si>
  <si>
    <t xml:space="preserve">GP </t>
  </si>
  <si>
    <t xml:space="preserve">GP Margin % </t>
  </si>
  <si>
    <t xml:space="preserve">Operating Exp. </t>
  </si>
  <si>
    <t>Growth %</t>
  </si>
  <si>
    <t xml:space="preserve">% of Sales </t>
  </si>
  <si>
    <t xml:space="preserve">Admin and Other Expenses </t>
  </si>
  <si>
    <t xml:space="preserve">Impairments of Fin assets </t>
  </si>
  <si>
    <t xml:space="preserve">Operating Profit </t>
  </si>
  <si>
    <t xml:space="preserve">Loadshedding </t>
  </si>
  <si>
    <t xml:space="preserve">Base </t>
  </si>
  <si>
    <t xml:space="preserve">Bear </t>
  </si>
  <si>
    <t xml:space="preserve">Bull </t>
  </si>
  <si>
    <t xml:space="preserve">Exp growth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</si>
</sst>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 #,##0.00_-;_-* &quot;-&quot;??_-;_-@_-"/>
    <numFmt numFmtId="164" formatCode="_(* #,##0.00_);_(* \(#,##0.00\);_(* &quot;-&quot;??_);_(@_)"/>
    <numFmt numFmtId="165" formatCode="_ * #,##0.00_ ;_ * \-#,##0.00_ ;_ * &quot;-&quot;??_ ;_ @_ "/>
    <numFmt numFmtId="166" formatCode="0_);\(0\)"/>
    <numFmt numFmtId="167" formatCode="0.0%"/>
    <numFmt numFmtId="168" formatCode="0.0_);\(0.0\)"/>
    <numFmt numFmtId="169" formatCode="0.00_);\(0.00\)"/>
    <numFmt numFmtId="170" formatCode="0.000_);\(0.000\)"/>
    <numFmt numFmtId="171" formatCode="0.00000_);\(0.00000\)"/>
    <numFmt numFmtId="172" formatCode="0.00000"/>
    <numFmt numFmtId="173" formatCode="_(* #,##0.0_);_(* \(#,##0.0\);_(* &quot;-&quot;??_);_(@_)"/>
    <numFmt numFmtId="174" formatCode="_(* #,##0_);_(* \(#,##0\);_(* &quot;-&quot;??_);_(@_)"/>
    <numFmt numFmtId="175" formatCode="_ * #,##0.0_ ;_ * \-#,##0.0_ ;_ * &quot;-&quot;??_ ;_ @_ "/>
    <numFmt numFmtId="176" formatCode="_ * #,##0_ ;_ * \-#,##0_ ;_ * &quot;-&quot;??_ ;_ @_ "/>
    <numFmt numFmtId="177" formatCode="[$-1C09]dd\ mmmm\ yyyy;@"/>
    <numFmt numFmtId="178" formatCode="[$-409]d/mmm/yy;@"/>
    <numFmt numFmtId="179" formatCode="#,##0.0000"/>
    <numFmt numFmtId="180" formatCode="0.0\x"/>
    <numFmt numFmtId="181" formatCode="_(* #,##0_);_(* \(#,##0\);"/>
  </numFmts>
  <fonts count="67" x14ac:knownFonts="1">
    <font>
      <sz val="10"/>
      <name val="Arial Narrow"/>
      <family val="2"/>
    </font>
    <font>
      <sz val="11"/>
      <color theme="1"/>
      <name val="Arial"/>
      <family val="2"/>
      <scheme val="minor"/>
    </font>
    <font>
      <sz val="11"/>
      <color theme="1"/>
      <name val="Arial"/>
      <family val="2"/>
      <scheme val="minor"/>
    </font>
    <font>
      <sz val="10"/>
      <name val="Arial"/>
      <family val="2"/>
    </font>
    <font>
      <sz val="10"/>
      <name val="Arial Narrow"/>
      <family val="2"/>
    </font>
    <font>
      <sz val="10"/>
      <color indexed="10"/>
      <name val="Arial Narrow"/>
      <family val="2"/>
    </font>
    <font>
      <sz val="10"/>
      <color indexed="12"/>
      <name val="Arial Narrow"/>
      <family val="2"/>
    </font>
    <font>
      <sz val="10"/>
      <color indexed="8"/>
      <name val="Arial Narrow"/>
      <family val="2"/>
    </font>
    <font>
      <b/>
      <sz val="10"/>
      <color indexed="9"/>
      <name val="Arial Narrow"/>
      <family val="2"/>
    </font>
    <font>
      <b/>
      <sz val="10"/>
      <color indexed="16"/>
      <name val="Arial Narrow"/>
      <family val="2"/>
    </font>
    <font>
      <b/>
      <sz val="10"/>
      <color indexed="8"/>
      <name val="Arial Narrow"/>
      <family val="2"/>
    </font>
    <font>
      <b/>
      <sz val="10"/>
      <name val="Arial Narrow"/>
      <family val="2"/>
    </font>
    <font>
      <sz val="10"/>
      <name val="Arial"/>
      <family val="2"/>
    </font>
    <font>
      <sz val="9"/>
      <color indexed="81"/>
      <name val="Tahoma"/>
      <family val="2"/>
    </font>
    <font>
      <b/>
      <sz val="9"/>
      <color indexed="81"/>
      <name val="Tahoma"/>
      <family val="2"/>
    </font>
    <font>
      <b/>
      <sz val="11"/>
      <name val="Arial"/>
      <family val="2"/>
      <scheme val="major"/>
    </font>
    <font>
      <sz val="10"/>
      <name val="Arial"/>
      <family val="2"/>
      <scheme val="major"/>
    </font>
    <font>
      <sz val="10"/>
      <color rgb="FFFF0000"/>
      <name val="Arial"/>
      <family val="2"/>
      <scheme val="major"/>
    </font>
    <font>
      <b/>
      <sz val="10"/>
      <name val="Arial"/>
      <family val="2"/>
      <scheme val="major"/>
    </font>
    <font>
      <sz val="36"/>
      <name val="Arial"/>
      <family val="2"/>
      <scheme val="major"/>
    </font>
    <font>
      <b/>
      <sz val="10"/>
      <color rgb="FFFF0000"/>
      <name val="Arial"/>
      <family val="2"/>
      <scheme val="major"/>
    </font>
    <font>
      <b/>
      <u/>
      <sz val="11"/>
      <name val="Arial"/>
      <family val="2"/>
      <scheme val="major"/>
    </font>
    <font>
      <sz val="11"/>
      <name val="Arial"/>
      <family val="2"/>
      <scheme val="major"/>
    </font>
    <font>
      <sz val="11"/>
      <color rgb="FFFF0000"/>
      <name val="Arial"/>
      <family val="2"/>
      <scheme val="major"/>
    </font>
    <font>
      <b/>
      <sz val="10"/>
      <color indexed="10"/>
      <name val="Arial"/>
      <family val="2"/>
      <scheme val="major"/>
    </font>
    <font>
      <b/>
      <u/>
      <sz val="10"/>
      <color indexed="12"/>
      <name val="Arial"/>
      <family val="2"/>
      <scheme val="major"/>
    </font>
    <font>
      <b/>
      <u/>
      <sz val="12"/>
      <name val="Arial"/>
      <family val="2"/>
      <scheme val="major"/>
    </font>
    <font>
      <b/>
      <sz val="11"/>
      <color theme="3"/>
      <name val="Arial"/>
      <family val="2"/>
      <scheme val="major"/>
    </font>
    <font>
      <b/>
      <sz val="10"/>
      <color indexed="9"/>
      <name val="Arial"/>
      <family val="2"/>
      <scheme val="major"/>
    </font>
    <font>
      <b/>
      <sz val="10"/>
      <color indexed="16"/>
      <name val="Arial"/>
      <family val="2"/>
      <scheme val="major"/>
    </font>
    <font>
      <sz val="10"/>
      <color indexed="12"/>
      <name val="Arial"/>
      <family val="2"/>
      <scheme val="major"/>
    </font>
    <font>
      <b/>
      <sz val="10"/>
      <color indexed="8"/>
      <name val="Arial"/>
      <family val="2"/>
      <scheme val="major"/>
    </font>
    <font>
      <sz val="10"/>
      <color indexed="8"/>
      <name val="Arial"/>
      <family val="2"/>
      <scheme val="major"/>
    </font>
    <font>
      <sz val="10"/>
      <color indexed="60"/>
      <name val="Arial"/>
      <family val="2"/>
      <scheme val="major"/>
    </font>
    <font>
      <b/>
      <sz val="10"/>
      <color rgb="FFE11F2C"/>
      <name val="Arial"/>
      <family val="2"/>
      <scheme val="major"/>
    </font>
    <font>
      <sz val="10"/>
      <color rgb="FFE11F2C"/>
      <name val="Arial"/>
      <family val="2"/>
      <scheme val="major"/>
    </font>
    <font>
      <sz val="10"/>
      <color theme="1"/>
      <name val="Arial"/>
      <family val="2"/>
      <scheme val="major"/>
    </font>
    <font>
      <b/>
      <sz val="10"/>
      <color theme="1"/>
      <name val="Arial"/>
      <family val="2"/>
      <scheme val="major"/>
    </font>
    <font>
      <b/>
      <sz val="10"/>
      <name val="Arial"/>
      <family val="2"/>
    </font>
    <font>
      <sz val="11"/>
      <name val="Arial Narrow"/>
      <family val="2"/>
    </font>
    <font>
      <sz val="10"/>
      <color theme="0"/>
      <name val="Arial"/>
      <family val="2"/>
      <scheme val="major"/>
    </font>
    <font>
      <b/>
      <sz val="10"/>
      <color theme="0"/>
      <name val="Arial"/>
      <family val="2"/>
      <scheme val="major"/>
    </font>
    <font>
      <b/>
      <sz val="10"/>
      <color theme="0"/>
      <name val="Arial"/>
      <family val="2"/>
    </font>
    <font>
      <b/>
      <sz val="10"/>
      <name val="Arial"/>
      <family val="2"/>
      <scheme val="minor"/>
    </font>
    <font>
      <sz val="10"/>
      <name val="Arial"/>
      <family val="2"/>
      <scheme val="minor"/>
    </font>
    <font>
      <sz val="10"/>
      <color rgb="FFFF0000"/>
      <name val="Arial"/>
      <family val="2"/>
    </font>
    <font>
      <sz val="10"/>
      <name val="Calibri"/>
      <family val="2"/>
    </font>
    <font>
      <sz val="10"/>
      <color theme="0" tint="-0.499984740745262"/>
      <name val="Arial Narrow"/>
      <family val="2"/>
    </font>
    <font>
      <sz val="10"/>
      <color theme="1" tint="0.499984740745262"/>
      <name val="Arial"/>
      <family val="2"/>
      <scheme val="major"/>
    </font>
    <font>
      <sz val="10"/>
      <color rgb="FFFF0000"/>
      <name val="Arial Narrow"/>
      <family val="2"/>
    </font>
    <font>
      <b/>
      <sz val="10"/>
      <color rgb="FFFF0000"/>
      <name val="Arial"/>
      <family val="2"/>
    </font>
    <font>
      <u/>
      <sz val="10"/>
      <color theme="10"/>
      <name val="Arial Narrow"/>
      <family val="2"/>
    </font>
    <font>
      <u/>
      <sz val="10"/>
      <color theme="10"/>
      <name val="Arial"/>
      <family val="2"/>
      <scheme val="major"/>
    </font>
    <font>
      <sz val="10"/>
      <color theme="0" tint="-0.34998626667073579"/>
      <name val="Arial"/>
      <family val="2"/>
      <scheme val="major"/>
    </font>
    <font>
      <sz val="10"/>
      <color rgb="FF000000"/>
      <name val="Arial"/>
      <family val="2"/>
    </font>
    <font>
      <sz val="8"/>
      <name val="Arial Narrow"/>
      <family val="2"/>
    </font>
    <font>
      <b/>
      <sz val="10"/>
      <color indexed="9"/>
      <name val="Arial"/>
      <family val="2"/>
    </font>
    <font>
      <sz val="10"/>
      <color theme="1" tint="0.34998626667073579"/>
      <name val="Arial"/>
      <family val="2"/>
      <scheme val="major"/>
    </font>
    <font>
      <b/>
      <sz val="14"/>
      <name val="Arial"/>
      <family val="2"/>
      <scheme val="major"/>
    </font>
    <font>
      <b/>
      <sz val="10"/>
      <name val="Calibri"/>
      <family val="2"/>
    </font>
    <font>
      <b/>
      <sz val="10"/>
      <color theme="0"/>
      <name val="Calibri"/>
      <family val="2"/>
    </font>
    <font>
      <b/>
      <sz val="11"/>
      <color theme="0"/>
      <name val="Calibri"/>
      <family val="2"/>
    </font>
    <font>
      <sz val="11"/>
      <color theme="0"/>
      <name val="Calibri"/>
      <family val="2"/>
    </font>
    <font>
      <sz val="12"/>
      <name val="Arial Nova"/>
      <family val="2"/>
    </font>
    <font>
      <b/>
      <sz val="12"/>
      <name val="Arial Nova"/>
      <family val="2"/>
    </font>
    <font>
      <b/>
      <u/>
      <sz val="12"/>
      <name val="Arial Nova"/>
      <family val="2"/>
    </font>
    <font>
      <sz val="10"/>
      <name val="Arial Nova"/>
      <family val="2"/>
    </font>
  </fonts>
  <fills count="41">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1"/>
        <bgColor indexed="64"/>
      </patternFill>
    </fill>
    <fill>
      <patternFill patternType="solid">
        <fgColor indexed="26"/>
        <bgColor indexed="64"/>
      </patternFill>
    </fill>
    <fill>
      <patternFill patternType="solid">
        <fgColor indexed="13"/>
        <bgColor indexed="64"/>
      </patternFill>
    </fill>
    <fill>
      <patternFill patternType="solid">
        <fgColor indexed="45"/>
        <bgColor indexed="64"/>
      </patternFill>
    </fill>
    <fill>
      <patternFill patternType="solid">
        <fgColor indexed="20"/>
        <bgColor indexed="64"/>
      </patternFill>
    </fill>
    <fill>
      <patternFill patternType="solid">
        <fgColor indexed="18"/>
        <bgColor indexed="64"/>
      </patternFill>
    </fill>
    <fill>
      <patternFill patternType="solid">
        <fgColor indexed="47"/>
        <bgColor indexed="64"/>
      </patternFill>
    </fill>
    <fill>
      <patternFill patternType="solid">
        <fgColor indexed="43"/>
        <bgColor indexed="64"/>
      </patternFill>
    </fill>
    <fill>
      <patternFill patternType="solid">
        <fgColor rgb="FFFFFFCC"/>
        <bgColor indexed="64"/>
      </patternFill>
    </fill>
    <fill>
      <patternFill patternType="solid">
        <fgColor theme="3"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rgb="FFFFFF99"/>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042438"/>
        <bgColor indexed="64"/>
      </patternFill>
    </fill>
    <fill>
      <patternFill patternType="solid">
        <fgColor rgb="FFE11F2C"/>
        <bgColor indexed="64"/>
      </patternFill>
    </fill>
    <fill>
      <patternFill patternType="solid">
        <fgColor rgb="FF940930"/>
        <bgColor indexed="64"/>
      </patternFill>
    </fill>
    <fill>
      <patternFill patternType="solid">
        <fgColor rgb="FF44546A"/>
        <bgColor indexed="64"/>
      </patternFill>
    </fill>
    <fill>
      <patternFill patternType="solid">
        <fgColor rgb="FF5D9BD5"/>
        <bgColor indexed="64"/>
      </patternFill>
    </fill>
    <fill>
      <patternFill patternType="solid">
        <fgColor theme="9" tint="0.79998168889431442"/>
        <bgColor indexed="64"/>
      </patternFill>
    </fill>
    <fill>
      <patternFill patternType="solid">
        <fgColor rgb="FFF8F8F8"/>
        <bgColor indexed="64"/>
      </patternFill>
    </fill>
    <fill>
      <patternFill patternType="solid">
        <fgColor theme="1" tint="0.499984740745262"/>
        <bgColor indexed="64"/>
      </patternFill>
    </fill>
    <fill>
      <patternFill patternType="solid">
        <fgColor theme="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DAEEF3"/>
        <bgColor rgb="FF000000"/>
      </patternFill>
    </fill>
    <fill>
      <patternFill patternType="solid">
        <fgColor rgb="FFDAEEF3"/>
        <bgColor indexed="64"/>
      </patternFill>
    </fill>
    <fill>
      <patternFill patternType="solid">
        <fgColor theme="3"/>
        <bgColor indexed="64"/>
      </patternFill>
    </fill>
    <fill>
      <patternFill patternType="solid">
        <fgColor rgb="FFFFFFFF"/>
        <bgColor indexed="64"/>
      </patternFill>
    </fill>
    <fill>
      <patternFill patternType="solid">
        <fgColor theme="4" tint="0.79998168889431442"/>
        <bgColor rgb="FF000000"/>
      </patternFill>
    </fill>
    <fill>
      <patternFill patternType="solid">
        <fgColor rgb="FFFFCC99"/>
        <bgColor indexed="64"/>
      </patternFill>
    </fill>
    <fill>
      <patternFill patternType="solid">
        <fgColor theme="2"/>
        <bgColor indexed="64"/>
      </patternFill>
    </fill>
    <fill>
      <patternFill patternType="solid">
        <fgColor theme="3" tint="-0.249977111117893"/>
        <bgColor indexed="64"/>
      </patternFill>
    </fill>
  </fills>
  <borders count="49">
    <border>
      <left/>
      <right/>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top style="medium">
        <color indexed="64"/>
      </top>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style="medium">
        <color indexed="64"/>
      </right>
      <top/>
      <bottom style="thin">
        <color indexed="64"/>
      </bottom>
      <diagonal/>
    </border>
    <border>
      <left style="thin">
        <color rgb="FF000000"/>
      </left>
      <right/>
      <top style="thin">
        <color rgb="FF000000"/>
      </top>
      <bottom/>
      <diagonal/>
    </border>
    <border>
      <left style="thin">
        <color rgb="FF000000"/>
      </left>
      <right/>
      <top/>
      <bottom/>
      <diagonal/>
    </border>
    <border>
      <left style="thin">
        <color indexed="64"/>
      </left>
      <right/>
      <top style="medium">
        <color indexed="64"/>
      </top>
      <bottom/>
      <diagonal/>
    </border>
    <border>
      <left style="thin">
        <color indexed="64"/>
      </left>
      <right/>
      <top/>
      <bottom style="medium">
        <color indexed="64"/>
      </bottom>
      <diagonal/>
    </border>
    <border>
      <left style="thin">
        <color rgb="FFDCDCDC"/>
      </left>
      <right/>
      <top/>
      <bottom/>
      <diagonal/>
    </border>
    <border>
      <left style="thin">
        <color rgb="FFDCDCDC"/>
      </left>
      <right/>
      <top style="thin">
        <color rgb="FFDCDCDC"/>
      </top>
      <bottom/>
      <diagonal/>
    </border>
    <border>
      <left/>
      <right/>
      <top style="thin">
        <color rgb="FFDCDCDC"/>
      </top>
      <bottom/>
      <diagonal/>
    </border>
    <border>
      <left/>
      <right style="thin">
        <color rgb="FFDCDCDC"/>
      </right>
      <top style="thin">
        <color rgb="FFDCDCDC"/>
      </top>
      <bottom/>
      <diagonal/>
    </border>
    <border>
      <left/>
      <right style="thin">
        <color rgb="FFDCDCDC"/>
      </right>
      <top/>
      <bottom/>
      <diagonal/>
    </border>
    <border>
      <left style="thin">
        <color rgb="FFDCDCDC"/>
      </left>
      <right/>
      <top/>
      <bottom style="thin">
        <color rgb="FFDCDCDC"/>
      </bottom>
      <diagonal/>
    </border>
    <border>
      <left/>
      <right/>
      <top/>
      <bottom style="thin">
        <color rgb="FFDCDCDC"/>
      </bottom>
      <diagonal/>
    </border>
    <border>
      <left/>
      <right style="thin">
        <color rgb="FFDCDCDC"/>
      </right>
      <top/>
      <bottom style="thin">
        <color rgb="FFDCDCDC"/>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medium">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s>
  <cellStyleXfs count="63">
    <xf numFmtId="166" fontId="0" fillId="2" borderId="0"/>
    <xf numFmtId="166" fontId="4" fillId="3" borderId="0">
      <alignment horizontal="right"/>
    </xf>
    <xf numFmtId="166" fontId="5" fillId="4" borderId="0"/>
    <xf numFmtId="168" fontId="5" fillId="4" borderId="0"/>
    <xf numFmtId="9" fontId="5" fillId="4" borderId="0"/>
    <xf numFmtId="166" fontId="4" fillId="5" borderId="0"/>
    <xf numFmtId="168" fontId="4" fillId="5" borderId="0"/>
    <xf numFmtId="169" fontId="4" fillId="5" borderId="0"/>
    <xf numFmtId="170" fontId="4" fillId="5" borderId="0"/>
    <xf numFmtId="166" fontId="4" fillId="6" borderId="0"/>
    <xf numFmtId="168" fontId="4" fillId="6" borderId="0"/>
    <xf numFmtId="169" fontId="4" fillId="6" borderId="0"/>
    <xf numFmtId="170" fontId="4" fillId="6" borderId="0"/>
    <xf numFmtId="164" fontId="3" fillId="0" borderId="0" applyFont="0" applyFill="0" applyBorder="0" applyAlignment="0" applyProtection="0"/>
    <xf numFmtId="16" fontId="6" fillId="4" borderId="0"/>
    <xf numFmtId="166" fontId="7" fillId="7" borderId="0"/>
    <xf numFmtId="170" fontId="7" fillId="7" borderId="0"/>
    <xf numFmtId="167" fontId="8" fillId="8" borderId="0"/>
    <xf numFmtId="166" fontId="5" fillId="7" borderId="0"/>
    <xf numFmtId="168" fontId="5" fillId="7" borderId="0"/>
    <xf numFmtId="169" fontId="5" fillId="7" borderId="0"/>
    <xf numFmtId="170" fontId="5" fillId="7" borderId="0"/>
    <xf numFmtId="166" fontId="8" fillId="9" borderId="0"/>
    <xf numFmtId="166" fontId="9" fillId="10" borderId="0"/>
    <xf numFmtId="1" fontId="8" fillId="7" borderId="0"/>
    <xf numFmtId="167" fontId="8" fillId="7" borderId="0"/>
    <xf numFmtId="166" fontId="6" fillId="4" borderId="0"/>
    <xf numFmtId="168" fontId="6" fillId="4" borderId="0"/>
    <xf numFmtId="169" fontId="6" fillId="4" borderId="0"/>
    <xf numFmtId="170" fontId="6" fillId="4" borderId="0"/>
    <xf numFmtId="166" fontId="6" fillId="4" borderId="0"/>
    <xf numFmtId="168" fontId="6" fillId="4" borderId="0"/>
    <xf numFmtId="169" fontId="6" fillId="4" borderId="0"/>
    <xf numFmtId="170" fontId="6" fillId="4" borderId="0"/>
    <xf numFmtId="9" fontId="6" fillId="4" borderId="0"/>
    <xf numFmtId="166" fontId="4" fillId="2" borderId="0" applyFont="0"/>
    <xf numFmtId="9" fontId="3" fillId="0" borderId="0" applyFont="0" applyFill="0" applyBorder="0" applyAlignment="0" applyProtection="0"/>
    <xf numFmtId="9" fontId="7" fillId="5" borderId="0"/>
    <xf numFmtId="167" fontId="7" fillId="5" borderId="0"/>
    <xf numFmtId="9" fontId="5" fillId="7" borderId="0"/>
    <xf numFmtId="167" fontId="5" fillId="7" borderId="0"/>
    <xf numFmtId="10" fontId="5" fillId="7" borderId="0"/>
    <xf numFmtId="9" fontId="6" fillId="4" borderId="0"/>
    <xf numFmtId="9" fontId="10" fillId="11" borderId="0"/>
    <xf numFmtId="167" fontId="10" fillId="11" borderId="0"/>
    <xf numFmtId="167" fontId="7" fillId="5" borderId="0"/>
    <xf numFmtId="167" fontId="7" fillId="6" borderId="0"/>
    <xf numFmtId="167" fontId="5" fillId="7" borderId="0"/>
    <xf numFmtId="166" fontId="10" fillId="11" borderId="0"/>
    <xf numFmtId="168" fontId="10" fillId="11" borderId="0"/>
    <xf numFmtId="169" fontId="11" fillId="11" borderId="0"/>
    <xf numFmtId="170" fontId="10" fillId="11" borderId="0"/>
    <xf numFmtId="164"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2" fillId="0" borderId="0"/>
    <xf numFmtId="0" fontId="1" fillId="0" borderId="0"/>
    <xf numFmtId="166" fontId="51" fillId="2" borderId="0" applyNumberForma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cellStyleXfs>
  <cellXfs count="771">
    <xf numFmtId="166" fontId="0" fillId="2" borderId="0" xfId="0"/>
    <xf numFmtId="166" fontId="3" fillId="2" borderId="0" xfId="0" applyFont="1"/>
    <xf numFmtId="166" fontId="11" fillId="2" borderId="0" xfId="0" applyFont="1"/>
    <xf numFmtId="15" fontId="0" fillId="2" borderId="0" xfId="0" applyNumberFormat="1"/>
    <xf numFmtId="166" fontId="3" fillId="33" borderId="0" xfId="0" applyFont="1" applyFill="1" applyAlignment="1">
      <alignment horizontal="left" vertical="center"/>
    </xf>
    <xf numFmtId="166" fontId="45" fillId="30" borderId="0" xfId="0" applyFont="1" applyFill="1" applyAlignment="1">
      <alignment horizontal="left" vertical="center"/>
    </xf>
    <xf numFmtId="166" fontId="50" fillId="28" borderId="0" xfId="0" applyFont="1" applyFill="1"/>
    <xf numFmtId="166" fontId="3" fillId="28" borderId="0" xfId="0" applyFont="1" applyFill="1"/>
    <xf numFmtId="166" fontId="3" fillId="28" borderId="0" xfId="0" applyFont="1" applyFill="1" applyAlignment="1">
      <alignment horizontal="left" indent="1"/>
    </xf>
    <xf numFmtId="166" fontId="0" fillId="22" borderId="0" xfId="0" applyFill="1"/>
    <xf numFmtId="166" fontId="0" fillId="23" borderId="0" xfId="0" applyFill="1"/>
    <xf numFmtId="166" fontId="0" fillId="24" borderId="0" xfId="0" applyFill="1"/>
    <xf numFmtId="166" fontId="0" fillId="25" borderId="0" xfId="0" applyFill="1"/>
    <xf numFmtId="166" fontId="0" fillId="26" borderId="0" xfId="0" applyFill="1"/>
    <xf numFmtId="166" fontId="3" fillId="28" borderId="0" xfId="0" applyFont="1" applyFill="1" applyAlignment="1">
      <alignment horizontal="left"/>
    </xf>
    <xf numFmtId="166" fontId="52" fillId="28" borderId="0" xfId="59" applyFont="1" applyFill="1" applyAlignment="1">
      <alignment horizontal="left" indent="1"/>
    </xf>
    <xf numFmtId="166" fontId="16" fillId="2" borderId="0" xfId="0" applyFont="1" applyAlignment="1" applyProtection="1">
      <alignment vertical="center"/>
      <protection locked="0"/>
    </xf>
    <xf numFmtId="166" fontId="0" fillId="2" borderId="0" xfId="0" applyProtection="1">
      <protection locked="0"/>
    </xf>
    <xf numFmtId="166" fontId="16" fillId="2" borderId="0" xfId="0" applyFont="1" applyProtection="1">
      <protection locked="0"/>
    </xf>
    <xf numFmtId="166" fontId="3" fillId="33" borderId="0" xfId="0" applyFont="1" applyFill="1" applyAlignment="1" applyProtection="1">
      <alignment horizontal="left" vertical="center"/>
      <protection locked="0"/>
    </xf>
    <xf numFmtId="166" fontId="45" fillId="30" borderId="0" xfId="0" applyFont="1" applyFill="1" applyAlignment="1" applyProtection="1">
      <alignment horizontal="left" vertical="center"/>
      <protection locked="0"/>
    </xf>
    <xf numFmtId="15" fontId="45" fillId="30" borderId="0" xfId="0" applyNumberFormat="1" applyFont="1" applyFill="1" applyAlignment="1" applyProtection="1">
      <alignment horizontal="left" vertical="center"/>
      <protection locked="0"/>
    </xf>
    <xf numFmtId="4" fontId="16" fillId="2" borderId="0" xfId="0" applyNumberFormat="1" applyFont="1" applyAlignment="1" applyProtection="1">
      <alignment vertical="center"/>
      <protection locked="0"/>
    </xf>
    <xf numFmtId="11" fontId="34" fillId="28" borderId="0" xfId="0" applyNumberFormat="1" applyFont="1" applyFill="1" applyAlignment="1" applyProtection="1">
      <alignment vertical="center"/>
      <protection locked="0"/>
    </xf>
    <xf numFmtId="166" fontId="16" fillId="20" borderId="12" xfId="0" applyFont="1" applyFill="1" applyBorder="1" applyAlignment="1" applyProtection="1">
      <alignment vertical="center"/>
      <protection locked="0"/>
    </xf>
    <xf numFmtId="11" fontId="16" fillId="28" borderId="13" xfId="0" applyNumberFormat="1" applyFont="1" applyFill="1" applyBorder="1" applyAlignment="1" applyProtection="1">
      <alignment vertical="center"/>
      <protection locked="0"/>
    </xf>
    <xf numFmtId="11" fontId="18" fillId="28" borderId="13" xfId="0" applyNumberFormat="1" applyFont="1" applyFill="1" applyBorder="1" applyAlignment="1" applyProtection="1">
      <alignment horizontal="right" vertical="center"/>
      <protection locked="0"/>
    </xf>
    <xf numFmtId="11" fontId="18" fillId="28" borderId="14" xfId="0" applyNumberFormat="1" applyFont="1" applyFill="1" applyBorder="1" applyAlignment="1" applyProtection="1">
      <alignment horizontal="right" vertical="center"/>
      <protection locked="0"/>
    </xf>
    <xf numFmtId="166" fontId="20" fillId="2" borderId="0" xfId="0" applyFont="1" applyProtection="1">
      <protection locked="0"/>
    </xf>
    <xf numFmtId="166" fontId="17" fillId="2" borderId="0" xfId="0" applyFont="1" applyProtection="1">
      <protection locked="0"/>
    </xf>
    <xf numFmtId="166" fontId="16" fillId="20" borderId="15" xfId="0" applyFont="1" applyFill="1" applyBorder="1" applyAlignment="1" applyProtection="1">
      <alignment vertical="center"/>
      <protection locked="0"/>
    </xf>
    <xf numFmtId="11" fontId="16" fillId="28" borderId="0" xfId="0" applyNumberFormat="1" applyFont="1" applyFill="1" applyAlignment="1" applyProtection="1">
      <alignment vertical="center"/>
      <protection locked="0"/>
    </xf>
    <xf numFmtId="11" fontId="16" fillId="28" borderId="0" xfId="0" applyNumberFormat="1" applyFont="1" applyFill="1" applyAlignment="1" applyProtection="1">
      <alignment horizontal="right" vertical="center"/>
      <protection locked="0"/>
    </xf>
    <xf numFmtId="11" fontId="16" fillId="28" borderId="0" xfId="13" applyNumberFormat="1" applyFont="1" applyFill="1" applyBorder="1" applyAlignment="1" applyProtection="1">
      <alignment horizontal="right" vertical="center"/>
      <protection locked="0"/>
    </xf>
    <xf numFmtId="11" fontId="16" fillId="28" borderId="16" xfId="13" applyNumberFormat="1" applyFont="1" applyFill="1" applyBorder="1" applyAlignment="1" applyProtection="1">
      <alignment horizontal="right" vertical="center"/>
      <protection locked="0"/>
    </xf>
    <xf numFmtId="166" fontId="49" fillId="2" borderId="0" xfId="0" applyFont="1" applyProtection="1">
      <protection locked="0"/>
    </xf>
    <xf numFmtId="166" fontId="3" fillId="30" borderId="0" xfId="0" applyFont="1" applyFill="1" applyAlignment="1" applyProtection="1">
      <alignment horizontal="left" vertical="center"/>
      <protection locked="0"/>
    </xf>
    <xf numFmtId="15" fontId="16" fillId="28" borderId="0" xfId="0" applyNumberFormat="1" applyFont="1" applyFill="1" applyAlignment="1" applyProtection="1">
      <alignment horizontal="right"/>
      <protection locked="0"/>
    </xf>
    <xf numFmtId="4" fontId="16" fillId="28" borderId="0" xfId="0" applyNumberFormat="1" applyFont="1" applyFill="1" applyAlignment="1" applyProtection="1">
      <alignment horizontal="right"/>
      <protection locked="0"/>
    </xf>
    <xf numFmtId="15" fontId="17" fillId="28" borderId="0" xfId="0" applyNumberFormat="1" applyFont="1" applyFill="1" applyAlignment="1" applyProtection="1">
      <alignment horizontal="right"/>
      <protection locked="0"/>
    </xf>
    <xf numFmtId="4" fontId="17" fillId="28" borderId="0" xfId="0" applyNumberFormat="1" applyFont="1" applyFill="1" applyAlignment="1" applyProtection="1">
      <alignment horizontal="right"/>
      <protection locked="0"/>
    </xf>
    <xf numFmtId="166" fontId="0" fillId="2" borderId="0" xfId="0" applyAlignment="1" applyProtection="1">
      <alignment vertical="center"/>
      <protection locked="0"/>
    </xf>
    <xf numFmtId="166" fontId="17" fillId="36" borderId="0" xfId="0" applyFont="1" applyFill="1" applyAlignment="1" applyProtection="1">
      <alignment vertical="center"/>
      <protection locked="0"/>
    </xf>
    <xf numFmtId="4" fontId="17" fillId="36" borderId="0" xfId="0" applyNumberFormat="1" applyFont="1" applyFill="1" applyAlignment="1" applyProtection="1">
      <alignment horizontal="right" vertical="center"/>
      <protection locked="0"/>
    </xf>
    <xf numFmtId="11" fontId="16" fillId="28" borderId="0" xfId="0" quotePrefix="1" applyNumberFormat="1" applyFont="1" applyFill="1" applyAlignment="1" applyProtection="1">
      <alignment horizontal="right" vertical="center" wrapText="1"/>
      <protection locked="0"/>
    </xf>
    <xf numFmtId="166" fontId="16" fillId="2" borderId="15" xfId="0" applyFont="1" applyBorder="1" applyAlignment="1" applyProtection="1">
      <alignment vertical="center"/>
      <protection locked="0"/>
    </xf>
    <xf numFmtId="15" fontId="17" fillId="36" borderId="0" xfId="0" applyNumberFormat="1" applyFont="1" applyFill="1" applyAlignment="1" applyProtection="1">
      <alignment horizontal="right" vertical="center"/>
      <protection locked="0"/>
    </xf>
    <xf numFmtId="166" fontId="18" fillId="28" borderId="0" xfId="0" applyFont="1" applyFill="1" applyAlignment="1" applyProtection="1">
      <alignment vertical="center"/>
      <protection locked="0"/>
    </xf>
    <xf numFmtId="166" fontId="18" fillId="28" borderId="0" xfId="0" applyFont="1" applyFill="1" applyAlignment="1" applyProtection="1">
      <alignment horizontal="right" vertical="center"/>
      <protection locked="0"/>
    </xf>
    <xf numFmtId="166" fontId="18" fillId="28" borderId="16" xfId="0" applyFont="1" applyFill="1" applyBorder="1" applyAlignment="1" applyProtection="1">
      <alignment horizontal="right" vertical="center"/>
      <protection locked="0"/>
    </xf>
    <xf numFmtId="15" fontId="16" fillId="28" borderId="0" xfId="0" applyNumberFormat="1" applyFont="1" applyFill="1" applyAlignment="1" applyProtection="1">
      <alignment horizontal="right" vertical="center"/>
      <protection locked="0"/>
    </xf>
    <xf numFmtId="15" fontId="16" fillId="28" borderId="16" xfId="0" applyNumberFormat="1" applyFont="1" applyFill="1" applyBorder="1" applyAlignment="1" applyProtection="1">
      <alignment horizontal="right" vertical="center"/>
      <protection locked="0"/>
    </xf>
    <xf numFmtId="15" fontId="16" fillId="28" borderId="0" xfId="13" applyNumberFormat="1" applyFont="1" applyFill="1" applyBorder="1" applyAlignment="1" applyProtection="1">
      <alignment horizontal="right" vertical="center"/>
      <protection locked="0"/>
    </xf>
    <xf numFmtId="15" fontId="16" fillId="28" borderId="16" xfId="13" applyNumberFormat="1" applyFont="1" applyFill="1" applyBorder="1" applyAlignment="1" applyProtection="1">
      <alignment horizontal="right" vertical="center"/>
      <protection locked="0"/>
    </xf>
    <xf numFmtId="15" fontId="17" fillId="36" borderId="16" xfId="0" applyNumberFormat="1" applyFont="1" applyFill="1" applyBorder="1" applyAlignment="1" applyProtection="1">
      <alignment horizontal="right" vertical="center"/>
      <protection locked="0"/>
    </xf>
    <xf numFmtId="4" fontId="17" fillId="36" borderId="0" xfId="13" applyNumberFormat="1" applyFont="1" applyFill="1" applyBorder="1" applyAlignment="1" applyProtection="1">
      <alignment horizontal="right" vertical="center"/>
      <protection locked="0"/>
    </xf>
    <xf numFmtId="4" fontId="17" fillId="36" borderId="16" xfId="13" applyNumberFormat="1" applyFont="1" applyFill="1" applyBorder="1" applyAlignment="1" applyProtection="1">
      <alignment horizontal="right" vertical="center"/>
      <protection locked="0"/>
    </xf>
    <xf numFmtId="166" fontId="16" fillId="2" borderId="17" xfId="0" applyFont="1" applyBorder="1" applyAlignment="1" applyProtection="1">
      <alignment vertical="center"/>
      <protection locked="0"/>
    </xf>
    <xf numFmtId="166" fontId="17" fillId="36" borderId="18" xfId="0" applyFont="1" applyFill="1" applyBorder="1" applyAlignment="1" applyProtection="1">
      <alignment vertical="center"/>
      <protection locked="0"/>
    </xf>
    <xf numFmtId="4" fontId="17" fillId="36" borderId="18" xfId="0" applyNumberFormat="1" applyFont="1" applyFill="1" applyBorder="1" applyAlignment="1" applyProtection="1">
      <alignment horizontal="right" vertical="center"/>
      <protection locked="0"/>
    </xf>
    <xf numFmtId="4" fontId="17" fillId="36" borderId="18" xfId="13" applyNumberFormat="1" applyFont="1" applyFill="1" applyBorder="1" applyAlignment="1" applyProtection="1">
      <alignment horizontal="right" vertical="center"/>
      <protection locked="0"/>
    </xf>
    <xf numFmtId="4" fontId="17" fillId="36" borderId="19" xfId="13" applyNumberFormat="1" applyFont="1" applyFill="1" applyBorder="1" applyAlignment="1" applyProtection="1">
      <alignment horizontal="right" vertical="center"/>
      <protection locked="0"/>
    </xf>
    <xf numFmtId="166" fontId="16" fillId="2" borderId="0" xfId="0" applyFont="1" applyAlignment="1" applyProtection="1">
      <alignment horizontal="right" vertical="center"/>
      <protection locked="0"/>
    </xf>
    <xf numFmtId="166" fontId="16" fillId="34" borderId="12" xfId="0" applyFont="1" applyFill="1" applyBorder="1" applyAlignment="1" applyProtection="1">
      <alignment vertical="center"/>
      <protection locked="0"/>
    </xf>
    <xf numFmtId="166" fontId="18" fillId="28" borderId="12" xfId="0" applyFont="1" applyFill="1" applyBorder="1" applyAlignment="1" applyProtection="1">
      <alignment vertical="center"/>
      <protection locked="0"/>
    </xf>
    <xf numFmtId="166" fontId="16" fillId="28" borderId="13" xfId="0" applyFont="1" applyFill="1" applyBorder="1" applyAlignment="1" applyProtection="1">
      <alignment horizontal="right" vertical="center"/>
      <protection locked="0"/>
    </xf>
    <xf numFmtId="166" fontId="16" fillId="28" borderId="14" xfId="0" applyFont="1" applyFill="1" applyBorder="1" applyAlignment="1" applyProtection="1">
      <alignment horizontal="right" vertical="center"/>
      <protection locked="0"/>
    </xf>
    <xf numFmtId="166" fontId="18" fillId="2" borderId="2" xfId="0" applyFont="1" applyBorder="1" applyProtection="1">
      <protection locked="0"/>
    </xf>
    <xf numFmtId="166" fontId="16" fillId="2" borderId="27" xfId="0" applyFont="1" applyBorder="1" applyProtection="1">
      <protection locked="0"/>
    </xf>
    <xf numFmtId="166" fontId="16" fillId="2" borderId="3" xfId="0" applyFont="1" applyBorder="1" applyProtection="1">
      <protection locked="0"/>
    </xf>
    <xf numFmtId="166" fontId="36" fillId="2" borderId="27" xfId="0" applyFont="1" applyBorder="1" applyProtection="1">
      <protection locked="0"/>
    </xf>
    <xf numFmtId="166" fontId="36" fillId="2" borderId="3" xfId="0" applyFont="1" applyBorder="1" applyProtection="1">
      <protection locked="0"/>
    </xf>
    <xf numFmtId="166" fontId="16" fillId="34" borderId="15" xfId="0" applyFont="1" applyFill="1" applyBorder="1" applyAlignment="1" applyProtection="1">
      <alignment vertical="center"/>
      <protection locked="0"/>
    </xf>
    <xf numFmtId="166" fontId="16" fillId="28" borderId="15" xfId="0" applyFont="1" applyFill="1" applyBorder="1" applyAlignment="1" applyProtection="1">
      <alignment vertical="center"/>
      <protection locked="0"/>
    </xf>
    <xf numFmtId="166" fontId="16" fillId="28" borderId="0" xfId="0" applyFont="1" applyFill="1" applyAlignment="1" applyProtection="1">
      <alignment horizontal="right" vertical="center"/>
      <protection locked="0"/>
    </xf>
    <xf numFmtId="166" fontId="16" fillId="28" borderId="16" xfId="0" applyFont="1" applyFill="1" applyBorder="1" applyAlignment="1" applyProtection="1">
      <alignment horizontal="right" vertical="center"/>
      <protection locked="0"/>
    </xf>
    <xf numFmtId="166" fontId="18" fillId="2" borderId="0" xfId="0" applyFont="1" applyProtection="1">
      <protection locked="0"/>
    </xf>
    <xf numFmtId="166" fontId="16" fillId="2" borderId="5" xfId="0" applyFont="1" applyBorder="1" applyProtection="1">
      <protection locked="0"/>
    </xf>
    <xf numFmtId="166" fontId="16" fillId="2" borderId="6" xfId="0" applyFont="1" applyBorder="1" applyProtection="1">
      <protection locked="0"/>
    </xf>
    <xf numFmtId="166" fontId="36" fillId="2" borderId="5" xfId="0" applyFont="1" applyBorder="1" applyProtection="1">
      <protection locked="0"/>
    </xf>
    <xf numFmtId="166" fontId="36" fillId="2" borderId="0" xfId="0" applyFont="1" applyProtection="1">
      <protection locked="0"/>
    </xf>
    <xf numFmtId="166" fontId="37" fillId="2" borderId="0" xfId="0" applyFont="1" applyProtection="1">
      <protection locked="0"/>
    </xf>
    <xf numFmtId="166" fontId="36" fillId="2" borderId="6" xfId="0" applyFont="1" applyBorder="1" applyProtection="1">
      <protection locked="0"/>
    </xf>
    <xf numFmtId="166" fontId="18" fillId="2" borderId="6" xfId="0" applyFont="1" applyBorder="1" applyProtection="1">
      <protection locked="0"/>
    </xf>
    <xf numFmtId="166" fontId="37" fillId="2" borderId="5" xfId="0" applyFont="1" applyBorder="1" applyProtection="1">
      <protection locked="0"/>
    </xf>
    <xf numFmtId="179" fontId="16" fillId="2" borderId="0" xfId="0" applyNumberFormat="1" applyFont="1" applyProtection="1">
      <protection locked="0"/>
    </xf>
    <xf numFmtId="166" fontId="16" fillId="2" borderId="18" xfId="0" applyFont="1" applyBorder="1" applyProtection="1">
      <protection locked="0"/>
    </xf>
    <xf numFmtId="166" fontId="16" fillId="2" borderId="10" xfId="0" applyFont="1" applyBorder="1" applyProtection="1">
      <protection locked="0"/>
    </xf>
    <xf numFmtId="166" fontId="16" fillId="14" borderId="0" xfId="0" applyFont="1" applyFill="1" applyProtection="1">
      <protection locked="0"/>
    </xf>
    <xf numFmtId="166" fontId="16" fillId="2" borderId="0" xfId="0" applyFont="1" applyAlignment="1" applyProtection="1">
      <alignment horizontal="right"/>
      <protection locked="0"/>
    </xf>
    <xf numFmtId="166" fontId="16" fillId="28" borderId="25" xfId="0" applyFont="1" applyFill="1" applyBorder="1" applyAlignment="1" applyProtection="1">
      <alignment vertical="center"/>
      <protection locked="0"/>
    </xf>
    <xf numFmtId="166" fontId="16" fillId="28" borderId="24" xfId="0" applyFont="1" applyFill="1" applyBorder="1" applyAlignment="1" applyProtection="1">
      <alignment horizontal="right" vertical="center"/>
      <protection locked="0"/>
    </xf>
    <xf numFmtId="166" fontId="16" fillId="28" borderId="26" xfId="0" applyFont="1" applyFill="1" applyBorder="1" applyAlignment="1" applyProtection="1">
      <alignment horizontal="right" vertical="center"/>
      <protection locked="0"/>
    </xf>
    <xf numFmtId="166" fontId="16" fillId="2" borderId="7" xfId="0" applyFont="1" applyBorder="1" applyProtection="1">
      <protection locked="0"/>
    </xf>
    <xf numFmtId="166" fontId="36" fillId="14" borderId="0" xfId="0" applyFont="1" applyFill="1" applyProtection="1">
      <protection locked="0"/>
    </xf>
    <xf numFmtId="166" fontId="36" fillId="2" borderId="0" xfId="0" applyFont="1" applyAlignment="1" applyProtection="1">
      <alignment horizontal="right"/>
      <protection locked="0"/>
    </xf>
    <xf numFmtId="174" fontId="16" fillId="28" borderId="0" xfId="13" applyNumberFormat="1" applyFont="1" applyFill="1" applyBorder="1" applyAlignment="1" applyProtection="1">
      <alignment horizontal="right" vertical="center"/>
      <protection locked="0"/>
    </xf>
    <xf numFmtId="174" fontId="16" fillId="28" borderId="16" xfId="13" applyNumberFormat="1" applyFont="1" applyFill="1" applyBorder="1" applyAlignment="1" applyProtection="1">
      <alignment horizontal="right" vertical="center"/>
      <protection locked="0"/>
    </xf>
    <xf numFmtId="174" fontId="16" fillId="2" borderId="0" xfId="13" applyNumberFormat="1" applyFont="1" applyFill="1" applyProtection="1">
      <protection locked="0"/>
    </xf>
    <xf numFmtId="174" fontId="16" fillId="2" borderId="6" xfId="13" applyNumberFormat="1" applyFont="1" applyFill="1" applyBorder="1" applyProtection="1">
      <protection locked="0"/>
    </xf>
    <xf numFmtId="166" fontId="35" fillId="20" borderId="15" xfId="0" applyFont="1" applyFill="1" applyBorder="1" applyAlignment="1" applyProtection="1">
      <alignment vertical="center"/>
      <protection locked="0"/>
    </xf>
    <xf numFmtId="178" fontId="18" fillId="14" borderId="0" xfId="0" applyNumberFormat="1" applyFont="1" applyFill="1" applyProtection="1">
      <protection locked="0"/>
    </xf>
    <xf numFmtId="166" fontId="16" fillId="2" borderId="28" xfId="0" applyFont="1" applyBorder="1" applyProtection="1">
      <protection locked="0"/>
    </xf>
    <xf numFmtId="4" fontId="36" fillId="2" borderId="0" xfId="0" applyNumberFormat="1" applyFont="1" applyProtection="1">
      <protection locked="0"/>
    </xf>
    <xf numFmtId="166" fontId="16" fillId="2" borderId="21" xfId="0" applyFont="1" applyBorder="1" applyProtection="1">
      <protection locked="0"/>
    </xf>
    <xf numFmtId="166" fontId="16" fillId="2" borderId="11" xfId="0" applyFont="1" applyBorder="1" applyProtection="1">
      <protection locked="0"/>
    </xf>
    <xf numFmtId="166" fontId="36" fillId="2" borderId="21" xfId="0" applyFont="1" applyBorder="1" applyProtection="1">
      <protection locked="0"/>
    </xf>
    <xf numFmtId="166" fontId="36" fillId="2" borderId="1" xfId="0" applyFont="1" applyBorder="1" applyProtection="1">
      <protection locked="0"/>
    </xf>
    <xf numFmtId="166" fontId="36" fillId="2" borderId="22" xfId="0" applyFont="1" applyBorder="1" applyProtection="1">
      <protection locked="0"/>
    </xf>
    <xf numFmtId="166" fontId="17" fillId="0" borderId="25" xfId="0" applyFont="1" applyFill="1" applyBorder="1" applyAlignment="1" applyProtection="1">
      <alignment vertical="center"/>
      <protection locked="0"/>
    </xf>
    <xf numFmtId="166" fontId="17" fillId="0" borderId="24" xfId="0" applyFont="1" applyFill="1" applyBorder="1" applyAlignment="1" applyProtection="1">
      <alignment horizontal="right" vertical="center"/>
      <protection locked="0"/>
    </xf>
    <xf numFmtId="166" fontId="17" fillId="0" borderId="26" xfId="0" applyFont="1" applyFill="1" applyBorder="1" applyAlignment="1" applyProtection="1">
      <alignment horizontal="right" vertical="center"/>
      <protection locked="0"/>
    </xf>
    <xf numFmtId="166" fontId="16" fillId="28" borderId="0" xfId="0" applyFont="1" applyFill="1" applyAlignment="1" applyProtection="1">
      <alignment vertical="center"/>
      <protection locked="0"/>
    </xf>
    <xf numFmtId="166" fontId="16" fillId="2" borderId="1" xfId="0" applyFont="1" applyBorder="1" applyProtection="1">
      <protection locked="0"/>
    </xf>
    <xf numFmtId="166" fontId="16" fillId="2" borderId="22" xfId="0" applyFont="1" applyBorder="1" applyProtection="1">
      <protection locked="0"/>
    </xf>
    <xf numFmtId="166" fontId="16" fillId="20" borderId="17" xfId="0" applyFont="1" applyFill="1" applyBorder="1" applyAlignment="1" applyProtection="1">
      <alignment vertical="center"/>
      <protection locked="0"/>
    </xf>
    <xf numFmtId="166" fontId="16" fillId="28" borderId="18" xfId="0" applyFont="1" applyFill="1" applyBorder="1" applyAlignment="1" applyProtection="1">
      <alignment vertical="center"/>
      <protection locked="0"/>
    </xf>
    <xf numFmtId="166" fontId="16" fillId="28" borderId="18" xfId="0" applyFont="1" applyFill="1" applyBorder="1" applyAlignment="1" applyProtection="1">
      <alignment horizontal="right" vertical="center"/>
      <protection locked="0"/>
    </xf>
    <xf numFmtId="166" fontId="16" fillId="28" borderId="19" xfId="0" applyFont="1" applyFill="1" applyBorder="1" applyAlignment="1" applyProtection="1">
      <alignment horizontal="right" vertical="center"/>
      <protection locked="0"/>
    </xf>
    <xf numFmtId="166" fontId="17" fillId="20" borderId="15" xfId="0" applyFont="1" applyFill="1" applyBorder="1" applyAlignment="1" applyProtection="1">
      <alignment vertical="center"/>
      <protection locked="0"/>
    </xf>
    <xf numFmtId="166" fontId="16" fillId="2" borderId="9" xfId="0" applyFont="1" applyBorder="1" applyProtection="1">
      <protection locked="0"/>
    </xf>
    <xf numFmtId="166" fontId="16" fillId="28" borderId="17" xfId="0" applyFont="1" applyFill="1" applyBorder="1" applyAlignment="1" applyProtection="1">
      <alignment vertical="center"/>
      <protection locked="0"/>
    </xf>
    <xf numFmtId="166" fontId="16" fillId="2" borderId="0" xfId="0" quotePrefix="1" applyFont="1" applyProtection="1">
      <protection locked="0"/>
    </xf>
    <xf numFmtId="166" fontId="18" fillId="28" borderId="15" xfId="0" applyFont="1" applyFill="1" applyBorder="1" applyAlignment="1" applyProtection="1">
      <alignment vertical="center"/>
      <protection locked="0"/>
    </xf>
    <xf numFmtId="166" fontId="18" fillId="2" borderId="5" xfId="0" applyFont="1" applyBorder="1" applyProtection="1">
      <protection locked="0"/>
    </xf>
    <xf numFmtId="166" fontId="18" fillId="28" borderId="13" xfId="0" applyFont="1" applyFill="1" applyBorder="1" applyAlignment="1" applyProtection="1">
      <alignment vertical="center"/>
      <protection locked="0"/>
    </xf>
    <xf numFmtId="10" fontId="18" fillId="2" borderId="2" xfId="36" applyNumberFormat="1" applyFont="1" applyFill="1" applyBorder="1" applyProtection="1">
      <protection locked="0"/>
    </xf>
    <xf numFmtId="166" fontId="18" fillId="2" borderId="27" xfId="0" applyFont="1" applyBorder="1" applyProtection="1">
      <protection locked="0"/>
    </xf>
    <xf numFmtId="166" fontId="18" fillId="2" borderId="3" xfId="0" applyFont="1" applyBorder="1" applyProtection="1">
      <protection locked="0"/>
    </xf>
    <xf numFmtId="164" fontId="18" fillId="2" borderId="0" xfId="13" applyFont="1" applyFill="1" applyProtection="1">
      <protection locked="0"/>
    </xf>
    <xf numFmtId="164" fontId="18" fillId="2" borderId="6" xfId="13" applyFont="1" applyFill="1" applyBorder="1" applyProtection="1">
      <protection locked="0"/>
    </xf>
    <xf numFmtId="164" fontId="16" fillId="28" borderId="0" xfId="13" applyFont="1" applyFill="1" applyBorder="1" applyAlignment="1" applyProtection="1">
      <alignment horizontal="right" vertical="center"/>
      <protection locked="0"/>
    </xf>
    <xf numFmtId="164" fontId="16" fillId="28" borderId="16" xfId="13" applyFont="1" applyFill="1" applyBorder="1" applyAlignment="1" applyProtection="1">
      <alignment horizontal="right" vertical="center"/>
      <protection locked="0"/>
    </xf>
    <xf numFmtId="4" fontId="16" fillId="2" borderId="0" xfId="0" applyNumberFormat="1" applyFont="1" applyProtection="1">
      <protection locked="0"/>
    </xf>
    <xf numFmtId="4" fontId="16" fillId="2" borderId="0" xfId="13" applyNumberFormat="1" applyFont="1" applyFill="1" applyProtection="1">
      <protection locked="0"/>
    </xf>
    <xf numFmtId="4" fontId="16" fillId="2" borderId="6" xfId="13" applyNumberFormat="1" applyFont="1" applyFill="1" applyBorder="1" applyProtection="1">
      <protection locked="0"/>
    </xf>
    <xf numFmtId="164" fontId="16" fillId="2" borderId="0" xfId="13" applyFont="1" applyFill="1" applyProtection="1">
      <protection locked="0"/>
    </xf>
    <xf numFmtId="164" fontId="16" fillId="2" borderId="6" xfId="13" applyFont="1" applyFill="1" applyBorder="1" applyProtection="1">
      <protection locked="0"/>
    </xf>
    <xf numFmtId="164" fontId="16" fillId="28" borderId="18" xfId="13" applyFont="1" applyFill="1" applyBorder="1" applyAlignment="1" applyProtection="1">
      <alignment horizontal="right" vertical="center"/>
      <protection locked="0"/>
    </xf>
    <xf numFmtId="164" fontId="16" fillId="28" borderId="19" xfId="13" applyFont="1" applyFill="1" applyBorder="1" applyAlignment="1" applyProtection="1">
      <alignment horizontal="right" vertical="center"/>
      <protection locked="0"/>
    </xf>
    <xf numFmtId="4" fontId="16" fillId="2" borderId="1" xfId="0" applyNumberFormat="1" applyFont="1" applyBorder="1" applyProtection="1">
      <protection locked="0"/>
    </xf>
    <xf numFmtId="4" fontId="16" fillId="2" borderId="22" xfId="0" applyNumberFormat="1" applyFont="1" applyBorder="1" applyProtection="1">
      <protection locked="0"/>
    </xf>
    <xf numFmtId="166" fontId="16" fillId="2" borderId="0" xfId="0" applyFont="1" applyAlignment="1" applyProtection="1">
      <alignment horizontal="left"/>
      <protection locked="0"/>
    </xf>
    <xf numFmtId="166" fontId="19" fillId="2" borderId="0" xfId="0" applyFont="1" applyAlignment="1" applyProtection="1">
      <alignment vertical="center"/>
      <protection locked="0"/>
    </xf>
    <xf numFmtId="166" fontId="20" fillId="21" borderId="0" xfId="0" applyFont="1" applyFill="1" applyAlignment="1" applyProtection="1">
      <alignment horizontal="left" vertical="center"/>
      <protection locked="0"/>
    </xf>
    <xf numFmtId="166" fontId="18" fillId="21" borderId="0" xfId="0" applyFont="1" applyFill="1" applyAlignment="1" applyProtection="1">
      <alignment horizontal="left" vertical="center"/>
      <protection locked="0"/>
    </xf>
    <xf numFmtId="166" fontId="18" fillId="21" borderId="0" xfId="0" applyFont="1" applyFill="1" applyAlignment="1" applyProtection="1">
      <alignment horizontal="center" vertical="center"/>
      <protection locked="0"/>
    </xf>
    <xf numFmtId="166" fontId="28" fillId="9" borderId="0" xfId="22" applyFont="1" applyAlignment="1" applyProtection="1">
      <alignment vertical="center"/>
      <protection locked="0"/>
    </xf>
    <xf numFmtId="166" fontId="16" fillId="2" borderId="0" xfId="0" applyFont="1" applyAlignment="1" applyProtection="1">
      <alignment horizontal="left" vertical="center"/>
      <protection locked="0"/>
    </xf>
    <xf numFmtId="171" fontId="16" fillId="2" borderId="0" xfId="0" applyNumberFormat="1" applyFont="1" applyAlignment="1" applyProtection="1">
      <alignment vertical="center"/>
      <protection locked="0"/>
    </xf>
    <xf numFmtId="166" fontId="29" fillId="10" borderId="0" xfId="23" applyFont="1" applyAlignment="1" applyProtection="1">
      <alignment vertical="center"/>
      <protection locked="0"/>
    </xf>
    <xf numFmtId="166" fontId="16" fillId="2" borderId="0" xfId="35" applyFont="1" applyAlignment="1" applyProtection="1">
      <alignment horizontal="left" vertical="center"/>
      <protection locked="0"/>
    </xf>
    <xf numFmtId="166" fontId="16" fillId="2" borderId="0" xfId="35" applyFont="1" applyAlignment="1" applyProtection="1">
      <alignment horizontal="right" vertical="center"/>
      <protection locked="0"/>
    </xf>
    <xf numFmtId="167" fontId="30" fillId="4" borderId="0" xfId="34" applyNumberFormat="1" applyFont="1" applyAlignment="1" applyProtection="1">
      <alignment vertical="center"/>
      <protection locked="0"/>
    </xf>
    <xf numFmtId="168" fontId="30" fillId="4" borderId="0" xfId="27" applyFont="1" applyAlignment="1" applyProtection="1">
      <alignment vertical="center"/>
      <protection locked="0"/>
    </xf>
    <xf numFmtId="169" fontId="17" fillId="2" borderId="0" xfId="0" applyNumberFormat="1" applyFont="1" applyAlignment="1" applyProtection="1">
      <alignment vertical="center"/>
      <protection locked="0"/>
    </xf>
    <xf numFmtId="166" fontId="30" fillId="4" borderId="0" xfId="26" applyFont="1" applyAlignment="1" applyProtection="1">
      <alignment vertical="center"/>
      <protection locked="0"/>
    </xf>
    <xf numFmtId="9" fontId="17" fillId="2" borderId="0" xfId="36" applyFont="1" applyFill="1" applyAlignment="1" applyProtection="1">
      <alignment vertical="center"/>
      <protection locked="0"/>
    </xf>
    <xf numFmtId="166" fontId="16" fillId="5" borderId="0" xfId="5" applyFont="1" applyAlignment="1" applyProtection="1">
      <alignment vertical="center"/>
      <protection locked="0"/>
    </xf>
    <xf numFmtId="166" fontId="17" fillId="2" borderId="0" xfId="0" applyFont="1" applyAlignment="1" applyProtection="1">
      <alignment horizontal="right" vertical="center"/>
      <protection locked="0"/>
    </xf>
    <xf numFmtId="169" fontId="17" fillId="5" borderId="0" xfId="5" applyNumberFormat="1" applyFont="1" applyAlignment="1" applyProtection="1">
      <alignment vertical="center"/>
      <protection locked="0"/>
    </xf>
    <xf numFmtId="167" fontId="16" fillId="5" borderId="0" xfId="5" applyNumberFormat="1" applyFont="1" applyAlignment="1" applyProtection="1">
      <alignment vertical="center"/>
      <protection locked="0"/>
    </xf>
    <xf numFmtId="166" fontId="18" fillId="2" borderId="0" xfId="35" applyFont="1" applyAlignment="1" applyProtection="1">
      <alignment horizontal="left" vertical="center"/>
      <protection locked="0"/>
    </xf>
    <xf numFmtId="9" fontId="16" fillId="2" borderId="0" xfId="36" applyFont="1" applyFill="1" applyAlignment="1" applyProtection="1">
      <alignment vertical="center"/>
      <protection locked="0"/>
    </xf>
    <xf numFmtId="166" fontId="16" fillId="2" borderId="0" xfId="35" applyFont="1" applyAlignment="1" applyProtection="1">
      <alignment vertical="center"/>
      <protection locked="0"/>
    </xf>
    <xf numFmtId="166" fontId="18" fillId="2" borderId="0" xfId="35" applyFont="1" applyAlignment="1" applyProtection="1">
      <alignment vertical="center"/>
      <protection locked="0"/>
    </xf>
    <xf numFmtId="166" fontId="18" fillId="12" borderId="0" xfId="0" applyFont="1" applyFill="1" applyAlignment="1" applyProtection="1">
      <alignment horizontal="left" vertical="center"/>
      <protection locked="0"/>
    </xf>
    <xf numFmtId="166" fontId="16" fillId="12" borderId="0" xfId="0" applyFont="1" applyFill="1" applyAlignment="1" applyProtection="1">
      <alignment vertical="center"/>
      <protection locked="0"/>
    </xf>
    <xf numFmtId="168" fontId="16" fillId="12" borderId="0" xfId="0" applyNumberFormat="1" applyFont="1" applyFill="1" applyAlignment="1" applyProtection="1">
      <alignment vertical="center"/>
      <protection locked="0"/>
    </xf>
    <xf numFmtId="166" fontId="16" fillId="12" borderId="0" xfId="0" applyFont="1" applyFill="1" applyAlignment="1" applyProtection="1">
      <alignment horizontal="left" vertical="center"/>
      <protection locked="0"/>
    </xf>
    <xf numFmtId="9" fontId="0" fillId="2" borderId="0" xfId="36" applyFont="1" applyFill="1" applyAlignment="1" applyProtection="1">
      <alignment vertical="center"/>
      <protection locked="0"/>
    </xf>
    <xf numFmtId="167" fontId="16" fillId="2" borderId="0" xfId="36" applyNumberFormat="1" applyFont="1" applyFill="1" applyAlignment="1" applyProtection="1">
      <alignment vertical="center"/>
      <protection locked="0"/>
    </xf>
    <xf numFmtId="166" fontId="18" fillId="2" borderId="0" xfId="0" applyFont="1" applyAlignment="1" applyProtection="1">
      <alignment horizontal="right" vertical="center"/>
      <protection locked="0"/>
    </xf>
    <xf numFmtId="166" fontId="16" fillId="16" borderId="12" xfId="0" applyFont="1" applyFill="1" applyBorder="1" applyAlignment="1" applyProtection="1">
      <alignment vertical="center"/>
      <protection locked="0"/>
    </xf>
    <xf numFmtId="3" fontId="16" fillId="16" borderId="13" xfId="13" applyNumberFormat="1" applyFont="1" applyFill="1" applyBorder="1" applyAlignment="1" applyProtection="1">
      <alignment vertical="center"/>
      <protection locked="0"/>
    </xf>
    <xf numFmtId="167" fontId="16" fillId="16" borderId="13" xfId="36" applyNumberFormat="1" applyFont="1" applyFill="1" applyBorder="1" applyAlignment="1" applyProtection="1">
      <alignment vertical="center"/>
      <protection locked="0"/>
    </xf>
    <xf numFmtId="166" fontId="16" fillId="16" borderId="13" xfId="0" applyFont="1" applyFill="1" applyBorder="1" applyAlignment="1" applyProtection="1">
      <alignment vertical="center"/>
      <protection locked="0"/>
    </xf>
    <xf numFmtId="167" fontId="16" fillId="16" borderId="14" xfId="36" applyNumberFormat="1" applyFont="1" applyFill="1" applyBorder="1" applyAlignment="1" applyProtection="1">
      <alignment vertical="center"/>
      <protection locked="0"/>
    </xf>
    <xf numFmtId="9" fontId="16" fillId="32" borderId="0" xfId="0" applyNumberFormat="1" applyFont="1" applyFill="1" applyAlignment="1" applyProtection="1">
      <alignment vertical="center"/>
      <protection locked="0"/>
    </xf>
    <xf numFmtId="166" fontId="16" fillId="16" borderId="15" xfId="0" applyFont="1" applyFill="1" applyBorder="1" applyAlignment="1" applyProtection="1">
      <alignment vertical="center"/>
      <protection locked="0"/>
    </xf>
    <xf numFmtId="3" fontId="16" fillId="16" borderId="0" xfId="13" applyNumberFormat="1" applyFont="1" applyFill="1" applyBorder="1" applyAlignment="1" applyProtection="1">
      <alignment vertical="center"/>
      <protection locked="0"/>
    </xf>
    <xf numFmtId="167" fontId="16" fillId="32" borderId="0" xfId="36" applyNumberFormat="1" applyFont="1" applyFill="1" applyBorder="1" applyAlignment="1" applyProtection="1">
      <alignment vertical="center"/>
      <protection locked="0"/>
    </xf>
    <xf numFmtId="166" fontId="16" fillId="16" borderId="0" xfId="0" applyFont="1" applyFill="1" applyAlignment="1" applyProtection="1">
      <alignment vertical="center"/>
      <protection locked="0"/>
    </xf>
    <xf numFmtId="167" fontId="16" fillId="16" borderId="16" xfId="36" applyNumberFormat="1" applyFont="1" applyFill="1" applyBorder="1" applyAlignment="1" applyProtection="1">
      <alignment vertical="center"/>
      <protection locked="0"/>
    </xf>
    <xf numFmtId="166" fontId="16" fillId="16" borderId="17" xfId="0" applyFont="1" applyFill="1" applyBorder="1" applyAlignment="1" applyProtection="1">
      <alignment vertical="center"/>
      <protection locked="0"/>
    </xf>
    <xf numFmtId="3" fontId="16" fillId="16" borderId="18" xfId="13" applyNumberFormat="1" applyFont="1" applyFill="1" applyBorder="1" applyAlignment="1" applyProtection="1">
      <alignment vertical="center"/>
      <protection locked="0"/>
    </xf>
    <xf numFmtId="166" fontId="16" fillId="16" borderId="18" xfId="0" applyFont="1" applyFill="1" applyBorder="1" applyAlignment="1" applyProtection="1">
      <alignment vertical="center"/>
      <protection locked="0"/>
    </xf>
    <xf numFmtId="9" fontId="16" fillId="32" borderId="18" xfId="36" applyFont="1" applyFill="1" applyBorder="1" applyAlignment="1" applyProtection="1">
      <alignment vertical="center"/>
      <protection locked="0"/>
    </xf>
    <xf numFmtId="167" fontId="16" fillId="16" borderId="19" xfId="36" applyNumberFormat="1" applyFont="1" applyFill="1" applyBorder="1" applyAlignment="1" applyProtection="1">
      <alignment vertical="center"/>
      <protection locked="0"/>
    </xf>
    <xf numFmtId="0" fontId="16" fillId="16" borderId="23" xfId="0" applyNumberFormat="1" applyFont="1" applyFill="1" applyBorder="1" applyAlignment="1" applyProtection="1">
      <alignment vertical="center"/>
      <protection locked="0"/>
    </xf>
    <xf numFmtId="166" fontId="16" fillId="16" borderId="20" xfId="0" applyFont="1" applyFill="1" applyBorder="1" applyAlignment="1" applyProtection="1">
      <alignment vertical="center"/>
      <protection locked="0"/>
    </xf>
    <xf numFmtId="166" fontId="16" fillId="16" borderId="14" xfId="0" applyFont="1" applyFill="1" applyBorder="1" applyAlignment="1" applyProtection="1">
      <alignment vertical="center"/>
      <protection locked="0"/>
    </xf>
    <xf numFmtId="0" fontId="16" fillId="16" borderId="30" xfId="0" applyNumberFormat="1" applyFont="1" applyFill="1" applyBorder="1" applyAlignment="1" applyProtection="1">
      <alignment vertical="center"/>
      <protection locked="0"/>
    </xf>
    <xf numFmtId="166" fontId="16" fillId="16" borderId="19" xfId="0" applyFont="1" applyFill="1" applyBorder="1" applyAlignment="1" applyProtection="1">
      <alignment vertical="center"/>
      <protection locked="0"/>
    </xf>
    <xf numFmtId="166" fontId="18" fillId="2" borderId="0" xfId="0" applyFont="1" applyAlignment="1" applyProtection="1">
      <alignment vertical="center"/>
      <protection locked="0"/>
    </xf>
    <xf numFmtId="0" fontId="16" fillId="16" borderId="12" xfId="0" applyNumberFormat="1" applyFont="1" applyFill="1" applyBorder="1" applyAlignment="1" applyProtection="1">
      <alignment vertical="center"/>
      <protection locked="0"/>
    </xf>
    <xf numFmtId="9" fontId="16" fillId="32" borderId="13" xfId="0" applyNumberFormat="1" applyFont="1" applyFill="1" applyBorder="1" applyAlignment="1" applyProtection="1">
      <alignment vertical="center"/>
      <protection locked="0"/>
    </xf>
    <xf numFmtId="0" fontId="16" fillId="16" borderId="13" xfId="0" applyNumberFormat="1" applyFont="1" applyFill="1" applyBorder="1" applyAlignment="1" applyProtection="1">
      <alignment vertical="center"/>
      <protection locked="0"/>
    </xf>
    <xf numFmtId="0" fontId="16" fillId="16" borderId="15" xfId="0" applyNumberFormat="1" applyFont="1" applyFill="1" applyBorder="1" applyAlignment="1" applyProtection="1">
      <alignment vertical="center"/>
      <protection locked="0"/>
    </xf>
    <xf numFmtId="0" fontId="16" fillId="16" borderId="0" xfId="0" applyNumberFormat="1" applyFont="1" applyFill="1" applyAlignment="1" applyProtection="1">
      <alignment vertical="center"/>
      <protection locked="0"/>
    </xf>
    <xf numFmtId="10" fontId="16" fillId="16" borderId="0" xfId="0" quotePrefix="1" applyNumberFormat="1" applyFont="1" applyFill="1" applyAlignment="1" applyProtection="1">
      <alignment vertical="center"/>
      <protection locked="0"/>
    </xf>
    <xf numFmtId="166" fontId="16" fillId="16" borderId="16" xfId="0" applyFont="1" applyFill="1" applyBorder="1" applyAlignment="1" applyProtection="1">
      <alignment vertical="center"/>
      <protection locked="0"/>
    </xf>
    <xf numFmtId="0" fontId="16" fillId="32" borderId="0" xfId="0" applyNumberFormat="1" applyFont="1" applyFill="1" applyAlignment="1" applyProtection="1">
      <alignment vertical="center"/>
      <protection locked="0"/>
    </xf>
    <xf numFmtId="10" fontId="16" fillId="16" borderId="0" xfId="0" applyNumberFormat="1" applyFont="1" applyFill="1" applyAlignment="1" applyProtection="1">
      <alignment vertical="center"/>
      <protection locked="0"/>
    </xf>
    <xf numFmtId="10" fontId="16" fillId="32" borderId="0" xfId="0" applyNumberFormat="1" applyFont="1" applyFill="1" applyAlignment="1" applyProtection="1">
      <alignment vertical="center"/>
      <protection locked="0"/>
    </xf>
    <xf numFmtId="9" fontId="16" fillId="15" borderId="0" xfId="0" applyNumberFormat="1" applyFont="1" applyFill="1" applyAlignment="1" applyProtection="1">
      <alignment vertical="center"/>
      <protection locked="0"/>
    </xf>
    <xf numFmtId="9" fontId="16" fillId="16" borderId="0" xfId="36" applyFont="1" applyFill="1" applyBorder="1" applyAlignment="1" applyProtection="1">
      <alignment vertical="center"/>
      <protection locked="0"/>
    </xf>
    <xf numFmtId="174" fontId="16" fillId="16" borderId="0" xfId="13" applyNumberFormat="1" applyFont="1" applyFill="1" applyBorder="1" applyAlignment="1" applyProtection="1">
      <alignment vertical="center"/>
      <protection locked="0"/>
    </xf>
    <xf numFmtId="2" fontId="16" fillId="16" borderId="0" xfId="0" applyNumberFormat="1" applyFont="1" applyFill="1" applyAlignment="1" applyProtection="1">
      <alignment vertical="center"/>
      <protection locked="0"/>
    </xf>
    <xf numFmtId="0" fontId="17" fillId="16" borderId="15" xfId="0" applyNumberFormat="1" applyFont="1" applyFill="1" applyBorder="1" applyAlignment="1" applyProtection="1">
      <alignment vertical="center"/>
      <protection locked="0"/>
    </xf>
    <xf numFmtId="2" fontId="17" fillId="16" borderId="0" xfId="0" applyNumberFormat="1" applyFont="1" applyFill="1" applyAlignment="1" applyProtection="1">
      <alignment vertical="center"/>
      <protection locked="0"/>
    </xf>
    <xf numFmtId="0" fontId="16" fillId="16" borderId="0" xfId="0" applyNumberFormat="1" applyFont="1" applyFill="1" applyAlignment="1" applyProtection="1">
      <alignment horizontal="right" vertical="center"/>
      <protection locked="0"/>
    </xf>
    <xf numFmtId="166" fontId="16" fillId="16" borderId="0" xfId="0" applyFont="1" applyFill="1" applyAlignment="1" applyProtection="1">
      <alignment horizontal="right" vertical="center"/>
      <protection locked="0"/>
    </xf>
    <xf numFmtId="0" fontId="16" fillId="16" borderId="16" xfId="0" applyNumberFormat="1" applyFont="1" applyFill="1" applyBorder="1" applyAlignment="1" applyProtection="1">
      <alignment horizontal="right" vertical="center"/>
      <protection locked="0"/>
    </xf>
    <xf numFmtId="0" fontId="18" fillId="31" borderId="15" xfId="0" applyNumberFormat="1" applyFont="1" applyFill="1" applyBorder="1" applyAlignment="1" applyProtection="1">
      <alignment vertical="center"/>
      <protection locked="0"/>
    </xf>
    <xf numFmtId="164" fontId="18" fillId="31" borderId="0" xfId="13" applyFont="1" applyFill="1" applyBorder="1" applyAlignment="1" applyProtection="1">
      <alignment vertical="center"/>
      <protection locked="0"/>
    </xf>
    <xf numFmtId="10" fontId="18" fillId="31" borderId="0" xfId="36" applyNumberFormat="1" applyFont="1" applyFill="1" applyBorder="1" applyAlignment="1" applyProtection="1">
      <alignment horizontal="right" vertical="center"/>
      <protection locked="0"/>
    </xf>
    <xf numFmtId="174" fontId="18" fillId="31" borderId="0" xfId="13" applyNumberFormat="1" applyFont="1" applyFill="1" applyBorder="1" applyAlignment="1" applyProtection="1">
      <alignment horizontal="right" vertical="center"/>
      <protection locked="0"/>
    </xf>
    <xf numFmtId="174" fontId="18" fillId="31" borderId="16" xfId="13" applyNumberFormat="1" applyFont="1" applyFill="1" applyBorder="1" applyAlignment="1" applyProtection="1">
      <alignment horizontal="right" vertical="center"/>
      <protection locked="0"/>
    </xf>
    <xf numFmtId="0" fontId="18" fillId="31" borderId="17" xfId="0" applyNumberFormat="1" applyFont="1" applyFill="1" applyBorder="1" applyAlignment="1" applyProtection="1">
      <alignment vertical="center"/>
      <protection locked="0"/>
    </xf>
    <xf numFmtId="164" fontId="18" fillId="31" borderId="18" xfId="13" applyFont="1" applyFill="1" applyBorder="1" applyAlignment="1" applyProtection="1">
      <alignment vertical="center"/>
      <protection locked="0"/>
    </xf>
    <xf numFmtId="164" fontId="18" fillId="31" borderId="18" xfId="13" applyFont="1" applyFill="1" applyBorder="1" applyAlignment="1" applyProtection="1">
      <alignment horizontal="right" vertical="center"/>
      <protection locked="0"/>
    </xf>
    <xf numFmtId="10" fontId="18" fillId="31" borderId="18" xfId="36" applyNumberFormat="1" applyFont="1" applyFill="1" applyBorder="1" applyAlignment="1" applyProtection="1">
      <alignment horizontal="right" vertical="center"/>
      <protection locked="0"/>
    </xf>
    <xf numFmtId="174" fontId="18" fillId="31" borderId="18" xfId="13" applyNumberFormat="1" applyFont="1" applyFill="1" applyBorder="1" applyAlignment="1" applyProtection="1">
      <alignment horizontal="right" vertical="center"/>
      <protection locked="0"/>
    </xf>
    <xf numFmtId="174" fontId="18" fillId="31" borderId="19" xfId="13" applyNumberFormat="1" applyFont="1" applyFill="1" applyBorder="1" applyAlignment="1" applyProtection="1">
      <alignment horizontal="right" vertical="center"/>
      <protection locked="0"/>
    </xf>
    <xf numFmtId="166" fontId="18" fillId="31" borderId="17" xfId="0" applyFont="1" applyFill="1" applyBorder="1" applyAlignment="1" applyProtection="1">
      <alignment vertical="center"/>
      <protection locked="0"/>
    </xf>
    <xf numFmtId="169" fontId="18" fillId="31" borderId="18" xfId="0" applyNumberFormat="1" applyFont="1" applyFill="1" applyBorder="1" applyAlignment="1" applyProtection="1">
      <alignment vertical="center"/>
      <protection locked="0"/>
    </xf>
    <xf numFmtId="166" fontId="0" fillId="2" borderId="0" xfId="0" applyAlignment="1" applyProtection="1">
      <alignment horizontal="right"/>
      <protection locked="0"/>
    </xf>
    <xf numFmtId="0" fontId="24" fillId="11" borderId="2" xfId="0" applyNumberFormat="1" applyFont="1" applyFill="1" applyBorder="1" applyAlignment="1" applyProtection="1">
      <alignment vertical="center"/>
      <protection locked="0"/>
    </xf>
    <xf numFmtId="0" fontId="16" fillId="11" borderId="4" xfId="0" applyNumberFormat="1" applyFont="1" applyFill="1" applyBorder="1" applyAlignment="1" applyProtection="1">
      <alignment vertical="center"/>
      <protection locked="0"/>
    </xf>
    <xf numFmtId="166" fontId="16" fillId="16" borderId="2" xfId="0" applyFont="1" applyFill="1" applyBorder="1" applyAlignment="1" applyProtection="1">
      <alignment vertical="center"/>
      <protection locked="0"/>
    </xf>
    <xf numFmtId="166" fontId="16" fillId="16" borderId="27" xfId="0" applyFont="1" applyFill="1" applyBorder="1" applyAlignment="1" applyProtection="1">
      <alignment vertical="center"/>
      <protection locked="0"/>
    </xf>
    <xf numFmtId="9" fontId="16" fillId="32" borderId="3" xfId="36" applyFont="1" applyFill="1" applyBorder="1" applyAlignment="1" applyProtection="1">
      <alignment vertical="center"/>
      <protection locked="0"/>
    </xf>
    <xf numFmtId="0" fontId="16" fillId="11" borderId="5" xfId="0" applyNumberFormat="1" applyFont="1" applyFill="1" applyBorder="1" applyAlignment="1" applyProtection="1">
      <alignment vertical="center"/>
      <protection locked="0"/>
    </xf>
    <xf numFmtId="0" fontId="16" fillId="11" borderId="6" xfId="0" applyNumberFormat="1" applyFont="1" applyFill="1" applyBorder="1" applyAlignment="1" applyProtection="1">
      <alignment vertical="center"/>
      <protection locked="0"/>
    </xf>
    <xf numFmtId="166" fontId="16" fillId="16" borderId="5" xfId="0" applyFont="1" applyFill="1" applyBorder="1" applyAlignment="1" applyProtection="1">
      <alignment vertical="center"/>
      <protection locked="0"/>
    </xf>
    <xf numFmtId="174" fontId="16" fillId="32" borderId="6" xfId="13" applyNumberFormat="1" applyFont="1" applyFill="1" applyBorder="1" applyAlignment="1" applyProtection="1">
      <alignment vertical="center"/>
      <protection locked="0"/>
    </xf>
    <xf numFmtId="0" fontId="16" fillId="11" borderId="7" xfId="0" applyNumberFormat="1" applyFont="1" applyFill="1" applyBorder="1" applyAlignment="1" applyProtection="1">
      <alignment vertical="center"/>
      <protection locked="0"/>
    </xf>
    <xf numFmtId="175" fontId="18" fillId="11" borderId="8" xfId="13" applyNumberFormat="1" applyFont="1" applyFill="1" applyBorder="1" applyAlignment="1" applyProtection="1">
      <alignment vertical="center"/>
      <protection locked="0"/>
    </xf>
    <xf numFmtId="164" fontId="18" fillId="11" borderId="6" xfId="13" applyFont="1" applyFill="1" applyBorder="1" applyAlignment="1" applyProtection="1">
      <alignment vertical="center"/>
      <protection locked="0"/>
    </xf>
    <xf numFmtId="166" fontId="16" fillId="16" borderId="21" xfId="0" applyFont="1" applyFill="1" applyBorder="1" applyAlignment="1" applyProtection="1">
      <alignment vertical="center"/>
      <protection locked="0"/>
    </xf>
    <xf numFmtId="166" fontId="16" fillId="16" borderId="1" xfId="0" applyFont="1" applyFill="1" applyBorder="1" applyAlignment="1" applyProtection="1">
      <alignment vertical="center"/>
      <protection locked="0"/>
    </xf>
    <xf numFmtId="166" fontId="16" fillId="32" borderId="22" xfId="0" applyFont="1" applyFill="1" applyBorder="1" applyAlignment="1" applyProtection="1">
      <alignment vertical="center"/>
      <protection locked="0"/>
    </xf>
    <xf numFmtId="0" fontId="16" fillId="11" borderId="21" xfId="0" applyNumberFormat="1" applyFont="1" applyFill="1" applyBorder="1" applyAlignment="1" applyProtection="1">
      <alignment vertical="center"/>
      <protection locked="0"/>
    </xf>
    <xf numFmtId="9" fontId="18" fillId="11" borderId="22" xfId="36" applyFont="1" applyFill="1" applyBorder="1" applyAlignment="1" applyProtection="1">
      <alignment vertical="center"/>
      <protection locked="0"/>
    </xf>
    <xf numFmtId="174" fontId="18" fillId="11" borderId="6" xfId="13" applyNumberFormat="1" applyFont="1" applyFill="1" applyBorder="1" applyAlignment="1" applyProtection="1">
      <alignment vertical="center"/>
      <protection locked="0"/>
    </xf>
    <xf numFmtId="0" fontId="16" fillId="11" borderId="9" xfId="0" applyNumberFormat="1" applyFont="1" applyFill="1" applyBorder="1" applyAlignment="1" applyProtection="1">
      <alignment vertical="center"/>
      <protection locked="0"/>
    </xf>
    <xf numFmtId="9" fontId="18" fillId="11" borderId="10" xfId="36" applyFont="1" applyFill="1" applyBorder="1" applyAlignment="1" applyProtection="1">
      <alignment vertical="center"/>
      <protection locked="0"/>
    </xf>
    <xf numFmtId="166" fontId="22" fillId="2" borderId="0" xfId="0" applyFont="1" applyProtection="1">
      <protection locked="0"/>
    </xf>
    <xf numFmtId="166" fontId="16" fillId="29" borderId="0" xfId="0" applyFont="1" applyFill="1" applyProtection="1">
      <protection locked="0"/>
    </xf>
    <xf numFmtId="166" fontId="16" fillId="15" borderId="0" xfId="0" applyFont="1" applyFill="1" applyProtection="1">
      <protection locked="0"/>
    </xf>
    <xf numFmtId="166" fontId="22" fillId="2" borderId="0" xfId="0" applyFont="1" applyAlignment="1" applyProtection="1">
      <alignment vertical="center"/>
      <protection locked="0"/>
    </xf>
    <xf numFmtId="166" fontId="16" fillId="29" borderId="0" xfId="0" applyFont="1" applyFill="1" applyAlignment="1" applyProtection="1">
      <alignment vertical="center"/>
      <protection locked="0"/>
    </xf>
    <xf numFmtId="166" fontId="20" fillId="2" borderId="0" xfId="0" applyFont="1" applyAlignment="1" applyProtection="1">
      <alignment vertical="center"/>
      <protection locked="0"/>
    </xf>
    <xf numFmtId="166" fontId="16" fillId="15" borderId="0" xfId="0" applyFont="1" applyFill="1" applyAlignment="1" applyProtection="1">
      <alignment vertical="center"/>
      <protection locked="0"/>
    </xf>
    <xf numFmtId="0" fontId="18" fillId="11" borderId="31" xfId="0" applyNumberFormat="1" applyFont="1" applyFill="1" applyBorder="1" applyAlignment="1" applyProtection="1">
      <alignment horizontal="center" vertical="center"/>
      <protection locked="0"/>
    </xf>
    <xf numFmtId="0" fontId="16" fillId="11" borderId="24" xfId="0" applyNumberFormat="1" applyFont="1" applyFill="1" applyBorder="1" applyAlignment="1" applyProtection="1">
      <alignment vertical="center"/>
      <protection locked="0"/>
    </xf>
    <xf numFmtId="0" fontId="16" fillId="15" borderId="32" xfId="0" applyNumberFormat="1" applyFont="1" applyFill="1" applyBorder="1" applyAlignment="1" applyProtection="1">
      <alignment vertical="center"/>
      <protection locked="0"/>
    </xf>
    <xf numFmtId="0" fontId="16" fillId="11" borderId="31" xfId="0" applyNumberFormat="1" applyFont="1" applyFill="1" applyBorder="1" applyAlignment="1" applyProtection="1">
      <alignment vertical="center"/>
      <protection locked="0"/>
    </xf>
    <xf numFmtId="0" fontId="18" fillId="11" borderId="24" xfId="0" applyNumberFormat="1" applyFont="1" applyFill="1" applyBorder="1" applyAlignment="1" applyProtection="1">
      <alignment vertical="center"/>
      <protection locked="0"/>
    </xf>
    <xf numFmtId="0" fontId="18" fillId="15" borderId="0" xfId="0" applyNumberFormat="1" applyFont="1" applyFill="1" applyAlignment="1" applyProtection="1">
      <alignment horizontal="left" vertical="center"/>
      <protection locked="0"/>
    </xf>
    <xf numFmtId="0" fontId="18" fillId="15" borderId="0" xfId="0" applyNumberFormat="1" applyFont="1" applyFill="1" applyAlignment="1" applyProtection="1">
      <alignment vertical="center"/>
      <protection locked="0"/>
    </xf>
    <xf numFmtId="174" fontId="22" fillId="28" borderId="0" xfId="13" applyNumberFormat="1" applyFont="1" applyFill="1" applyBorder="1" applyAlignment="1" applyProtection="1">
      <alignment horizontal="right" vertical="center"/>
      <protection locked="0"/>
    </xf>
    <xf numFmtId="0" fontId="18" fillId="11" borderId="32" xfId="0" applyNumberFormat="1" applyFont="1" applyFill="1" applyBorder="1" applyAlignment="1" applyProtection="1">
      <alignment vertical="center"/>
      <protection locked="0"/>
    </xf>
    <xf numFmtId="0" fontId="16" fillId="11" borderId="0" xfId="0" applyNumberFormat="1" applyFont="1" applyFill="1" applyAlignment="1" applyProtection="1">
      <alignment vertical="center"/>
      <protection locked="0"/>
    </xf>
    <xf numFmtId="0" fontId="16" fillId="11" borderId="32" xfId="0" applyNumberFormat="1" applyFont="1" applyFill="1" applyBorder="1" applyAlignment="1" applyProtection="1">
      <alignment vertical="center"/>
      <protection locked="0"/>
    </xf>
    <xf numFmtId="0" fontId="18" fillId="11" borderId="0" xfId="0" applyNumberFormat="1" applyFont="1" applyFill="1" applyAlignment="1" applyProtection="1">
      <alignment vertical="center"/>
      <protection locked="0"/>
    </xf>
    <xf numFmtId="0" fontId="16" fillId="15" borderId="0" xfId="0" applyNumberFormat="1" applyFont="1" applyFill="1" applyAlignment="1" applyProtection="1">
      <alignment vertical="center"/>
      <protection locked="0"/>
    </xf>
    <xf numFmtId="167" fontId="18" fillId="15" borderId="0" xfId="36" applyNumberFormat="1" applyFont="1" applyFill="1" applyBorder="1" applyAlignment="1" applyProtection="1">
      <alignment vertical="center"/>
      <protection locked="0"/>
    </xf>
    <xf numFmtId="0" fontId="22" fillId="28" borderId="0" xfId="0" applyNumberFormat="1" applyFont="1" applyFill="1" applyAlignment="1" applyProtection="1">
      <alignment vertical="center"/>
      <protection locked="0"/>
    </xf>
    <xf numFmtId="167" fontId="18" fillId="11" borderId="24" xfId="36" applyNumberFormat="1" applyFont="1" applyFill="1" applyBorder="1" applyAlignment="1" applyProtection="1">
      <alignment horizontal="center" vertical="center"/>
      <protection locked="0"/>
    </xf>
    <xf numFmtId="9" fontId="18" fillId="11" borderId="24" xfId="36" applyFont="1" applyFill="1" applyBorder="1" applyAlignment="1" applyProtection="1">
      <alignment horizontal="center" vertical="center"/>
      <protection locked="0"/>
    </xf>
    <xf numFmtId="165" fontId="18" fillId="11" borderId="24" xfId="13" applyNumberFormat="1" applyFont="1" applyFill="1" applyBorder="1" applyAlignment="1" applyProtection="1">
      <alignment horizontal="center" vertical="center"/>
      <protection locked="0"/>
    </xf>
    <xf numFmtId="167" fontId="18" fillId="11" borderId="24" xfId="36" applyNumberFormat="1" applyFont="1" applyFill="1" applyBorder="1" applyAlignment="1" applyProtection="1">
      <alignment vertical="center"/>
      <protection locked="0"/>
    </xf>
    <xf numFmtId="9" fontId="16" fillId="15" borderId="32" xfId="36" applyFont="1" applyFill="1" applyBorder="1" applyAlignment="1" applyProtection="1">
      <alignment vertical="center"/>
      <protection locked="0"/>
    </xf>
    <xf numFmtId="167" fontId="16" fillId="15" borderId="0" xfId="36" applyNumberFormat="1" applyFont="1" applyFill="1" applyBorder="1" applyAlignment="1" applyProtection="1">
      <alignment vertical="center"/>
      <protection locked="0"/>
    </xf>
    <xf numFmtId="176" fontId="16" fillId="11" borderId="0" xfId="0" applyNumberFormat="1" applyFont="1" applyFill="1" applyAlignment="1" applyProtection="1">
      <alignment vertical="center"/>
      <protection locked="0"/>
    </xf>
    <xf numFmtId="174" fontId="16" fillId="11" borderId="0" xfId="13" applyNumberFormat="1" applyFont="1" applyFill="1" applyBorder="1" applyAlignment="1" applyProtection="1">
      <alignment vertical="center"/>
      <protection locked="0"/>
    </xf>
    <xf numFmtId="176" fontId="16" fillId="11" borderId="0" xfId="13" applyNumberFormat="1" applyFont="1" applyFill="1" applyBorder="1" applyAlignment="1" applyProtection="1">
      <alignment vertical="center"/>
      <protection locked="0"/>
    </xf>
    <xf numFmtId="174" fontId="16" fillId="11" borderId="0" xfId="0" applyNumberFormat="1" applyFont="1" applyFill="1" applyAlignment="1" applyProtection="1">
      <alignment vertical="center"/>
      <protection locked="0"/>
    </xf>
    <xf numFmtId="166" fontId="16" fillId="2" borderId="24" xfId="0" applyFont="1" applyBorder="1" applyAlignment="1" applyProtection="1">
      <alignment vertical="center"/>
      <protection locked="0"/>
    </xf>
    <xf numFmtId="166" fontId="17" fillId="2" borderId="0" xfId="0" applyFont="1" applyAlignment="1" applyProtection="1">
      <alignment vertical="center"/>
      <protection locked="0"/>
    </xf>
    <xf numFmtId="166" fontId="18" fillId="16" borderId="0" xfId="0" applyFont="1" applyFill="1" applyAlignment="1" applyProtection="1">
      <alignment vertical="center"/>
      <protection locked="0"/>
    </xf>
    <xf numFmtId="176" fontId="23" fillId="28" borderId="0" xfId="13" applyNumberFormat="1" applyFont="1" applyFill="1" applyBorder="1" applyAlignment="1" applyProtection="1">
      <alignment horizontal="right" vertical="center"/>
      <protection locked="0"/>
    </xf>
    <xf numFmtId="0" fontId="18" fillId="11" borderId="31" xfId="0" applyNumberFormat="1" applyFont="1" applyFill="1" applyBorder="1" applyAlignment="1" applyProtection="1">
      <alignment horizontal="left" vertical="center"/>
      <protection locked="0"/>
    </xf>
    <xf numFmtId="167" fontId="20" fillId="11" borderId="24" xfId="36" applyNumberFormat="1" applyFont="1" applyFill="1" applyBorder="1" applyAlignment="1" applyProtection="1">
      <alignment vertical="center"/>
      <protection locked="0"/>
    </xf>
    <xf numFmtId="0" fontId="18" fillId="11" borderId="31" xfId="0" applyNumberFormat="1" applyFont="1" applyFill="1" applyBorder="1" applyAlignment="1" applyProtection="1">
      <alignment vertical="center"/>
      <protection locked="0"/>
    </xf>
    <xf numFmtId="166" fontId="16" fillId="15" borderId="32" xfId="0" applyFont="1" applyFill="1" applyBorder="1" applyAlignment="1" applyProtection="1">
      <alignment vertical="center"/>
      <protection locked="0"/>
    </xf>
    <xf numFmtId="10" fontId="18" fillId="11" borderId="24" xfId="0" applyNumberFormat="1" applyFont="1" applyFill="1" applyBorder="1" applyAlignment="1" applyProtection="1">
      <alignment horizontal="right" vertical="center"/>
      <protection locked="0"/>
    </xf>
    <xf numFmtId="176" fontId="18" fillId="11" borderId="24" xfId="13" applyNumberFormat="1" applyFont="1" applyFill="1" applyBorder="1" applyAlignment="1" applyProtection="1">
      <alignment vertical="center"/>
      <protection locked="0"/>
    </xf>
    <xf numFmtId="9" fontId="16" fillId="11" borderId="0" xfId="0" applyNumberFormat="1" applyFont="1" applyFill="1" applyAlignment="1" applyProtection="1">
      <alignment vertical="center"/>
      <protection locked="0"/>
    </xf>
    <xf numFmtId="167" fontId="20" fillId="11" borderId="0" xfId="36" applyNumberFormat="1" applyFont="1" applyFill="1" applyBorder="1" applyAlignment="1" applyProtection="1">
      <alignment vertical="center"/>
      <protection locked="0"/>
    </xf>
    <xf numFmtId="164" fontId="16" fillId="11" borderId="0" xfId="13" applyFont="1" applyFill="1" applyBorder="1" applyAlignment="1" applyProtection="1">
      <alignment vertical="center"/>
      <protection locked="0"/>
    </xf>
    <xf numFmtId="9" fontId="16" fillId="17" borderId="0" xfId="0" applyNumberFormat="1" applyFont="1" applyFill="1" applyAlignment="1" applyProtection="1">
      <alignment vertical="center"/>
      <protection locked="0"/>
    </xf>
    <xf numFmtId="0" fontId="18" fillId="11" borderId="24" xfId="13" applyNumberFormat="1" applyFont="1" applyFill="1" applyBorder="1" applyAlignment="1" applyProtection="1">
      <alignment horizontal="center" vertical="center"/>
      <protection locked="0"/>
    </xf>
    <xf numFmtId="165" fontId="18" fillId="11" borderId="24" xfId="13" applyNumberFormat="1" applyFont="1" applyFill="1" applyBorder="1" applyAlignment="1" applyProtection="1">
      <alignment vertical="center"/>
      <protection locked="0"/>
    </xf>
    <xf numFmtId="38" fontId="16" fillId="11" borderId="0" xfId="0" applyNumberFormat="1" applyFont="1" applyFill="1" applyAlignment="1" applyProtection="1">
      <alignment vertical="center"/>
      <protection locked="0"/>
    </xf>
    <xf numFmtId="167" fontId="16" fillId="11" borderId="0" xfId="36" applyNumberFormat="1" applyFont="1" applyFill="1" applyBorder="1" applyAlignment="1" applyProtection="1">
      <alignment vertical="center"/>
      <protection locked="0"/>
    </xf>
    <xf numFmtId="2" fontId="16" fillId="11" borderId="0" xfId="0" applyNumberFormat="1" applyFont="1" applyFill="1" applyAlignment="1" applyProtection="1">
      <alignment vertical="center"/>
      <protection locked="0"/>
    </xf>
    <xf numFmtId="166" fontId="16" fillId="11" borderId="0" xfId="0" applyFont="1" applyFill="1" applyAlignment="1" applyProtection="1">
      <alignment vertical="center"/>
      <protection locked="0"/>
    </xf>
    <xf numFmtId="40" fontId="16" fillId="11" borderId="0" xfId="0" applyNumberFormat="1" applyFont="1" applyFill="1" applyAlignment="1" applyProtection="1">
      <alignment vertical="center"/>
      <protection locked="0"/>
    </xf>
    <xf numFmtId="167" fontId="16" fillId="11" borderId="0" xfId="0" applyNumberFormat="1" applyFont="1" applyFill="1" applyAlignment="1" applyProtection="1">
      <alignment vertical="center"/>
      <protection locked="0"/>
    </xf>
    <xf numFmtId="165" fontId="16" fillId="11" borderId="0" xfId="13" applyNumberFormat="1" applyFont="1" applyFill="1" applyBorder="1" applyAlignment="1" applyProtection="1">
      <alignment vertical="center"/>
      <protection locked="0"/>
    </xf>
    <xf numFmtId="166" fontId="22" fillId="28" borderId="0" xfId="0" applyFont="1" applyFill="1" applyAlignment="1" applyProtection="1">
      <alignment horizontal="right" vertical="center"/>
      <protection locked="0"/>
    </xf>
    <xf numFmtId="0" fontId="24" fillId="11" borderId="31" xfId="0" applyNumberFormat="1" applyFont="1" applyFill="1" applyBorder="1" applyAlignment="1" applyProtection="1">
      <alignment vertical="center"/>
      <protection locked="0"/>
    </xf>
    <xf numFmtId="0" fontId="24" fillId="11" borderId="24" xfId="0" applyNumberFormat="1" applyFont="1" applyFill="1" applyBorder="1" applyAlignment="1" applyProtection="1">
      <alignment vertical="center"/>
      <protection locked="0"/>
    </xf>
    <xf numFmtId="166" fontId="16" fillId="2" borderId="32" xfId="0" applyFont="1" applyBorder="1" applyAlignment="1" applyProtection="1">
      <alignment vertical="center"/>
      <protection locked="0"/>
    </xf>
    <xf numFmtId="9" fontId="18" fillId="11" borderId="24" xfId="36" applyFont="1" applyFill="1" applyBorder="1" applyAlignment="1" applyProtection="1">
      <alignment horizontal="right" vertical="center"/>
      <protection locked="0"/>
    </xf>
    <xf numFmtId="9" fontId="16" fillId="15" borderId="32" xfId="0" applyNumberFormat="1" applyFont="1" applyFill="1" applyBorder="1" applyAlignment="1" applyProtection="1">
      <alignment vertical="center"/>
      <protection locked="0"/>
    </xf>
    <xf numFmtId="0" fontId="16" fillId="16" borderId="24" xfId="0" applyNumberFormat="1" applyFont="1" applyFill="1" applyBorder="1" applyAlignment="1" applyProtection="1">
      <alignment vertical="center"/>
      <protection locked="0"/>
    </xf>
    <xf numFmtId="167" fontId="16" fillId="16" borderId="24" xfId="36" applyNumberFormat="1" applyFont="1" applyFill="1" applyBorder="1" applyAlignment="1" applyProtection="1">
      <alignment vertical="center"/>
      <protection locked="0"/>
    </xf>
    <xf numFmtId="0" fontId="16" fillId="16" borderId="31" xfId="0" applyNumberFormat="1" applyFont="1" applyFill="1" applyBorder="1" applyAlignment="1" applyProtection="1">
      <alignment vertical="center"/>
      <protection locked="0"/>
    </xf>
    <xf numFmtId="168" fontId="22" fillId="28" borderId="0" xfId="0" applyNumberFormat="1" applyFont="1" applyFill="1" applyAlignment="1" applyProtection="1">
      <alignment horizontal="right" vertical="center"/>
      <protection locked="0"/>
    </xf>
    <xf numFmtId="9" fontId="16" fillId="11" borderId="0" xfId="36" applyFont="1" applyFill="1" applyBorder="1" applyAlignment="1" applyProtection="1">
      <alignment vertical="center"/>
      <protection locked="0"/>
    </xf>
    <xf numFmtId="167" fontId="16" fillId="16" borderId="32" xfId="36" applyNumberFormat="1" applyFont="1" applyFill="1" applyBorder="1" applyAlignment="1" applyProtection="1">
      <alignment vertical="center"/>
      <protection locked="0"/>
    </xf>
    <xf numFmtId="167" fontId="16" fillId="16" borderId="0" xfId="36" applyNumberFormat="1" applyFont="1" applyFill="1" applyBorder="1" applyAlignment="1" applyProtection="1">
      <alignment vertical="center"/>
      <protection locked="0"/>
    </xf>
    <xf numFmtId="0" fontId="16" fillId="16" borderId="32" xfId="0" applyNumberFormat="1" applyFont="1" applyFill="1" applyBorder="1" applyAlignment="1" applyProtection="1">
      <alignment vertical="center"/>
      <protection locked="0"/>
    </xf>
    <xf numFmtId="164" fontId="16" fillId="16" borderId="0" xfId="13" applyFont="1" applyFill="1" applyBorder="1" applyAlignment="1" applyProtection="1">
      <alignment vertical="center"/>
      <protection locked="0"/>
    </xf>
    <xf numFmtId="166" fontId="16" fillId="16" borderId="32" xfId="0" applyFont="1" applyFill="1" applyBorder="1" applyAlignment="1" applyProtection="1">
      <alignment vertical="center"/>
      <protection locked="0"/>
    </xf>
    <xf numFmtId="169" fontId="16" fillId="16" borderId="32" xfId="0" applyNumberFormat="1" applyFont="1" applyFill="1" applyBorder="1" applyAlignment="1" applyProtection="1">
      <alignment vertical="center"/>
      <protection locked="0"/>
    </xf>
    <xf numFmtId="166" fontId="23" fillId="28" borderId="0" xfId="0" applyFont="1" applyFill="1" applyAlignment="1" applyProtection="1">
      <alignment horizontal="right" vertical="center"/>
      <protection locked="0"/>
    </xf>
    <xf numFmtId="169" fontId="16" fillId="16" borderId="0" xfId="0" applyNumberFormat="1" applyFont="1" applyFill="1" applyAlignment="1" applyProtection="1">
      <alignment vertical="center"/>
      <protection locked="0"/>
    </xf>
    <xf numFmtId="166" fontId="16" fillId="15" borderId="24" xfId="0" applyFont="1" applyFill="1" applyBorder="1" applyAlignment="1" applyProtection="1">
      <alignment vertical="center"/>
      <protection locked="0"/>
    </xf>
    <xf numFmtId="0" fontId="24" fillId="11" borderId="31" xfId="0" applyNumberFormat="1" applyFont="1" applyFill="1" applyBorder="1" applyAlignment="1" applyProtection="1">
      <alignment horizontal="left" vertical="center"/>
      <protection locked="0"/>
    </xf>
    <xf numFmtId="166" fontId="15" fillId="2" borderId="0" xfId="0" applyFont="1" applyAlignment="1" applyProtection="1">
      <alignment vertical="center"/>
      <protection locked="0"/>
    </xf>
    <xf numFmtId="166" fontId="15" fillId="29" borderId="0" xfId="0" applyFont="1" applyFill="1" applyAlignment="1" applyProtection="1">
      <alignment vertical="center"/>
      <protection locked="0"/>
    </xf>
    <xf numFmtId="166" fontId="15" fillId="15" borderId="0" xfId="0" applyFont="1" applyFill="1" applyAlignment="1" applyProtection="1">
      <alignment vertical="center"/>
      <protection locked="0"/>
    </xf>
    <xf numFmtId="175" fontId="18" fillId="11" borderId="24" xfId="13" applyNumberFormat="1" applyFont="1" applyFill="1" applyBorder="1" applyAlignment="1" applyProtection="1">
      <alignment horizontal="right" vertical="center"/>
      <protection locked="0"/>
    </xf>
    <xf numFmtId="175" fontId="18" fillId="11" borderId="24" xfId="13" applyNumberFormat="1" applyFont="1" applyFill="1" applyBorder="1" applyAlignment="1" applyProtection="1">
      <alignment vertical="center"/>
      <protection locked="0"/>
    </xf>
    <xf numFmtId="165" fontId="18" fillId="11" borderId="24" xfId="13" applyNumberFormat="1" applyFont="1" applyFill="1" applyBorder="1" applyAlignment="1" applyProtection="1">
      <alignment horizontal="right" vertical="center"/>
      <protection locked="0"/>
    </xf>
    <xf numFmtId="165" fontId="20" fillId="11" borderId="31" xfId="13" applyNumberFormat="1" applyFont="1" applyFill="1" applyBorder="1" applyAlignment="1" applyProtection="1">
      <alignment horizontal="right" vertical="center"/>
      <protection locked="0"/>
    </xf>
    <xf numFmtId="165" fontId="18" fillId="11" borderId="31" xfId="13" applyNumberFormat="1" applyFont="1" applyFill="1" applyBorder="1" applyAlignment="1" applyProtection="1">
      <alignment horizontal="right" vertical="center"/>
      <protection locked="0"/>
    </xf>
    <xf numFmtId="9" fontId="22" fillId="28" borderId="0" xfId="36" applyFont="1" applyFill="1" applyBorder="1" applyAlignment="1" applyProtection="1">
      <alignment horizontal="right" vertical="center"/>
      <protection locked="0"/>
    </xf>
    <xf numFmtId="173" fontId="18" fillId="17" borderId="0" xfId="13" applyNumberFormat="1" applyFont="1" applyFill="1" applyBorder="1" applyAlignment="1" applyProtection="1">
      <alignment vertical="center"/>
      <protection locked="0"/>
    </xf>
    <xf numFmtId="175" fontId="18" fillId="17" borderId="0" xfId="13" applyNumberFormat="1" applyFont="1" applyFill="1" applyBorder="1" applyAlignment="1" applyProtection="1">
      <alignment vertical="center"/>
      <protection locked="0"/>
    </xf>
    <xf numFmtId="165" fontId="18" fillId="11" borderId="0" xfId="13" applyNumberFormat="1" applyFont="1" applyFill="1" applyBorder="1" applyAlignment="1" applyProtection="1">
      <alignment vertical="center"/>
      <protection locked="0"/>
    </xf>
    <xf numFmtId="165" fontId="18" fillId="11" borderId="32" xfId="13" applyNumberFormat="1" applyFont="1" applyFill="1" applyBorder="1" applyAlignment="1" applyProtection="1">
      <alignment vertical="center"/>
      <protection locked="0"/>
    </xf>
    <xf numFmtId="167" fontId="22" fillId="28" borderId="0" xfId="36" applyNumberFormat="1" applyFont="1" applyFill="1" applyBorder="1" applyAlignment="1" applyProtection="1">
      <alignment horizontal="right" vertical="center"/>
      <protection locked="0"/>
    </xf>
    <xf numFmtId="9" fontId="18" fillId="11" borderId="0" xfId="36" applyFont="1" applyFill="1" applyBorder="1" applyAlignment="1" applyProtection="1">
      <alignment vertical="center"/>
      <protection locked="0"/>
    </xf>
    <xf numFmtId="9" fontId="18" fillId="11" borderId="32" xfId="36" applyFont="1" applyFill="1" applyBorder="1" applyAlignment="1" applyProtection="1">
      <alignment vertical="center"/>
      <protection locked="0"/>
    </xf>
    <xf numFmtId="164" fontId="18" fillId="11" borderId="32" xfId="13" applyFont="1" applyFill="1" applyBorder="1" applyAlignment="1" applyProtection="1">
      <alignment vertical="center"/>
      <protection locked="0"/>
    </xf>
    <xf numFmtId="168" fontId="16" fillId="2" borderId="0" xfId="0" applyNumberFormat="1" applyFont="1" applyAlignment="1" applyProtection="1">
      <alignment vertical="center"/>
      <protection locked="0"/>
    </xf>
    <xf numFmtId="164" fontId="22" fillId="28" borderId="0" xfId="13" applyFont="1" applyFill="1" applyBorder="1" applyAlignment="1" applyProtection="1">
      <alignment horizontal="right" vertical="center"/>
      <protection locked="0"/>
    </xf>
    <xf numFmtId="172" fontId="18" fillId="15" borderId="32" xfId="0" applyNumberFormat="1" applyFont="1" applyFill="1" applyBorder="1" applyAlignment="1" applyProtection="1">
      <alignment vertical="center"/>
      <protection locked="0"/>
    </xf>
    <xf numFmtId="0" fontId="16" fillId="11" borderId="24" xfId="0" applyNumberFormat="1" applyFont="1" applyFill="1" applyBorder="1" applyAlignment="1" applyProtection="1">
      <alignment horizontal="center" vertical="center"/>
      <protection locked="0"/>
    </xf>
    <xf numFmtId="167" fontId="18" fillId="11" borderId="24" xfId="36" applyNumberFormat="1" applyFont="1" applyFill="1" applyBorder="1" applyAlignment="1" applyProtection="1">
      <alignment horizontal="right" vertical="center"/>
      <protection locked="0"/>
    </xf>
    <xf numFmtId="167" fontId="18" fillId="11" borderId="0" xfId="36" applyNumberFormat="1" applyFont="1" applyFill="1" applyBorder="1" applyAlignment="1" applyProtection="1">
      <alignment vertical="center"/>
      <protection locked="0"/>
    </xf>
    <xf numFmtId="0" fontId="25" fillId="16" borderId="24" xfId="0" applyNumberFormat="1" applyFont="1" applyFill="1" applyBorder="1" applyAlignment="1" applyProtection="1">
      <alignment horizontal="center" vertical="center" wrapText="1"/>
      <protection locked="0"/>
    </xf>
    <xf numFmtId="166" fontId="16" fillId="16" borderId="24" xfId="0" applyFont="1" applyFill="1" applyBorder="1" applyAlignment="1" applyProtection="1">
      <alignment vertical="center"/>
      <protection locked="0"/>
    </xf>
    <xf numFmtId="166" fontId="15" fillId="28" borderId="0" xfId="0" applyFont="1" applyFill="1" applyAlignment="1" applyProtection="1">
      <alignment vertical="center"/>
      <protection locked="0"/>
    </xf>
    <xf numFmtId="167" fontId="18" fillId="16" borderId="0" xfId="0" applyNumberFormat="1" applyFont="1" applyFill="1" applyAlignment="1" applyProtection="1">
      <alignment vertical="center"/>
      <protection locked="0"/>
    </xf>
    <xf numFmtId="167" fontId="18" fillId="15" borderId="0" xfId="0" applyNumberFormat="1" applyFont="1" applyFill="1" applyAlignment="1" applyProtection="1">
      <alignment vertical="center"/>
      <protection locked="0"/>
    </xf>
    <xf numFmtId="165" fontId="18" fillId="16" borderId="0" xfId="13" applyNumberFormat="1" applyFont="1" applyFill="1" applyBorder="1" applyAlignment="1" applyProtection="1">
      <alignment vertical="center"/>
      <protection locked="0"/>
    </xf>
    <xf numFmtId="165" fontId="18" fillId="16" borderId="0" xfId="0" applyNumberFormat="1" applyFont="1" applyFill="1" applyAlignment="1" applyProtection="1">
      <alignment vertical="center"/>
      <protection locked="0"/>
    </xf>
    <xf numFmtId="0" fontId="18" fillId="16" borderId="0" xfId="0" applyNumberFormat="1" applyFont="1" applyFill="1" applyAlignment="1" applyProtection="1">
      <alignment horizontal="center" vertical="center"/>
      <protection locked="0"/>
    </xf>
    <xf numFmtId="0" fontId="18" fillId="16" borderId="0" xfId="0" applyNumberFormat="1" applyFont="1" applyFill="1" applyAlignment="1" applyProtection="1">
      <alignment vertical="center"/>
      <protection locked="0"/>
    </xf>
    <xf numFmtId="0" fontId="25" fillId="16" borderId="32" xfId="0" applyNumberFormat="1" applyFont="1" applyFill="1" applyBorder="1" applyAlignment="1" applyProtection="1">
      <alignment vertical="center"/>
      <protection locked="0"/>
    </xf>
    <xf numFmtId="0" fontId="24" fillId="16" borderId="31" xfId="0" applyNumberFormat="1" applyFont="1" applyFill="1" applyBorder="1" applyAlignment="1" applyProtection="1">
      <alignment horizontal="left" vertical="center"/>
      <protection locked="0"/>
    </xf>
    <xf numFmtId="0" fontId="25" fillId="16" borderId="0" xfId="0" applyNumberFormat="1" applyFont="1" applyFill="1" applyAlignment="1" applyProtection="1">
      <alignment horizontal="center" vertical="center" wrapText="1"/>
      <protection locked="0"/>
    </xf>
    <xf numFmtId="164" fontId="20" fillId="16" borderId="0" xfId="13" applyFont="1" applyFill="1" applyBorder="1" applyAlignment="1" applyProtection="1">
      <alignment vertical="center"/>
      <protection locked="0"/>
    </xf>
    <xf numFmtId="173" fontId="18" fillId="16" borderId="24" xfId="13" applyNumberFormat="1" applyFont="1" applyFill="1" applyBorder="1" applyAlignment="1" applyProtection="1">
      <alignment horizontal="right" vertical="center"/>
      <protection locked="0"/>
    </xf>
    <xf numFmtId="9" fontId="16" fillId="16" borderId="0" xfId="13" applyNumberFormat="1" applyFont="1" applyFill="1" applyBorder="1" applyAlignment="1" applyProtection="1">
      <alignment vertical="center"/>
      <protection locked="0"/>
    </xf>
    <xf numFmtId="9" fontId="18" fillId="16" borderId="0" xfId="0" applyNumberFormat="1" applyFont="1" applyFill="1" applyAlignment="1" applyProtection="1">
      <alignment vertical="center"/>
      <protection locked="0"/>
    </xf>
    <xf numFmtId="173" fontId="18" fillId="16" borderId="0" xfId="13" applyNumberFormat="1" applyFont="1" applyFill="1" applyBorder="1" applyAlignment="1" applyProtection="1">
      <alignment vertical="center"/>
      <protection locked="0"/>
    </xf>
    <xf numFmtId="165" fontId="16" fillId="16" borderId="0" xfId="0" applyNumberFormat="1" applyFont="1" applyFill="1" applyAlignment="1" applyProtection="1">
      <alignment vertical="center"/>
      <protection locked="0"/>
    </xf>
    <xf numFmtId="177" fontId="37" fillId="15" borderId="31" xfId="0" applyNumberFormat="1" applyFont="1" applyFill="1" applyBorder="1" applyAlignment="1" applyProtection="1">
      <alignment horizontal="left" vertical="center"/>
      <protection locked="0"/>
    </xf>
    <xf numFmtId="166" fontId="16" fillId="2" borderId="32" xfId="0" applyFont="1" applyBorder="1" applyAlignment="1" applyProtection="1">
      <alignment horizontal="left" vertical="center"/>
      <protection locked="0"/>
    </xf>
    <xf numFmtId="169" fontId="18" fillId="16" borderId="0" xfId="0" applyNumberFormat="1" applyFont="1" applyFill="1" applyAlignment="1" applyProtection="1">
      <alignment vertical="center"/>
      <protection locked="0"/>
    </xf>
    <xf numFmtId="177" fontId="20" fillId="15" borderId="32" xfId="0" applyNumberFormat="1" applyFont="1" applyFill="1" applyBorder="1" applyAlignment="1" applyProtection="1">
      <alignment horizontal="left" vertical="center"/>
      <protection locked="0"/>
    </xf>
    <xf numFmtId="4" fontId="18" fillId="15" borderId="0" xfId="13" applyNumberFormat="1" applyFont="1" applyFill="1" applyBorder="1" applyAlignment="1" applyProtection="1">
      <alignment horizontal="right" vertical="center"/>
      <protection locked="0"/>
    </xf>
    <xf numFmtId="167" fontId="22" fillId="13" borderId="0" xfId="36" applyNumberFormat="1" applyFont="1" applyFill="1" applyBorder="1" applyAlignment="1" applyProtection="1">
      <alignment vertical="center"/>
      <protection locked="0"/>
    </xf>
    <xf numFmtId="168" fontId="16" fillId="16" borderId="32" xfId="0" applyNumberFormat="1" applyFont="1" applyFill="1" applyBorder="1" applyAlignment="1" applyProtection="1">
      <alignment vertical="center"/>
      <protection locked="0"/>
    </xf>
    <xf numFmtId="0" fontId="16" fillId="32" borderId="12" xfId="0" applyNumberFormat="1" applyFont="1" applyFill="1" applyBorder="1" applyAlignment="1" applyProtection="1">
      <alignment vertical="center"/>
      <protection locked="0"/>
    </xf>
    <xf numFmtId="15" fontId="16" fillId="16" borderId="13" xfId="13" applyNumberFormat="1" applyFont="1" applyFill="1" applyBorder="1" applyAlignment="1" applyProtection="1">
      <alignment horizontal="center" vertical="center"/>
      <protection locked="0"/>
    </xf>
    <xf numFmtId="177" fontId="16" fillId="16" borderId="13" xfId="0" applyNumberFormat="1" applyFont="1" applyFill="1" applyBorder="1" applyAlignment="1" applyProtection="1">
      <alignment vertical="center"/>
      <protection locked="0"/>
    </xf>
    <xf numFmtId="2" fontId="16" fillId="16" borderId="14" xfId="0" applyNumberFormat="1" applyFont="1" applyFill="1" applyBorder="1" applyAlignment="1" applyProtection="1">
      <alignment vertical="center"/>
      <protection locked="0"/>
    </xf>
    <xf numFmtId="166" fontId="22" fillId="28" borderId="0" xfId="0" applyFont="1" applyFill="1" applyAlignment="1" applyProtection="1">
      <alignment vertical="center"/>
      <protection locked="0"/>
    </xf>
    <xf numFmtId="0" fontId="16" fillId="32" borderId="15" xfId="0" applyNumberFormat="1" applyFont="1" applyFill="1" applyBorder="1" applyAlignment="1" applyProtection="1">
      <alignment vertical="center"/>
      <protection locked="0"/>
    </xf>
    <xf numFmtId="15" fontId="16" fillId="16" borderId="0" xfId="13" applyNumberFormat="1" applyFont="1" applyFill="1" applyBorder="1" applyAlignment="1" applyProtection="1">
      <alignment horizontal="center" vertical="center"/>
      <protection locked="0"/>
    </xf>
    <xf numFmtId="0" fontId="16" fillId="16" borderId="16" xfId="0" applyNumberFormat="1" applyFont="1" applyFill="1" applyBorder="1" applyAlignment="1" applyProtection="1">
      <alignment vertical="center"/>
      <protection locked="0"/>
    </xf>
    <xf numFmtId="4" fontId="16" fillId="16" borderId="0" xfId="0" applyNumberFormat="1" applyFont="1" applyFill="1" applyAlignment="1" applyProtection="1">
      <alignment vertical="center"/>
      <protection locked="0"/>
    </xf>
    <xf numFmtId="165" fontId="16" fillId="16" borderId="0" xfId="13" applyNumberFormat="1" applyFont="1" applyFill="1" applyBorder="1" applyAlignment="1" applyProtection="1">
      <alignment vertical="center"/>
      <protection locked="0"/>
    </xf>
    <xf numFmtId="165" fontId="17" fillId="15" borderId="0" xfId="13" applyNumberFormat="1" applyFont="1" applyFill="1" applyBorder="1" applyAlignment="1" applyProtection="1">
      <alignment vertical="center"/>
      <protection locked="0"/>
    </xf>
    <xf numFmtId="0" fontId="18" fillId="20" borderId="15" xfId="0" applyNumberFormat="1" applyFont="1" applyFill="1" applyBorder="1" applyAlignment="1" applyProtection="1">
      <alignment vertical="center"/>
      <protection locked="0"/>
    </xf>
    <xf numFmtId="0" fontId="18" fillId="20" borderId="0" xfId="0" applyNumberFormat="1" applyFont="1" applyFill="1" applyAlignment="1" applyProtection="1">
      <alignment horizontal="right" vertical="center"/>
      <protection locked="0"/>
    </xf>
    <xf numFmtId="164" fontId="18" fillId="20" borderId="0" xfId="13" applyFont="1" applyFill="1" applyBorder="1" applyAlignment="1" applyProtection="1">
      <alignment vertical="center"/>
      <protection locked="0"/>
    </xf>
    <xf numFmtId="165" fontId="18" fillId="20" borderId="0" xfId="13" applyNumberFormat="1" applyFont="1" applyFill="1" applyBorder="1" applyAlignment="1" applyProtection="1">
      <alignment vertical="center"/>
      <protection locked="0"/>
    </xf>
    <xf numFmtId="10" fontId="18" fillId="20" borderId="0" xfId="36" applyNumberFormat="1" applyFont="1" applyFill="1" applyBorder="1" applyAlignment="1" applyProtection="1">
      <alignment vertical="center"/>
      <protection locked="0"/>
    </xf>
    <xf numFmtId="166" fontId="18" fillId="20" borderId="15" xfId="0" applyFont="1" applyFill="1" applyBorder="1" applyAlignment="1" applyProtection="1">
      <alignment vertical="center"/>
      <protection locked="0"/>
    </xf>
    <xf numFmtId="168" fontId="18" fillId="20" borderId="0" xfId="0" applyNumberFormat="1" applyFont="1" applyFill="1" applyAlignment="1" applyProtection="1">
      <alignment vertical="center"/>
      <protection locked="0"/>
    </xf>
    <xf numFmtId="166" fontId="0" fillId="16" borderId="15" xfId="0" applyFill="1" applyBorder="1" applyAlignment="1" applyProtection="1">
      <alignment vertical="center"/>
      <protection locked="0"/>
    </xf>
    <xf numFmtId="166" fontId="0" fillId="16" borderId="0" xfId="0" applyFill="1" applyAlignment="1" applyProtection="1">
      <alignment vertical="center"/>
      <protection locked="0"/>
    </xf>
    <xf numFmtId="166" fontId="15" fillId="16" borderId="0" xfId="0" applyFont="1" applyFill="1" applyAlignment="1" applyProtection="1">
      <alignment vertical="center"/>
      <protection locked="0"/>
    </xf>
    <xf numFmtId="167" fontId="16" fillId="2" borderId="0" xfId="0" applyNumberFormat="1" applyFont="1" applyAlignment="1" applyProtection="1">
      <alignment vertical="center"/>
      <protection locked="0"/>
    </xf>
    <xf numFmtId="166" fontId="16" fillId="2" borderId="0" xfId="0" quotePrefix="1" applyFont="1" applyAlignment="1" applyProtection="1">
      <alignment vertical="center"/>
      <protection locked="0"/>
    </xf>
    <xf numFmtId="0" fontId="16" fillId="2" borderId="0" xfId="0" applyNumberFormat="1" applyFont="1" applyAlignment="1" applyProtection="1">
      <alignment vertical="center"/>
      <protection locked="0"/>
    </xf>
    <xf numFmtId="167" fontId="22" fillId="18" borderId="0" xfId="36" applyNumberFormat="1" applyFont="1" applyFill="1" applyBorder="1" applyAlignment="1" applyProtection="1">
      <alignment vertical="center"/>
      <protection locked="0"/>
    </xf>
    <xf numFmtId="166" fontId="22" fillId="14" borderId="0" xfId="0" applyFont="1" applyFill="1" applyAlignment="1" applyProtection="1">
      <alignment horizontal="right" vertical="center"/>
      <protection locked="0"/>
    </xf>
    <xf numFmtId="169" fontId="22" fillId="28" borderId="0" xfId="0" applyNumberFormat="1" applyFont="1" applyFill="1" applyAlignment="1" applyProtection="1">
      <alignment horizontal="right" vertical="center"/>
      <protection locked="0"/>
    </xf>
    <xf numFmtId="166" fontId="22" fillId="19" borderId="0" xfId="0" applyFont="1" applyFill="1" applyAlignment="1" applyProtection="1">
      <alignment horizontal="right" vertical="center"/>
      <protection locked="0"/>
    </xf>
    <xf numFmtId="166" fontId="26" fillId="29" borderId="0" xfId="0" applyFont="1" applyFill="1" applyAlignment="1" applyProtection="1">
      <alignment vertical="center"/>
      <protection locked="0"/>
    </xf>
    <xf numFmtId="166" fontId="26" fillId="2" borderId="0" xfId="0" applyFont="1" applyAlignment="1" applyProtection="1">
      <alignment vertical="center"/>
      <protection locked="0"/>
    </xf>
    <xf numFmtId="166" fontId="26" fillId="15" borderId="0" xfId="0" applyFont="1" applyFill="1" applyAlignment="1" applyProtection="1">
      <alignment vertical="center"/>
      <protection locked="0"/>
    </xf>
    <xf numFmtId="166" fontId="26" fillId="2" borderId="0" xfId="0" applyFont="1" applyProtection="1">
      <protection locked="0"/>
    </xf>
    <xf numFmtId="166" fontId="22" fillId="2" borderId="0" xfId="0" applyFont="1" applyAlignment="1" applyProtection="1">
      <alignment horizontal="right" vertical="center"/>
      <protection locked="0"/>
    </xf>
    <xf numFmtId="0" fontId="15" fillId="28" borderId="0" xfId="0" applyNumberFormat="1" applyFont="1" applyFill="1" applyAlignment="1" applyProtection="1">
      <alignment vertical="center"/>
      <protection locked="0"/>
    </xf>
    <xf numFmtId="166" fontId="22" fillId="13" borderId="0" xfId="0" applyFont="1" applyFill="1" applyAlignment="1" applyProtection="1">
      <alignment horizontal="right" vertical="center"/>
      <protection locked="0"/>
    </xf>
    <xf numFmtId="167" fontId="22" fillId="28" borderId="0" xfId="36" applyNumberFormat="1" applyFont="1" applyFill="1" applyBorder="1" applyAlignment="1" applyProtection="1">
      <alignment vertical="center"/>
      <protection locked="0"/>
    </xf>
    <xf numFmtId="1" fontId="22" fillId="28" borderId="0" xfId="0" applyNumberFormat="1" applyFont="1" applyFill="1" applyAlignment="1" applyProtection="1">
      <alignment horizontal="right" vertical="center"/>
      <protection locked="0"/>
    </xf>
    <xf numFmtId="10" fontId="22" fillId="28" borderId="0" xfId="36" applyNumberFormat="1" applyFont="1" applyFill="1" applyBorder="1" applyAlignment="1" applyProtection="1">
      <alignment horizontal="right" vertical="center"/>
      <protection locked="0"/>
    </xf>
    <xf numFmtId="166" fontId="16" fillId="21" borderId="0" xfId="0" applyFont="1" applyFill="1" applyAlignment="1" applyProtection="1">
      <alignment horizontal="left" vertical="center"/>
      <protection locked="0"/>
    </xf>
    <xf numFmtId="4" fontId="16" fillId="21" borderId="0" xfId="0" applyNumberFormat="1" applyFont="1" applyFill="1" applyAlignment="1" applyProtection="1">
      <alignment horizontal="left" vertical="center"/>
      <protection locked="0"/>
    </xf>
    <xf numFmtId="166" fontId="20" fillId="21" borderId="0" xfId="0" applyFont="1" applyFill="1" applyAlignment="1" applyProtection="1">
      <alignment horizontal="right" vertical="center"/>
      <protection locked="0"/>
    </xf>
    <xf numFmtId="166" fontId="48" fillId="21" borderId="0" xfId="0" applyFont="1" applyFill="1" applyAlignment="1" applyProtection="1">
      <alignment horizontal="left" vertical="center"/>
      <protection locked="0"/>
    </xf>
    <xf numFmtId="4" fontId="48" fillId="21" borderId="0" xfId="0" applyNumberFormat="1" applyFont="1" applyFill="1" applyAlignment="1" applyProtection="1">
      <alignment horizontal="right" vertical="center"/>
      <protection locked="0"/>
    </xf>
    <xf numFmtId="167" fontId="48" fillId="21" borderId="0" xfId="0" applyNumberFormat="1" applyFont="1" applyFill="1" applyAlignment="1" applyProtection="1">
      <alignment horizontal="right" vertical="center"/>
      <protection locked="0"/>
    </xf>
    <xf numFmtId="9" fontId="16" fillId="2" borderId="0" xfId="0" applyNumberFormat="1" applyFont="1" applyAlignment="1" applyProtection="1">
      <alignment vertical="center"/>
      <protection locked="0"/>
    </xf>
    <xf numFmtId="4" fontId="16" fillId="21" borderId="0" xfId="0" applyNumberFormat="1" applyFont="1" applyFill="1" applyAlignment="1" applyProtection="1">
      <alignment horizontal="right" vertical="center"/>
      <protection locked="0"/>
    </xf>
    <xf numFmtId="167" fontId="16" fillId="21" borderId="0" xfId="0" applyNumberFormat="1" applyFont="1" applyFill="1" applyAlignment="1" applyProtection="1">
      <alignment horizontal="right" vertical="center"/>
      <protection locked="0"/>
    </xf>
    <xf numFmtId="4" fontId="16" fillId="2" borderId="0" xfId="0" quotePrefix="1" applyNumberFormat="1" applyFont="1" applyProtection="1">
      <protection locked="0"/>
    </xf>
    <xf numFmtId="166" fontId="17" fillId="36" borderId="0" xfId="0" applyFont="1" applyFill="1" applyProtection="1">
      <protection locked="0"/>
    </xf>
    <xf numFmtId="4" fontId="16" fillId="36" borderId="0" xfId="0" applyNumberFormat="1" applyFont="1" applyFill="1" applyProtection="1">
      <protection locked="0"/>
    </xf>
    <xf numFmtId="0" fontId="17" fillId="36" borderId="0" xfId="0" applyNumberFormat="1" applyFont="1" applyFill="1" applyProtection="1">
      <protection locked="0"/>
    </xf>
    <xf numFmtId="166" fontId="16" fillId="20" borderId="0" xfId="0" applyFont="1" applyFill="1" applyAlignment="1" applyProtection="1">
      <alignment vertical="center"/>
      <protection locked="0"/>
    </xf>
    <xf numFmtId="166" fontId="18" fillId="2" borderId="0" xfId="0" applyFont="1" applyAlignment="1" applyProtection="1">
      <alignment horizontal="left"/>
      <protection locked="0"/>
    </xf>
    <xf numFmtId="11" fontId="34" fillId="28" borderId="0" xfId="0" applyNumberFormat="1" applyFont="1" applyFill="1" applyProtection="1">
      <protection locked="0"/>
    </xf>
    <xf numFmtId="9" fontId="16" fillId="2" borderId="0" xfId="0" applyNumberFormat="1" applyFont="1" applyAlignment="1" applyProtection="1">
      <alignment horizontal="left"/>
      <protection locked="0"/>
    </xf>
    <xf numFmtId="166" fontId="16" fillId="33" borderId="0" xfId="0" applyFont="1" applyFill="1" applyAlignment="1" applyProtection="1">
      <alignment horizontal="left" vertical="center"/>
      <protection locked="0"/>
    </xf>
    <xf numFmtId="0" fontId="17" fillId="28" borderId="0" xfId="0" applyNumberFormat="1" applyFont="1" applyFill="1" applyAlignment="1" applyProtection="1">
      <alignment horizontal="left" vertical="center"/>
      <protection locked="0"/>
    </xf>
    <xf numFmtId="15" fontId="17" fillId="28" borderId="0" xfId="0" applyNumberFormat="1" applyFont="1" applyFill="1" applyAlignment="1" applyProtection="1">
      <alignment horizontal="left" vertical="center"/>
      <protection locked="0"/>
    </xf>
    <xf numFmtId="166" fontId="53" fillId="2" borderId="0" xfId="0" applyFont="1" applyProtection="1">
      <protection locked="0"/>
    </xf>
    <xf numFmtId="0" fontId="16" fillId="28" borderId="0" xfId="0" applyNumberFormat="1" applyFont="1" applyFill="1" applyAlignment="1" applyProtection="1">
      <alignment horizontal="left" vertical="center"/>
      <protection locked="0"/>
    </xf>
    <xf numFmtId="15" fontId="16" fillId="28" borderId="0" xfId="0" applyNumberFormat="1" applyFont="1" applyFill="1" applyAlignment="1" applyProtection="1">
      <alignment horizontal="left" vertical="center"/>
      <protection locked="0"/>
    </xf>
    <xf numFmtId="166" fontId="45" fillId="30" borderId="0" xfId="0" applyFont="1" applyFill="1" applyAlignment="1" applyProtection="1">
      <alignment horizontal="right" vertical="center"/>
      <protection locked="0"/>
    </xf>
    <xf numFmtId="15" fontId="16" fillId="36" borderId="0" xfId="0" applyNumberFormat="1" applyFont="1" applyFill="1" applyProtection="1">
      <protection locked="0"/>
    </xf>
    <xf numFmtId="15" fontId="17" fillId="36" borderId="0" xfId="0" applyNumberFormat="1" applyFont="1" applyFill="1" applyAlignment="1" applyProtection="1">
      <alignment horizontal="right"/>
      <protection locked="0"/>
    </xf>
    <xf numFmtId="4" fontId="17" fillId="36" borderId="0" xfId="0" applyNumberFormat="1" applyFont="1" applyFill="1" applyAlignment="1" applyProtection="1">
      <alignment horizontal="right"/>
      <protection locked="0"/>
    </xf>
    <xf numFmtId="11" fontId="18" fillId="28" borderId="0" xfId="0" applyNumberFormat="1" applyFont="1" applyFill="1" applyProtection="1">
      <protection locked="0"/>
    </xf>
    <xf numFmtId="15" fontId="18" fillId="28" borderId="0" xfId="0" applyNumberFormat="1" applyFont="1" applyFill="1" applyAlignment="1" applyProtection="1">
      <alignment horizontal="left" vertical="center"/>
      <protection locked="0"/>
    </xf>
    <xf numFmtId="4" fontId="16" fillId="28" borderId="0" xfId="0" applyNumberFormat="1" applyFont="1" applyFill="1" applyAlignment="1" applyProtection="1">
      <alignment horizontal="left" vertical="center"/>
      <protection locked="0"/>
    </xf>
    <xf numFmtId="167" fontId="16" fillId="28" borderId="0" xfId="0" applyNumberFormat="1" applyFont="1" applyFill="1" applyAlignment="1" applyProtection="1">
      <alignment horizontal="left" vertical="center"/>
      <protection locked="0"/>
    </xf>
    <xf numFmtId="3" fontId="16" fillId="2" borderId="0" xfId="0" applyNumberFormat="1" applyFont="1" applyProtection="1">
      <protection locked="0"/>
    </xf>
    <xf numFmtId="166" fontId="47" fillId="2" borderId="0" xfId="0" applyFont="1" applyAlignment="1" applyProtection="1">
      <alignment horizontal="right"/>
      <protection locked="0"/>
    </xf>
    <xf numFmtId="166" fontId="40" fillId="35" borderId="2" xfId="0" applyFont="1" applyFill="1" applyBorder="1" applyProtection="1">
      <protection locked="0"/>
    </xf>
    <xf numFmtId="166" fontId="41" fillId="35" borderId="27" xfId="0" applyFont="1" applyFill="1" applyBorder="1" applyProtection="1">
      <protection locked="0"/>
    </xf>
    <xf numFmtId="166" fontId="42" fillId="35" borderId="27" xfId="0" applyFont="1" applyFill="1" applyBorder="1" applyAlignment="1" applyProtection="1">
      <alignment horizontal="right"/>
      <protection locked="0"/>
    </xf>
    <xf numFmtId="166" fontId="42" fillId="35" borderId="33" xfId="0" applyFont="1" applyFill="1" applyBorder="1" applyAlignment="1" applyProtection="1">
      <alignment horizontal="right"/>
      <protection locked="0"/>
    </xf>
    <xf numFmtId="166" fontId="42" fillId="35" borderId="3" xfId="0" applyFont="1" applyFill="1" applyBorder="1" applyAlignment="1" applyProtection="1">
      <alignment horizontal="right"/>
      <protection locked="0"/>
    </xf>
    <xf numFmtId="166" fontId="40" fillId="35" borderId="5" xfId="0" applyFont="1" applyFill="1" applyBorder="1" applyProtection="1">
      <protection locked="0"/>
    </xf>
    <xf numFmtId="11" fontId="40" fillId="35" borderId="0" xfId="0" applyNumberFormat="1" applyFont="1" applyFill="1" applyProtection="1">
      <protection locked="0"/>
    </xf>
    <xf numFmtId="166" fontId="42" fillId="35" borderId="0" xfId="0" applyFont="1" applyFill="1" applyProtection="1">
      <protection locked="0"/>
    </xf>
    <xf numFmtId="166" fontId="42" fillId="35" borderId="15" xfId="0" applyFont="1" applyFill="1" applyBorder="1" applyProtection="1">
      <protection locked="0"/>
    </xf>
    <xf numFmtId="166" fontId="42" fillId="35" borderId="6" xfId="0" applyFont="1" applyFill="1" applyBorder="1" applyProtection="1">
      <protection locked="0"/>
    </xf>
    <xf numFmtId="166" fontId="40" fillId="35" borderId="21" xfId="0" applyFont="1" applyFill="1" applyBorder="1" applyProtection="1">
      <protection locked="0"/>
    </xf>
    <xf numFmtId="11" fontId="40" fillId="35" borderId="1" xfId="0" applyNumberFormat="1" applyFont="1" applyFill="1" applyBorder="1" applyProtection="1">
      <protection locked="0"/>
    </xf>
    <xf numFmtId="166" fontId="42" fillId="35" borderId="1" xfId="0" applyFont="1" applyFill="1" applyBorder="1" applyProtection="1">
      <protection locked="0"/>
    </xf>
    <xf numFmtId="166" fontId="42" fillId="35" borderId="34" xfId="0" applyFont="1" applyFill="1" applyBorder="1" applyProtection="1">
      <protection locked="0"/>
    </xf>
    <xf numFmtId="166" fontId="42" fillId="35" borderId="22" xfId="0" applyFont="1" applyFill="1" applyBorder="1" applyProtection="1">
      <protection locked="0"/>
    </xf>
    <xf numFmtId="166" fontId="18" fillId="13" borderId="12" xfId="0" applyFont="1" applyFill="1" applyBorder="1" applyProtection="1">
      <protection locked="0"/>
    </xf>
    <xf numFmtId="166" fontId="18" fillId="13" borderId="13" xfId="0" applyFont="1" applyFill="1" applyBorder="1" applyProtection="1">
      <protection locked="0"/>
    </xf>
    <xf numFmtId="166" fontId="0" fillId="13" borderId="12" xfId="0" applyFill="1" applyBorder="1" applyProtection="1">
      <protection locked="0"/>
    </xf>
    <xf numFmtId="166" fontId="0" fillId="13" borderId="13" xfId="0" applyFill="1" applyBorder="1" applyProtection="1">
      <protection locked="0"/>
    </xf>
    <xf numFmtId="166" fontId="0" fillId="13" borderId="14" xfId="0" applyFill="1" applyBorder="1" applyProtection="1">
      <protection locked="0"/>
    </xf>
    <xf numFmtId="166" fontId="11" fillId="13" borderId="15" xfId="0" applyFont="1" applyFill="1" applyBorder="1" applyProtection="1">
      <protection locked="0"/>
    </xf>
    <xf numFmtId="166" fontId="3" fillId="13" borderId="0" xfId="0" applyFont="1" applyFill="1" applyProtection="1">
      <protection locked="0"/>
    </xf>
    <xf numFmtId="166" fontId="3" fillId="13" borderId="15" xfId="0" applyFont="1" applyFill="1" applyBorder="1" applyProtection="1">
      <protection locked="0"/>
    </xf>
    <xf numFmtId="166" fontId="3" fillId="13" borderId="16" xfId="0" applyFont="1" applyFill="1" applyBorder="1" applyProtection="1">
      <protection locked="0"/>
    </xf>
    <xf numFmtId="167" fontId="3" fillId="13" borderId="0" xfId="36" applyNumberFormat="1" applyFont="1" applyFill="1" applyBorder="1" applyProtection="1">
      <protection locked="0"/>
    </xf>
    <xf numFmtId="167" fontId="3" fillId="13" borderId="15" xfId="36" applyNumberFormat="1" applyFont="1" applyFill="1" applyBorder="1" applyProtection="1">
      <protection locked="0"/>
    </xf>
    <xf numFmtId="167" fontId="3" fillId="13" borderId="16" xfId="36" applyNumberFormat="1" applyFont="1" applyFill="1" applyBorder="1" applyProtection="1">
      <protection locked="0"/>
    </xf>
    <xf numFmtId="164" fontId="3" fillId="13" borderId="0" xfId="13" applyFont="1" applyFill="1" applyBorder="1" applyProtection="1">
      <protection locked="0"/>
    </xf>
    <xf numFmtId="164" fontId="3" fillId="13" borderId="15" xfId="13" applyFont="1" applyFill="1" applyBorder="1" applyProtection="1">
      <protection locked="0"/>
    </xf>
    <xf numFmtId="164" fontId="3" fillId="13" borderId="16" xfId="13" applyFont="1" applyFill="1" applyBorder="1" applyProtection="1">
      <protection locked="0"/>
    </xf>
    <xf numFmtId="166" fontId="3" fillId="13" borderId="17" xfId="0" applyFont="1" applyFill="1" applyBorder="1" applyProtection="1">
      <protection locked="0"/>
    </xf>
    <xf numFmtId="164" fontId="3" fillId="13" borderId="18" xfId="13" applyFont="1" applyFill="1" applyBorder="1" applyProtection="1">
      <protection locked="0"/>
    </xf>
    <xf numFmtId="164" fontId="3" fillId="13" borderId="17" xfId="13" applyFont="1" applyFill="1" applyBorder="1" applyProtection="1">
      <protection locked="0"/>
    </xf>
    <xf numFmtId="164" fontId="3" fillId="13" borderId="19" xfId="13" applyFont="1" applyFill="1" applyBorder="1" applyProtection="1">
      <protection locked="0"/>
    </xf>
    <xf numFmtId="166" fontId="43" fillId="13" borderId="12" xfId="0" applyFont="1" applyFill="1" applyBorder="1" applyProtection="1">
      <protection locked="0"/>
    </xf>
    <xf numFmtId="166" fontId="44" fillId="13" borderId="13" xfId="0" applyFont="1" applyFill="1" applyBorder="1" applyProtection="1">
      <protection locked="0"/>
    </xf>
    <xf numFmtId="166" fontId="44" fillId="13" borderId="12" xfId="0" applyFont="1" applyFill="1" applyBorder="1" applyProtection="1">
      <protection locked="0"/>
    </xf>
    <xf numFmtId="166" fontId="44" fillId="13" borderId="14" xfId="0" applyFont="1" applyFill="1" applyBorder="1" applyProtection="1">
      <protection locked="0"/>
    </xf>
    <xf numFmtId="166" fontId="44" fillId="13" borderId="15" xfId="0" applyFont="1" applyFill="1" applyBorder="1" applyProtection="1">
      <protection locked="0"/>
    </xf>
    <xf numFmtId="9" fontId="44" fillId="13" borderId="0" xfId="36" applyFont="1" applyFill="1" applyBorder="1" applyProtection="1">
      <protection locked="0"/>
    </xf>
    <xf numFmtId="167" fontId="44" fillId="13" borderId="15" xfId="36" applyNumberFormat="1" applyFont="1" applyFill="1" applyBorder="1" applyProtection="1">
      <protection locked="0"/>
    </xf>
    <xf numFmtId="167" fontId="44" fillId="13" borderId="0" xfId="36" applyNumberFormat="1" applyFont="1" applyFill="1" applyBorder="1" applyProtection="1">
      <protection locked="0"/>
    </xf>
    <xf numFmtId="167" fontId="44" fillId="13" borderId="16" xfId="36" applyNumberFormat="1" applyFont="1" applyFill="1" applyBorder="1" applyProtection="1">
      <protection locked="0"/>
    </xf>
    <xf numFmtId="166" fontId="44" fillId="13" borderId="17" xfId="0" applyFont="1" applyFill="1" applyBorder="1" applyProtection="1">
      <protection locked="0"/>
    </xf>
    <xf numFmtId="9" fontId="44" fillId="13" borderId="18" xfId="36" applyFont="1" applyFill="1" applyBorder="1" applyProtection="1">
      <protection locked="0"/>
    </xf>
    <xf numFmtId="167" fontId="44" fillId="13" borderId="17" xfId="36" applyNumberFormat="1" applyFont="1" applyFill="1" applyBorder="1" applyProtection="1">
      <protection locked="0"/>
    </xf>
    <xf numFmtId="167" fontId="44" fillId="13" borderId="18" xfId="36" applyNumberFormat="1" applyFont="1" applyFill="1" applyBorder="1" applyProtection="1">
      <protection locked="0"/>
    </xf>
    <xf numFmtId="167" fontId="44" fillId="13" borderId="19" xfId="36" applyNumberFormat="1" applyFont="1" applyFill="1" applyBorder="1" applyProtection="1">
      <protection locked="0"/>
    </xf>
    <xf numFmtId="164" fontId="44" fillId="13" borderId="0" xfId="13" applyFont="1" applyFill="1" applyBorder="1" applyProtection="1">
      <protection locked="0"/>
    </xf>
    <xf numFmtId="164" fontId="44" fillId="13" borderId="15" xfId="13" applyFont="1" applyFill="1" applyBorder="1" applyProtection="1">
      <protection locked="0"/>
    </xf>
    <xf numFmtId="164" fontId="44" fillId="13" borderId="16" xfId="13" applyFont="1" applyFill="1" applyBorder="1" applyProtection="1">
      <protection locked="0"/>
    </xf>
    <xf numFmtId="9" fontId="44" fillId="13" borderId="15" xfId="36" applyFont="1" applyFill="1" applyBorder="1" applyProtection="1">
      <protection locked="0"/>
    </xf>
    <xf numFmtId="9" fontId="44" fillId="13" borderId="16" xfId="36" applyFont="1" applyFill="1" applyBorder="1" applyProtection="1">
      <protection locked="0"/>
    </xf>
    <xf numFmtId="10" fontId="44" fillId="13" borderId="0" xfId="36" applyNumberFormat="1" applyFont="1" applyFill="1" applyBorder="1" applyProtection="1">
      <protection locked="0"/>
    </xf>
    <xf numFmtId="10" fontId="44" fillId="13" borderId="15" xfId="36" applyNumberFormat="1" applyFont="1" applyFill="1" applyBorder="1" applyProtection="1">
      <protection locked="0"/>
    </xf>
    <xf numFmtId="10" fontId="44" fillId="13" borderId="16" xfId="36" applyNumberFormat="1" applyFont="1" applyFill="1" applyBorder="1" applyProtection="1">
      <protection locked="0"/>
    </xf>
    <xf numFmtId="166" fontId="44" fillId="13" borderId="0" xfId="0" applyFont="1" applyFill="1" applyProtection="1">
      <protection locked="0"/>
    </xf>
    <xf numFmtId="164" fontId="44" fillId="13" borderId="18" xfId="13" applyFont="1" applyFill="1" applyBorder="1" applyProtection="1">
      <protection locked="0"/>
    </xf>
    <xf numFmtId="164" fontId="44" fillId="13" borderId="17" xfId="13" applyFont="1" applyFill="1" applyBorder="1" applyProtection="1">
      <protection locked="0"/>
    </xf>
    <xf numFmtId="164" fontId="44" fillId="13" borderId="19" xfId="13" applyFont="1" applyFill="1" applyBorder="1" applyProtection="1">
      <protection locked="0"/>
    </xf>
    <xf numFmtId="174" fontId="44" fillId="13" borderId="13" xfId="13" applyNumberFormat="1" applyFont="1" applyFill="1" applyBorder="1" applyProtection="1">
      <protection locked="0"/>
    </xf>
    <xf numFmtId="174" fontId="44" fillId="13" borderId="12" xfId="13" applyNumberFormat="1" applyFont="1" applyFill="1" applyBorder="1" applyProtection="1">
      <protection locked="0"/>
    </xf>
    <xf numFmtId="174" fontId="44" fillId="13" borderId="14" xfId="13" applyNumberFormat="1" applyFont="1" applyFill="1" applyBorder="1" applyProtection="1">
      <protection locked="0"/>
    </xf>
    <xf numFmtId="174" fontId="44" fillId="13" borderId="18" xfId="13" applyNumberFormat="1" applyFont="1" applyFill="1" applyBorder="1" applyProtection="1">
      <protection locked="0"/>
    </xf>
    <xf numFmtId="174" fontId="44" fillId="13" borderId="17" xfId="13" applyNumberFormat="1" applyFont="1" applyFill="1" applyBorder="1" applyProtection="1">
      <protection locked="0"/>
    </xf>
    <xf numFmtId="174" fontId="44" fillId="13" borderId="19" xfId="13" applyNumberFormat="1" applyFont="1" applyFill="1" applyBorder="1" applyProtection="1">
      <protection locked="0"/>
    </xf>
    <xf numFmtId="166" fontId="38" fillId="30" borderId="0" xfId="0" applyFont="1" applyFill="1" applyProtection="1">
      <protection locked="0"/>
    </xf>
    <xf numFmtId="166" fontId="38" fillId="30" borderId="15" xfId="0" applyFont="1" applyFill="1" applyBorder="1" applyProtection="1">
      <protection locked="0"/>
    </xf>
    <xf numFmtId="174" fontId="44" fillId="13" borderId="0" xfId="13" applyNumberFormat="1" applyFont="1" applyFill="1" applyBorder="1" applyProtection="1">
      <protection locked="0"/>
    </xf>
    <xf numFmtId="174" fontId="44" fillId="13" borderId="15" xfId="13" applyNumberFormat="1" applyFont="1" applyFill="1" applyBorder="1" applyProtection="1">
      <protection locked="0"/>
    </xf>
    <xf numFmtId="174" fontId="44" fillId="13" borderId="16" xfId="13" applyNumberFormat="1" applyFont="1" applyFill="1" applyBorder="1" applyProtection="1">
      <protection locked="0"/>
    </xf>
    <xf numFmtId="166" fontId="53" fillId="2" borderId="0" xfId="0" applyFont="1" applyAlignment="1" applyProtection="1">
      <alignment vertical="center"/>
      <protection locked="0"/>
    </xf>
    <xf numFmtId="49" fontId="16" fillId="37" borderId="0" xfId="58" applyNumberFormat="1" applyFont="1" applyFill="1" applyAlignment="1" applyProtection="1">
      <alignment vertical="center"/>
      <protection locked="0"/>
    </xf>
    <xf numFmtId="166" fontId="16" fillId="2" borderId="0" xfId="0" applyFont="1"/>
    <xf numFmtId="166" fontId="18" fillId="2" borderId="0" xfId="0" applyFont="1"/>
    <xf numFmtId="166" fontId="16" fillId="15" borderId="0" xfId="0" applyFont="1" applyFill="1"/>
    <xf numFmtId="166" fontId="26" fillId="2" borderId="0" xfId="0" applyFont="1"/>
    <xf numFmtId="166" fontId="19" fillId="2" borderId="0" xfId="0" applyFont="1" applyAlignment="1">
      <alignment vertical="center"/>
    </xf>
    <xf numFmtId="166" fontId="16" fillId="2" borderId="0" xfId="0" applyFont="1" applyAlignment="1">
      <alignment horizontal="left"/>
    </xf>
    <xf numFmtId="0" fontId="17" fillId="2" borderId="0" xfId="0" quotePrefix="1" applyNumberFormat="1" applyFont="1"/>
    <xf numFmtId="166" fontId="16" fillId="27" borderId="0" xfId="0" applyFont="1" applyFill="1"/>
    <xf numFmtId="4" fontId="16" fillId="27" borderId="0" xfId="0" applyNumberFormat="1" applyFont="1" applyFill="1" applyAlignment="1">
      <alignment horizontal="left"/>
    </xf>
    <xf numFmtId="166" fontId="44" fillId="27" borderId="0" xfId="0" applyFont="1" applyFill="1"/>
    <xf numFmtId="4" fontId="44" fillId="27" borderId="0" xfId="0" applyNumberFormat="1" applyFont="1" applyFill="1" applyAlignment="1">
      <alignment horizontal="left"/>
    </xf>
    <xf numFmtId="9" fontId="16" fillId="27" borderId="0" xfId="0" applyNumberFormat="1" applyFont="1" applyFill="1" applyAlignment="1">
      <alignment horizontal="left"/>
    </xf>
    <xf numFmtId="0" fontId="16" fillId="2" borderId="0" xfId="0" applyNumberFormat="1" applyFont="1" applyAlignment="1">
      <alignment horizontal="right"/>
    </xf>
    <xf numFmtId="0" fontId="16" fillId="27" borderId="0" xfId="0" applyNumberFormat="1" applyFont="1" applyFill="1" applyAlignment="1">
      <alignment horizontal="right"/>
    </xf>
    <xf numFmtId="15" fontId="16" fillId="27" borderId="0" xfId="0" applyNumberFormat="1" applyFont="1" applyFill="1" applyAlignment="1">
      <alignment horizontal="right"/>
    </xf>
    <xf numFmtId="166" fontId="16" fillId="27" borderId="13" xfId="0" applyFont="1" applyFill="1" applyBorder="1"/>
    <xf numFmtId="0" fontId="16" fillId="27" borderId="13" xfId="0" applyNumberFormat="1" applyFont="1" applyFill="1" applyBorder="1" applyAlignment="1">
      <alignment horizontal="right"/>
    </xf>
    <xf numFmtId="166" fontId="16" fillId="34" borderId="0" xfId="0" applyFont="1" applyFill="1"/>
    <xf numFmtId="0" fontId="16" fillId="34" borderId="0" xfId="0" applyNumberFormat="1" applyFont="1" applyFill="1"/>
    <xf numFmtId="164" fontId="16" fillId="16" borderId="0" xfId="13" applyFont="1" applyFill="1" applyBorder="1" applyAlignment="1" applyProtection="1">
      <alignment horizontal="right" vertical="center"/>
      <protection locked="0"/>
    </xf>
    <xf numFmtId="166" fontId="18" fillId="16" borderId="0" xfId="0" applyFont="1" applyFill="1" applyAlignment="1" applyProtection="1">
      <alignment horizontal="right" vertical="center"/>
      <protection locked="0"/>
    </xf>
    <xf numFmtId="166" fontId="16" fillId="2" borderId="0" xfId="0" applyFont="1" applyAlignment="1">
      <alignment vertical="center"/>
    </xf>
    <xf numFmtId="164" fontId="18" fillId="20" borderId="0" xfId="13" applyFont="1" applyFill="1" applyBorder="1" applyAlignment="1" applyProtection="1">
      <alignment horizontal="right" vertical="center"/>
      <protection locked="0"/>
    </xf>
    <xf numFmtId="164" fontId="18" fillId="20" borderId="18" xfId="13" applyFont="1" applyFill="1" applyBorder="1" applyAlignment="1" applyProtection="1">
      <alignment horizontal="right" vertical="center"/>
      <protection locked="0"/>
    </xf>
    <xf numFmtId="168" fontId="31" fillId="20" borderId="0" xfId="49" applyFont="1" applyFill="1" applyAlignment="1" applyProtection="1">
      <alignment vertical="center"/>
      <protection locked="0"/>
    </xf>
    <xf numFmtId="0" fontId="16" fillId="20" borderId="0" xfId="0" applyNumberFormat="1" applyFont="1" applyFill="1" applyAlignment="1" applyProtection="1">
      <alignment horizontal="right" vertical="center"/>
      <protection locked="0"/>
    </xf>
    <xf numFmtId="166" fontId="3" fillId="2" borderId="0" xfId="0" applyFont="1" applyProtection="1">
      <protection locked="0"/>
    </xf>
    <xf numFmtId="166" fontId="3" fillId="2" borderId="0" xfId="0" applyFont="1" applyAlignment="1" applyProtection="1">
      <alignment vertical="center"/>
      <protection locked="0"/>
    </xf>
    <xf numFmtId="166" fontId="50" fillId="21" borderId="0" xfId="0" applyFont="1" applyFill="1" applyAlignment="1" applyProtection="1">
      <alignment horizontal="left" vertical="center"/>
      <protection locked="0"/>
    </xf>
    <xf numFmtId="166" fontId="38" fillId="21" borderId="0" xfId="0" applyFont="1" applyFill="1" applyAlignment="1" applyProtection="1">
      <alignment horizontal="left" vertical="center"/>
      <protection locked="0"/>
    </xf>
    <xf numFmtId="166" fontId="38" fillId="21" borderId="0" xfId="0" applyFont="1" applyFill="1" applyAlignment="1" applyProtection="1">
      <alignment horizontal="center" vertical="center"/>
      <protection locked="0"/>
    </xf>
    <xf numFmtId="166" fontId="56" fillId="9" borderId="0" xfId="22" applyFont="1" applyAlignment="1" applyProtection="1">
      <alignment vertical="center"/>
      <protection locked="0"/>
    </xf>
    <xf numFmtId="9" fontId="3" fillId="38" borderId="0" xfId="0" applyNumberFormat="1" applyFont="1" applyFill="1" applyAlignment="1" applyProtection="1">
      <alignment vertical="center"/>
      <protection locked="0"/>
    </xf>
    <xf numFmtId="4" fontId="3" fillId="38" borderId="0" xfId="0" applyNumberFormat="1" applyFont="1" applyFill="1" applyAlignment="1" applyProtection="1">
      <alignment vertical="center"/>
      <protection locked="0"/>
    </xf>
    <xf numFmtId="9" fontId="3" fillId="32" borderId="0" xfId="0" applyNumberFormat="1" applyFont="1" applyFill="1" applyAlignment="1" applyProtection="1">
      <alignment vertical="center"/>
      <protection locked="0"/>
    </xf>
    <xf numFmtId="166" fontId="16" fillId="0" borderId="0" xfId="0" applyFont="1" applyFill="1"/>
    <xf numFmtId="0" fontId="16" fillId="0" borderId="0" xfId="0" applyNumberFormat="1" applyFont="1" applyFill="1" applyAlignment="1">
      <alignment horizontal="right"/>
    </xf>
    <xf numFmtId="0" fontId="3" fillId="16" borderId="0" xfId="60" applyFill="1" applyAlignment="1" applyProtection="1">
      <alignment horizontal="right" wrapText="1"/>
      <protection locked="0"/>
    </xf>
    <xf numFmtId="0" fontId="38" fillId="16" borderId="18" xfId="60" applyFont="1" applyFill="1" applyBorder="1" applyAlignment="1" applyProtection="1">
      <alignment horizontal="center" vertical="center" wrapText="1"/>
      <protection locked="0"/>
    </xf>
    <xf numFmtId="0" fontId="38" fillId="16" borderId="18" xfId="60" applyFont="1" applyFill="1" applyBorder="1" applyAlignment="1" applyProtection="1">
      <alignment horizontal="center" vertical="center"/>
      <protection locked="0"/>
    </xf>
    <xf numFmtId="0" fontId="38" fillId="16" borderId="0" xfId="60" applyFont="1" applyFill="1" applyProtection="1">
      <protection locked="0"/>
    </xf>
    <xf numFmtId="0" fontId="3" fillId="16" borderId="0" xfId="60" applyFill="1" applyProtection="1">
      <protection locked="0"/>
    </xf>
    <xf numFmtId="167" fontId="3" fillId="16" borderId="0" xfId="61" applyNumberFormat="1" applyFont="1" applyFill="1" applyProtection="1">
      <protection locked="0"/>
    </xf>
    <xf numFmtId="174" fontId="3" fillId="16" borderId="0" xfId="62" applyNumberFormat="1" applyFont="1" applyFill="1" applyProtection="1">
      <protection locked="0"/>
    </xf>
    <xf numFmtId="180" fontId="3" fillId="16" borderId="0" xfId="60" applyNumberFormat="1" applyFill="1" applyProtection="1">
      <protection locked="0"/>
    </xf>
    <xf numFmtId="174" fontId="38" fillId="16" borderId="0" xfId="60" applyNumberFormat="1" applyFont="1" applyFill="1" applyProtection="1">
      <protection locked="0"/>
    </xf>
    <xf numFmtId="173" fontId="38" fillId="16" borderId="0" xfId="60" applyNumberFormat="1" applyFont="1" applyFill="1" applyProtection="1">
      <protection locked="0"/>
    </xf>
    <xf numFmtId="167" fontId="38" fillId="16" borderId="0" xfId="61" applyNumberFormat="1" applyFont="1" applyFill="1" applyProtection="1">
      <protection locked="0"/>
    </xf>
    <xf numFmtId="0" fontId="3" fillId="16" borderId="0" xfId="60" applyFill="1" applyAlignment="1" applyProtection="1">
      <alignment horizontal="left"/>
      <protection locked="0"/>
    </xf>
    <xf numFmtId="174" fontId="3" fillId="16" borderId="0" xfId="62" applyNumberFormat="1" applyFont="1" applyFill="1" applyBorder="1" applyProtection="1">
      <protection locked="0"/>
    </xf>
    <xf numFmtId="173" fontId="3" fillId="16" borderId="0" xfId="62" applyNumberFormat="1" applyFont="1" applyFill="1" applyBorder="1" applyProtection="1">
      <protection locked="0"/>
    </xf>
    <xf numFmtId="167" fontId="3" fillId="16" borderId="0" xfId="61" applyNumberFormat="1" applyFont="1" applyFill="1" applyBorder="1" applyProtection="1">
      <protection locked="0"/>
    </xf>
    <xf numFmtId="174" fontId="3" fillId="16" borderId="18" xfId="62" applyNumberFormat="1" applyFont="1" applyFill="1" applyBorder="1" applyProtection="1">
      <protection locked="0"/>
    </xf>
    <xf numFmtId="0" fontId="3" fillId="16" borderId="18" xfId="60" applyFill="1" applyBorder="1" applyProtection="1">
      <protection locked="0"/>
    </xf>
    <xf numFmtId="167" fontId="38" fillId="16" borderId="18" xfId="61" applyNumberFormat="1" applyFont="1" applyFill="1" applyBorder="1" applyProtection="1">
      <protection locked="0"/>
    </xf>
    <xf numFmtId="174" fontId="38" fillId="16" borderId="0" xfId="62" applyNumberFormat="1" applyFont="1" applyFill="1" applyProtection="1">
      <protection locked="0"/>
    </xf>
    <xf numFmtId="174" fontId="3" fillId="38" borderId="0" xfId="62" applyNumberFormat="1" applyFont="1" applyFill="1" applyProtection="1">
      <protection locked="0"/>
    </xf>
    <xf numFmtId="180" fontId="3" fillId="38" borderId="0" xfId="60" applyNumberFormat="1" applyFill="1" applyProtection="1">
      <protection locked="0"/>
    </xf>
    <xf numFmtId="174" fontId="38" fillId="16" borderId="0" xfId="62" applyNumberFormat="1" applyFont="1" applyFill="1" applyBorder="1" applyProtection="1">
      <protection locked="0"/>
    </xf>
    <xf numFmtId="9" fontId="38" fillId="16" borderId="0" xfId="36" applyFont="1" applyFill="1" applyBorder="1" applyProtection="1">
      <protection locked="0"/>
    </xf>
    <xf numFmtId="173" fontId="3" fillId="16" borderId="0" xfId="62" applyNumberFormat="1" applyFont="1" applyFill="1" applyProtection="1">
      <protection locked="0"/>
    </xf>
    <xf numFmtId="0" fontId="38" fillId="20" borderId="0" xfId="60" applyFont="1" applyFill="1" applyProtection="1">
      <protection locked="0"/>
    </xf>
    <xf numFmtId="174" fontId="38" fillId="16" borderId="29" xfId="62" applyNumberFormat="1" applyFont="1" applyFill="1" applyBorder="1" applyProtection="1">
      <protection locked="0"/>
    </xf>
    <xf numFmtId="173" fontId="38" fillId="20" borderId="29" xfId="62" applyNumberFormat="1" applyFont="1" applyFill="1" applyBorder="1" applyProtection="1">
      <protection locked="0"/>
    </xf>
    <xf numFmtId="43" fontId="3" fillId="16" borderId="0" xfId="60" applyNumberFormat="1" applyFill="1" applyProtection="1">
      <protection locked="0"/>
    </xf>
    <xf numFmtId="164" fontId="3" fillId="16" borderId="0" xfId="62" applyFont="1" applyFill="1" applyProtection="1">
      <protection locked="0"/>
    </xf>
    <xf numFmtId="167" fontId="3" fillId="16" borderId="0" xfId="36" applyNumberFormat="1" applyFont="1" applyFill="1" applyProtection="1">
      <protection locked="0"/>
    </xf>
    <xf numFmtId="9" fontId="3" fillId="16" borderId="0" xfId="36" applyFont="1" applyFill="1" applyProtection="1">
      <protection locked="0"/>
    </xf>
    <xf numFmtId="164" fontId="3" fillId="16" borderId="0" xfId="60" applyNumberFormat="1" applyFill="1" applyProtection="1">
      <protection locked="0"/>
    </xf>
    <xf numFmtId="166" fontId="16" fillId="2" borderId="13" xfId="0" applyFont="1" applyBorder="1" applyProtection="1">
      <protection locked="0"/>
    </xf>
    <xf numFmtId="166" fontId="29" fillId="10" borderId="35" xfId="23" applyFont="1" applyBorder="1" applyAlignment="1" applyProtection="1">
      <alignment vertical="center"/>
      <protection locked="0"/>
    </xf>
    <xf numFmtId="3" fontId="16" fillId="5" borderId="0" xfId="5" applyNumberFormat="1" applyFont="1" applyAlignment="1" applyProtection="1">
      <alignment vertical="center"/>
      <protection locked="0"/>
    </xf>
    <xf numFmtId="3" fontId="31" fillId="11" borderId="0" xfId="48" applyNumberFormat="1" applyFont="1" applyAlignment="1" applyProtection="1">
      <alignment vertical="center"/>
      <protection locked="0"/>
    </xf>
    <xf numFmtId="3" fontId="30" fillId="4" borderId="0" xfId="26" applyNumberFormat="1" applyFont="1" applyAlignment="1" applyProtection="1">
      <alignment vertical="center"/>
      <protection locked="0"/>
    </xf>
    <xf numFmtId="167" fontId="32" fillId="5" borderId="0" xfId="38" applyFont="1" applyAlignment="1" applyProtection="1">
      <alignment horizontal="right" vertical="center"/>
      <protection locked="0"/>
    </xf>
    <xf numFmtId="167" fontId="32" fillId="5" borderId="35" xfId="38" applyFont="1" applyBorder="1" applyAlignment="1" applyProtection="1">
      <alignment horizontal="right" vertical="center"/>
      <protection locked="0"/>
    </xf>
    <xf numFmtId="166" fontId="33" fillId="10" borderId="0" xfId="23" applyFont="1" applyAlignment="1" applyProtection="1">
      <alignment horizontal="right" vertical="center"/>
      <protection locked="0"/>
    </xf>
    <xf numFmtId="166" fontId="33" fillId="10" borderId="35" xfId="23" applyFont="1" applyBorder="1" applyAlignment="1" applyProtection="1">
      <alignment horizontal="right" vertical="center"/>
      <protection locked="0"/>
    </xf>
    <xf numFmtId="169" fontId="16" fillId="5" borderId="0" xfId="7" applyFont="1" applyAlignment="1" applyProtection="1">
      <alignment horizontal="right" vertical="center"/>
      <protection locked="0"/>
    </xf>
    <xf numFmtId="169" fontId="16" fillId="5" borderId="35" xfId="7" applyFont="1" applyBorder="1" applyAlignment="1" applyProtection="1">
      <alignment horizontal="right" vertical="center"/>
      <protection locked="0"/>
    </xf>
    <xf numFmtId="170" fontId="16" fillId="5" borderId="0" xfId="8" applyFont="1" applyAlignment="1" applyProtection="1">
      <alignment horizontal="right" vertical="center"/>
      <protection locked="0"/>
    </xf>
    <xf numFmtId="170" fontId="16" fillId="5" borderId="35" xfId="8" applyFont="1" applyBorder="1" applyAlignment="1" applyProtection="1">
      <alignment horizontal="right" vertical="center"/>
      <protection locked="0"/>
    </xf>
    <xf numFmtId="166" fontId="29" fillId="10" borderId="0" xfId="23" applyFont="1" applyAlignment="1" applyProtection="1">
      <alignment horizontal="right" vertical="center"/>
      <protection locked="0"/>
    </xf>
    <xf numFmtId="4" fontId="29" fillId="10" borderId="0" xfId="23" applyNumberFormat="1" applyFont="1" applyAlignment="1" applyProtection="1">
      <alignment horizontal="right" vertical="center"/>
      <protection locked="0"/>
    </xf>
    <xf numFmtId="4" fontId="29" fillId="10" borderId="35" xfId="23" applyNumberFormat="1" applyFont="1" applyBorder="1" applyAlignment="1" applyProtection="1">
      <alignment horizontal="right" vertical="center"/>
      <protection locked="0"/>
    </xf>
    <xf numFmtId="181" fontId="30" fillId="12" borderId="0" xfId="26" applyNumberFormat="1" applyFont="1" applyFill="1" applyAlignment="1" applyProtection="1">
      <alignment horizontal="right" vertical="center"/>
      <protection locked="0"/>
    </xf>
    <xf numFmtId="181" fontId="16" fillId="5" borderId="0" xfId="5" applyNumberFormat="1" applyFont="1" applyAlignment="1" applyProtection="1">
      <alignment horizontal="right" vertical="center"/>
      <protection locked="0"/>
    </xf>
    <xf numFmtId="181" fontId="16" fillId="5" borderId="35" xfId="5" applyNumberFormat="1" applyFont="1" applyBorder="1" applyAlignment="1" applyProtection="1">
      <alignment horizontal="right" vertical="center"/>
      <protection locked="0"/>
    </xf>
    <xf numFmtId="181" fontId="31" fillId="11" borderId="0" xfId="48" applyNumberFormat="1" applyFont="1" applyAlignment="1" applyProtection="1">
      <alignment horizontal="right" vertical="center"/>
      <protection locked="0"/>
    </xf>
    <xf numFmtId="181" fontId="31" fillId="11" borderId="35" xfId="48" applyNumberFormat="1" applyFont="1" applyBorder="1" applyAlignment="1" applyProtection="1">
      <alignment horizontal="right" vertical="center"/>
      <protection locked="0"/>
    </xf>
    <xf numFmtId="3" fontId="57" fillId="2" borderId="0" xfId="0" applyNumberFormat="1" applyFont="1" applyAlignment="1" applyProtection="1">
      <alignment horizontal="left" vertical="center"/>
      <protection locked="0"/>
    </xf>
    <xf numFmtId="15" fontId="16" fillId="5" borderId="0" xfId="5" applyNumberFormat="1" applyFont="1" applyAlignment="1" applyProtection="1">
      <alignment vertical="center"/>
      <protection locked="0"/>
    </xf>
    <xf numFmtId="15" fontId="16" fillId="5" borderId="0" xfId="5" applyNumberFormat="1" applyFont="1" applyAlignment="1" applyProtection="1">
      <alignment horizontal="right" vertical="center"/>
      <protection locked="0"/>
    </xf>
    <xf numFmtId="15" fontId="16" fillId="5" borderId="35" xfId="5" applyNumberFormat="1" applyFont="1" applyBorder="1" applyAlignment="1" applyProtection="1">
      <alignment horizontal="right" vertical="center"/>
      <protection locked="0"/>
    </xf>
    <xf numFmtId="15" fontId="30" fillId="4" borderId="0" xfId="26" applyNumberFormat="1" applyFont="1" applyAlignment="1" applyProtection="1">
      <alignment vertical="center"/>
      <protection locked="0"/>
    </xf>
    <xf numFmtId="166" fontId="0" fillId="2" borderId="0" xfId="0" applyAlignment="1" applyProtection="1">
      <alignment horizontal="right" vertical="center"/>
      <protection locked="0"/>
    </xf>
    <xf numFmtId="166" fontId="17" fillId="2" borderId="0" xfId="0" applyFont="1" applyAlignment="1" applyProtection="1">
      <alignment horizontal="left"/>
      <protection locked="0"/>
    </xf>
    <xf numFmtId="166" fontId="17" fillId="0" borderId="12" xfId="0" applyFont="1" applyFill="1" applyBorder="1" applyAlignment="1" applyProtection="1">
      <alignment vertical="center"/>
      <protection locked="0"/>
    </xf>
    <xf numFmtId="166" fontId="17" fillId="0" borderId="13" xfId="0" applyFont="1" applyFill="1" applyBorder="1" applyAlignment="1" applyProtection="1">
      <alignment horizontal="right" vertical="center"/>
      <protection locked="0"/>
    </xf>
    <xf numFmtId="166" fontId="17" fillId="0" borderId="14" xfId="0" applyFont="1" applyFill="1" applyBorder="1" applyAlignment="1" applyProtection="1">
      <alignment horizontal="right" vertical="center"/>
      <protection locked="0"/>
    </xf>
    <xf numFmtId="166" fontId="17" fillId="0" borderId="17" xfId="0" applyFont="1" applyFill="1" applyBorder="1" applyAlignment="1" applyProtection="1">
      <alignment vertical="center"/>
      <protection locked="0"/>
    </xf>
    <xf numFmtId="166" fontId="17" fillId="0" borderId="18" xfId="0" applyFont="1" applyFill="1" applyBorder="1" applyAlignment="1" applyProtection="1">
      <alignment horizontal="right" vertical="center"/>
      <protection locked="0"/>
    </xf>
    <xf numFmtId="166" fontId="17" fillId="0" borderId="19" xfId="0" applyFont="1" applyFill="1" applyBorder="1" applyAlignment="1" applyProtection="1">
      <alignment horizontal="right" vertical="center"/>
      <protection locked="0"/>
    </xf>
    <xf numFmtId="9" fontId="22" fillId="13" borderId="0" xfId="36" applyFont="1" applyFill="1" applyBorder="1" applyAlignment="1" applyProtection="1">
      <alignment vertical="center"/>
      <protection locked="0"/>
    </xf>
    <xf numFmtId="15" fontId="18" fillId="36" borderId="0" xfId="0" applyNumberFormat="1" applyFont="1" applyFill="1" applyAlignment="1" applyProtection="1">
      <alignment horizontal="center" vertical="center"/>
      <protection locked="0"/>
    </xf>
    <xf numFmtId="168" fontId="22" fillId="28" borderId="0" xfId="13" applyNumberFormat="1" applyFont="1" applyFill="1" applyBorder="1" applyAlignment="1" applyProtection="1">
      <alignment horizontal="right" vertical="center"/>
      <protection locked="0"/>
    </xf>
    <xf numFmtId="173" fontId="22" fillId="28" borderId="0" xfId="13" applyNumberFormat="1" applyFont="1" applyFill="1" applyBorder="1" applyAlignment="1" applyProtection="1">
      <alignment horizontal="right" vertical="center"/>
      <protection locked="0"/>
    </xf>
    <xf numFmtId="166" fontId="39" fillId="2" borderId="0" xfId="0" applyFont="1" applyAlignment="1" applyProtection="1">
      <alignment horizontal="right" vertical="center"/>
      <protection locked="0"/>
    </xf>
    <xf numFmtId="0" fontId="22" fillId="2" borderId="0" xfId="0" applyNumberFormat="1" applyFont="1" applyAlignment="1" applyProtection="1">
      <alignment vertical="center"/>
      <protection locked="0"/>
    </xf>
    <xf numFmtId="166" fontId="39" fillId="2" borderId="0" xfId="0" applyFont="1" applyAlignment="1" applyProtection="1">
      <alignment vertical="center"/>
      <protection locked="0"/>
    </xf>
    <xf numFmtId="0" fontId="15" fillId="28" borderId="36" xfId="0" applyNumberFormat="1" applyFont="1" applyFill="1" applyBorder="1" applyAlignment="1" applyProtection="1">
      <alignment horizontal="left" vertical="center"/>
      <protection locked="0"/>
    </xf>
    <xf numFmtId="0" fontId="21" fillId="28" borderId="36" xfId="0" applyNumberFormat="1" applyFont="1" applyFill="1" applyBorder="1" applyAlignment="1" applyProtection="1">
      <alignment vertical="center"/>
      <protection locked="0"/>
    </xf>
    <xf numFmtId="166" fontId="15" fillId="28" borderId="37" xfId="0" applyFont="1" applyFill="1" applyBorder="1" applyAlignment="1" applyProtection="1">
      <alignment horizontal="right" vertical="center"/>
      <protection locked="0"/>
    </xf>
    <xf numFmtId="166" fontId="22" fillId="28" borderId="37" xfId="0" applyFont="1" applyFill="1" applyBorder="1" applyAlignment="1" applyProtection="1">
      <alignment horizontal="right" vertical="center"/>
      <protection locked="0"/>
    </xf>
    <xf numFmtId="166" fontId="15" fillId="28" borderId="36" xfId="0" applyFont="1" applyFill="1" applyBorder="1" applyAlignment="1" applyProtection="1">
      <alignment horizontal="right" vertical="center"/>
      <protection locked="0"/>
    </xf>
    <xf numFmtId="166" fontId="22" fillId="28" borderId="36" xfId="0" applyFont="1" applyFill="1" applyBorder="1" applyAlignment="1" applyProtection="1">
      <alignment horizontal="right" vertical="center"/>
      <protection locked="0"/>
    </xf>
    <xf numFmtId="0" fontId="22" fillId="28" borderId="35" xfId="0" applyNumberFormat="1" applyFont="1" applyFill="1" applyBorder="1" applyAlignment="1" applyProtection="1">
      <alignment vertical="center"/>
      <protection locked="0"/>
    </xf>
    <xf numFmtId="174" fontId="22" fillId="28" borderId="35" xfId="13" applyNumberFormat="1" applyFont="1" applyFill="1" applyBorder="1" applyAlignment="1" applyProtection="1">
      <alignment horizontal="right" vertical="center"/>
      <protection locked="0"/>
    </xf>
    <xf numFmtId="0" fontId="15" fillId="28" borderId="36" xfId="13" applyNumberFormat="1" applyFont="1" applyFill="1" applyBorder="1" applyAlignment="1" applyProtection="1">
      <alignment horizontal="left" vertical="center"/>
      <protection locked="0"/>
    </xf>
    <xf numFmtId="0" fontId="22" fillId="28" borderId="36" xfId="0" applyNumberFormat="1" applyFont="1" applyFill="1" applyBorder="1" applyAlignment="1" applyProtection="1">
      <alignment vertical="center"/>
      <protection locked="0"/>
    </xf>
    <xf numFmtId="174" fontId="15" fillId="28" borderId="37" xfId="13" applyNumberFormat="1" applyFont="1" applyFill="1" applyBorder="1" applyAlignment="1" applyProtection="1">
      <alignment horizontal="right" vertical="center"/>
      <protection locked="0"/>
    </xf>
    <xf numFmtId="174" fontId="22" fillId="28" borderId="37" xfId="13" applyNumberFormat="1" applyFont="1" applyFill="1" applyBorder="1" applyAlignment="1" applyProtection="1">
      <alignment horizontal="right" vertical="center"/>
      <protection locked="0"/>
    </xf>
    <xf numFmtId="174" fontId="15" fillId="28" borderId="36" xfId="13" applyNumberFormat="1" applyFont="1" applyFill="1" applyBorder="1" applyAlignment="1" applyProtection="1">
      <alignment horizontal="right" vertical="center"/>
      <protection locked="0"/>
    </xf>
    <xf numFmtId="174" fontId="22" fillId="28" borderId="36" xfId="13" applyNumberFormat="1" applyFont="1" applyFill="1" applyBorder="1" applyAlignment="1" applyProtection="1">
      <alignment horizontal="right" vertical="center"/>
      <protection locked="0"/>
    </xf>
    <xf numFmtId="0" fontId="15" fillId="28" borderId="36" xfId="13" applyNumberFormat="1" applyFont="1" applyFill="1" applyBorder="1" applyAlignment="1" applyProtection="1">
      <alignment vertical="center"/>
      <protection locked="0"/>
    </xf>
    <xf numFmtId="176" fontId="23" fillId="28" borderId="37" xfId="13" applyNumberFormat="1" applyFont="1" applyFill="1" applyBorder="1" applyAlignment="1" applyProtection="1">
      <alignment horizontal="right" vertical="center"/>
      <protection locked="0"/>
    </xf>
    <xf numFmtId="168" fontId="22" fillId="28" borderId="35" xfId="13" applyNumberFormat="1" applyFont="1" applyFill="1" applyBorder="1" applyAlignment="1" applyProtection="1">
      <alignment horizontal="right" vertical="center"/>
      <protection locked="0"/>
    </xf>
    <xf numFmtId="173" fontId="22" fillId="28" borderId="35" xfId="13" applyNumberFormat="1" applyFont="1" applyFill="1" applyBorder="1" applyAlignment="1" applyProtection="1">
      <alignment horizontal="right" vertical="center"/>
      <protection locked="0"/>
    </xf>
    <xf numFmtId="166" fontId="22" fillId="28" borderId="41" xfId="0" applyFont="1" applyFill="1" applyBorder="1" applyAlignment="1" applyProtection="1">
      <alignment horizontal="right" vertical="center"/>
      <protection locked="0"/>
    </xf>
    <xf numFmtId="169" fontId="15" fillId="28" borderId="37" xfId="0" applyNumberFormat="1" applyFont="1" applyFill="1" applyBorder="1" applyAlignment="1" applyProtection="1">
      <alignment horizontal="right" vertical="center"/>
      <protection locked="0"/>
    </xf>
    <xf numFmtId="164" fontId="22" fillId="28" borderId="35" xfId="13" applyFont="1" applyFill="1" applyBorder="1" applyAlignment="1" applyProtection="1">
      <alignment horizontal="right" vertical="center"/>
      <protection locked="0"/>
    </xf>
    <xf numFmtId="167" fontId="22" fillId="28" borderId="35" xfId="36" applyNumberFormat="1" applyFont="1" applyFill="1" applyBorder="1" applyAlignment="1" applyProtection="1">
      <alignment horizontal="right" vertical="center"/>
      <protection locked="0"/>
    </xf>
    <xf numFmtId="0" fontId="22" fillId="28" borderId="35" xfId="0" applyNumberFormat="1" applyFont="1" applyFill="1" applyBorder="1" applyAlignment="1" applyProtection="1">
      <alignment horizontal="left" vertical="center"/>
      <protection locked="0"/>
    </xf>
    <xf numFmtId="9" fontId="22" fillId="28" borderId="35" xfId="36" applyFont="1" applyFill="1" applyBorder="1" applyAlignment="1" applyProtection="1">
      <alignment horizontal="right" vertical="center"/>
      <protection locked="0"/>
    </xf>
    <xf numFmtId="166" fontId="22" fillId="28" borderId="35" xfId="0" applyFont="1" applyFill="1" applyBorder="1" applyAlignment="1" applyProtection="1">
      <alignment horizontal="right" vertical="center"/>
      <protection locked="0"/>
    </xf>
    <xf numFmtId="166" fontId="22" fillId="28" borderId="40" xfId="0" applyFont="1" applyFill="1" applyBorder="1" applyAlignment="1" applyProtection="1">
      <alignment horizontal="right" vertical="center"/>
      <protection locked="0"/>
    </xf>
    <xf numFmtId="166" fontId="15" fillId="28" borderId="36" xfId="0" applyFont="1" applyFill="1" applyBorder="1" applyAlignment="1" applyProtection="1">
      <alignment vertical="center"/>
      <protection locked="0"/>
    </xf>
    <xf numFmtId="166" fontId="22" fillId="28" borderId="35" xfId="0" applyFont="1" applyFill="1" applyBorder="1" applyAlignment="1" applyProtection="1">
      <alignment vertical="center"/>
      <protection locked="0"/>
    </xf>
    <xf numFmtId="166" fontId="22" fillId="28" borderId="40" xfId="0" applyFont="1" applyFill="1" applyBorder="1" applyAlignment="1" applyProtection="1">
      <alignment vertical="center"/>
      <protection locked="0"/>
    </xf>
    <xf numFmtId="166" fontId="22" fillId="28" borderId="36" xfId="0" applyFont="1" applyFill="1" applyBorder="1" applyAlignment="1" applyProtection="1">
      <alignment vertical="center"/>
      <protection locked="0"/>
    </xf>
    <xf numFmtId="166" fontId="27" fillId="28" borderId="36" xfId="0" applyFont="1" applyFill="1" applyBorder="1" applyAlignment="1" applyProtection="1">
      <alignment vertical="center"/>
      <protection locked="0"/>
    </xf>
    <xf numFmtId="166" fontId="27" fillId="28" borderId="37" xfId="0" applyFont="1" applyFill="1" applyBorder="1" applyAlignment="1" applyProtection="1">
      <alignment horizontal="right" vertical="center"/>
      <protection locked="0"/>
    </xf>
    <xf numFmtId="166" fontId="27" fillId="28" borderId="36" xfId="0" applyFont="1" applyFill="1" applyBorder="1" applyAlignment="1" applyProtection="1">
      <alignment horizontal="right" vertical="center"/>
      <protection locked="0"/>
    </xf>
    <xf numFmtId="169" fontId="22" fillId="28" borderId="35" xfId="0" applyNumberFormat="1" applyFont="1" applyFill="1" applyBorder="1" applyAlignment="1" applyProtection="1">
      <alignment vertical="center"/>
      <protection locked="0"/>
    </xf>
    <xf numFmtId="167" fontId="22" fillId="28" borderId="35" xfId="36" applyNumberFormat="1" applyFont="1" applyFill="1" applyBorder="1" applyAlignment="1" applyProtection="1">
      <alignment vertical="center"/>
      <protection locked="0"/>
    </xf>
    <xf numFmtId="166" fontId="27" fillId="21" borderId="37" xfId="0" applyFont="1" applyFill="1" applyBorder="1" applyAlignment="1" applyProtection="1">
      <alignment horizontal="right" vertical="center"/>
      <protection locked="0"/>
    </xf>
    <xf numFmtId="166" fontId="23" fillId="21" borderId="37" xfId="0" applyFont="1" applyFill="1" applyBorder="1" applyAlignment="1" applyProtection="1">
      <alignment horizontal="right" vertical="center"/>
      <protection locked="0"/>
    </xf>
    <xf numFmtId="166" fontId="23" fillId="28" borderId="36" xfId="0" applyFont="1" applyFill="1" applyBorder="1" applyAlignment="1" applyProtection="1">
      <alignment horizontal="right" vertical="center"/>
      <protection locked="0"/>
    </xf>
    <xf numFmtId="166" fontId="23" fillId="28" borderId="37" xfId="0" applyFont="1" applyFill="1" applyBorder="1" applyAlignment="1" applyProtection="1">
      <alignment horizontal="right" vertical="center"/>
      <protection locked="0"/>
    </xf>
    <xf numFmtId="166" fontId="15" fillId="28" borderId="35" xfId="0" applyFont="1" applyFill="1" applyBorder="1" applyAlignment="1" applyProtection="1">
      <alignment horizontal="left" vertical="center"/>
      <protection locked="0"/>
    </xf>
    <xf numFmtId="166" fontId="22" fillId="28" borderId="35" xfId="0" applyFont="1" applyFill="1" applyBorder="1" applyAlignment="1" applyProtection="1">
      <alignment horizontal="left" vertical="center"/>
      <protection locked="0"/>
    </xf>
    <xf numFmtId="166" fontId="22" fillId="28" borderId="36" xfId="0" applyFont="1" applyFill="1" applyBorder="1" applyAlignment="1" applyProtection="1">
      <alignment horizontal="left" vertical="center"/>
      <protection locked="0"/>
    </xf>
    <xf numFmtId="10" fontId="22" fillId="28" borderId="35" xfId="36" applyNumberFormat="1" applyFont="1" applyFill="1" applyBorder="1" applyAlignment="1" applyProtection="1">
      <alignment horizontal="right" vertical="center"/>
      <protection locked="0"/>
    </xf>
    <xf numFmtId="169" fontId="22" fillId="28" borderId="35" xfId="0" applyNumberFormat="1" applyFont="1" applyFill="1" applyBorder="1" applyAlignment="1" applyProtection="1">
      <alignment horizontal="right" vertical="center"/>
      <protection locked="0"/>
    </xf>
    <xf numFmtId="166" fontId="21" fillId="2" borderId="0" xfId="0" applyFont="1" applyProtection="1">
      <protection locked="0"/>
    </xf>
    <xf numFmtId="10" fontId="22" fillId="28" borderId="0" xfId="0" applyNumberFormat="1" applyFont="1" applyFill="1" applyAlignment="1" applyProtection="1">
      <alignment vertical="center"/>
      <protection locked="0"/>
    </xf>
    <xf numFmtId="10" fontId="22" fillId="28" borderId="0" xfId="36" applyNumberFormat="1" applyFont="1" applyFill="1" applyBorder="1" applyAlignment="1" applyProtection="1">
      <alignment vertical="center"/>
      <protection locked="0"/>
    </xf>
    <xf numFmtId="9" fontId="22" fillId="28" borderId="0" xfId="36" applyFont="1" applyFill="1" applyBorder="1" applyAlignment="1" applyProtection="1">
      <alignment vertical="center"/>
      <protection locked="0"/>
    </xf>
    <xf numFmtId="0" fontId="22" fillId="28" borderId="0" xfId="36" applyNumberFormat="1" applyFont="1" applyFill="1" applyBorder="1" applyAlignment="1" applyProtection="1">
      <alignment vertical="center"/>
      <protection locked="0"/>
    </xf>
    <xf numFmtId="166" fontId="22" fillId="13" borderId="0" xfId="0" applyFont="1" applyFill="1" applyAlignment="1" applyProtection="1">
      <alignment vertical="center"/>
      <protection locked="0"/>
    </xf>
    <xf numFmtId="167" fontId="22" fillId="14" borderId="0" xfId="36" applyNumberFormat="1" applyFont="1" applyFill="1" applyBorder="1" applyAlignment="1" applyProtection="1">
      <alignment vertical="center"/>
      <protection locked="0"/>
    </xf>
    <xf numFmtId="167" fontId="15" fillId="28" borderId="0" xfId="36" applyNumberFormat="1" applyFont="1" applyFill="1" applyBorder="1" applyAlignment="1" applyProtection="1">
      <alignment vertical="center"/>
      <protection locked="0"/>
    </xf>
    <xf numFmtId="166" fontId="21" fillId="28" borderId="0" xfId="0" applyFont="1" applyFill="1" applyAlignment="1" applyProtection="1">
      <alignment vertical="center"/>
      <protection locked="0"/>
    </xf>
    <xf numFmtId="166" fontId="22" fillId="2" borderId="35" xfId="0" applyFont="1" applyBorder="1" applyAlignment="1" applyProtection="1">
      <alignment horizontal="right" vertical="center"/>
      <protection locked="0"/>
    </xf>
    <xf numFmtId="166" fontId="22" fillId="2" borderId="35" xfId="0" applyFont="1" applyBorder="1" applyAlignment="1" applyProtection="1">
      <alignment vertical="center"/>
      <protection locked="0"/>
    </xf>
    <xf numFmtId="10" fontId="22" fillId="28" borderId="37" xfId="0" applyNumberFormat="1" applyFont="1" applyFill="1" applyBorder="1" applyAlignment="1" applyProtection="1">
      <alignment vertical="center"/>
      <protection locked="0"/>
    </xf>
    <xf numFmtId="166" fontId="22" fillId="28" borderId="37" xfId="0" applyFont="1" applyFill="1" applyBorder="1" applyAlignment="1" applyProtection="1">
      <alignment vertical="center"/>
      <protection locked="0"/>
    </xf>
    <xf numFmtId="166" fontId="15" fillId="28" borderId="38" xfId="0" applyFont="1" applyFill="1" applyBorder="1" applyAlignment="1" applyProtection="1">
      <alignment vertical="center" wrapText="1"/>
      <protection locked="0"/>
    </xf>
    <xf numFmtId="166" fontId="22" fillId="28" borderId="38" xfId="0" applyFont="1" applyFill="1" applyBorder="1" applyAlignment="1" applyProtection="1">
      <alignment vertical="center"/>
      <protection locked="0"/>
    </xf>
    <xf numFmtId="166" fontId="22" fillId="28" borderId="39" xfId="0" applyFont="1" applyFill="1" applyBorder="1" applyAlignment="1" applyProtection="1">
      <alignment vertical="center"/>
      <protection locked="0"/>
    </xf>
    <xf numFmtId="168" fontId="22" fillId="2" borderId="35" xfId="0" applyNumberFormat="1" applyFont="1" applyBorder="1" applyAlignment="1" applyProtection="1">
      <alignment vertical="center"/>
      <protection locked="0"/>
    </xf>
    <xf numFmtId="0" fontId="22" fillId="28" borderId="35" xfId="0" applyNumberFormat="1" applyFont="1" applyFill="1" applyBorder="1" applyAlignment="1" applyProtection="1">
      <alignment horizontal="right" vertical="center"/>
      <protection locked="0"/>
    </xf>
    <xf numFmtId="166" fontId="39" fillId="28" borderId="35" xfId="0" applyFont="1" applyFill="1" applyBorder="1" applyAlignment="1" applyProtection="1">
      <alignment horizontal="right" vertical="center"/>
      <protection locked="0"/>
    </xf>
    <xf numFmtId="167" fontId="22" fillId="28" borderId="39" xfId="36" applyNumberFormat="1" applyFont="1" applyFill="1" applyBorder="1" applyAlignment="1" applyProtection="1">
      <alignment vertical="center"/>
      <protection locked="0"/>
    </xf>
    <xf numFmtId="166" fontId="15" fillId="2" borderId="35" xfId="0" applyFont="1" applyBorder="1" applyAlignment="1" applyProtection="1">
      <alignment vertical="center"/>
      <protection locked="0"/>
    </xf>
    <xf numFmtId="166" fontId="15" fillId="28" borderId="39" xfId="0" applyFont="1" applyFill="1" applyBorder="1" applyAlignment="1" applyProtection="1">
      <alignment vertical="center"/>
      <protection locked="0"/>
    </xf>
    <xf numFmtId="168" fontId="22" fillId="28" borderId="39" xfId="0" applyNumberFormat="1" applyFont="1" applyFill="1" applyBorder="1" applyAlignment="1" applyProtection="1">
      <alignment vertical="center"/>
      <protection locked="0"/>
    </xf>
    <xf numFmtId="166" fontId="22" fillId="28" borderId="41" xfId="0" applyFont="1" applyFill="1" applyBorder="1" applyAlignment="1" applyProtection="1">
      <alignment vertical="center"/>
      <protection locked="0"/>
    </xf>
    <xf numFmtId="166" fontId="22" fillId="28" borderId="42" xfId="0" applyFont="1" applyFill="1" applyBorder="1" applyAlignment="1" applyProtection="1">
      <alignment vertical="center"/>
      <protection locked="0"/>
    </xf>
    <xf numFmtId="0" fontId="22" fillId="2" borderId="37" xfId="0" applyNumberFormat="1" applyFont="1" applyBorder="1" applyAlignment="1" applyProtection="1">
      <alignment vertical="center"/>
      <protection locked="0"/>
    </xf>
    <xf numFmtId="167" fontId="22" fillId="2" borderId="37" xfId="36" applyNumberFormat="1" applyFont="1" applyFill="1" applyBorder="1" applyAlignment="1" applyProtection="1">
      <alignment horizontal="right" vertical="center"/>
      <protection locked="0"/>
    </xf>
    <xf numFmtId="166" fontId="39" fillId="2" borderId="37" xfId="0" applyFont="1" applyBorder="1" applyAlignment="1" applyProtection="1">
      <alignment horizontal="right" vertical="center"/>
      <protection locked="0"/>
    </xf>
    <xf numFmtId="166" fontId="39" fillId="2" borderId="39" xfId="0" applyFont="1" applyBorder="1" applyAlignment="1" applyProtection="1">
      <alignment vertical="center"/>
      <protection locked="0"/>
    </xf>
    <xf numFmtId="166" fontId="22" fillId="2" borderId="36" xfId="0" applyFont="1" applyBorder="1" applyAlignment="1" applyProtection="1">
      <alignment horizontal="right" vertical="center"/>
      <protection locked="0"/>
    </xf>
    <xf numFmtId="166" fontId="39" fillId="2" borderId="37" xfId="0" applyFont="1" applyBorder="1" applyAlignment="1" applyProtection="1">
      <alignment vertical="center"/>
      <protection locked="0"/>
    </xf>
    <xf numFmtId="166" fontId="39" fillId="2" borderId="38" xfId="0" applyFont="1" applyBorder="1" applyAlignment="1" applyProtection="1">
      <alignment vertical="center"/>
      <protection locked="0"/>
    </xf>
    <xf numFmtId="166" fontId="15" fillId="28" borderId="37" xfId="0" applyFont="1" applyFill="1" applyBorder="1" applyAlignment="1" applyProtection="1">
      <alignment vertical="center"/>
      <protection locked="0"/>
    </xf>
    <xf numFmtId="166" fontId="15" fillId="28" borderId="38" xfId="0" applyFont="1" applyFill="1" applyBorder="1" applyAlignment="1" applyProtection="1">
      <alignment vertical="center"/>
      <protection locked="0"/>
    </xf>
    <xf numFmtId="174" fontId="22" fillId="13" borderId="37" xfId="13" applyNumberFormat="1" applyFont="1" applyFill="1" applyBorder="1" applyAlignment="1" applyProtection="1">
      <alignment vertical="center"/>
      <protection locked="0"/>
    </xf>
    <xf numFmtId="167" fontId="22" fillId="13" borderId="37" xfId="36" applyNumberFormat="1" applyFont="1" applyFill="1" applyBorder="1" applyAlignment="1" applyProtection="1">
      <alignment vertical="center"/>
      <protection locked="0"/>
    </xf>
    <xf numFmtId="167" fontId="22" fillId="28" borderId="37" xfId="36" applyNumberFormat="1" applyFont="1" applyFill="1" applyBorder="1" applyAlignment="1" applyProtection="1">
      <alignment vertical="center"/>
      <protection locked="0"/>
    </xf>
    <xf numFmtId="166" fontId="15" fillId="28" borderId="35" xfId="0" applyFont="1" applyFill="1" applyBorder="1" applyAlignment="1" applyProtection="1">
      <alignment vertical="center"/>
      <protection locked="0"/>
    </xf>
    <xf numFmtId="169" fontId="22" fillId="28" borderId="36" xfId="0" applyNumberFormat="1" applyFont="1" applyFill="1" applyBorder="1" applyAlignment="1" applyProtection="1">
      <alignment horizontal="right" vertical="center"/>
      <protection locked="0"/>
    </xf>
    <xf numFmtId="167" fontId="22" fillId="18" borderId="37" xfId="36" applyNumberFormat="1" applyFont="1" applyFill="1" applyBorder="1" applyAlignment="1" applyProtection="1">
      <alignment vertical="center"/>
      <protection locked="0"/>
    </xf>
    <xf numFmtId="166" fontId="22" fillId="2" borderId="37" xfId="0" applyFont="1" applyBorder="1" applyAlignment="1" applyProtection="1">
      <alignment horizontal="right" vertical="center"/>
      <protection locked="0"/>
    </xf>
    <xf numFmtId="166" fontId="39" fillId="2" borderId="36" xfId="0" applyFont="1" applyBorder="1" applyAlignment="1" applyProtection="1">
      <alignment horizontal="right" vertical="center"/>
      <protection locked="0"/>
    </xf>
    <xf numFmtId="166" fontId="39" fillId="2" borderId="35" xfId="0" applyFont="1" applyBorder="1" applyAlignment="1" applyProtection="1">
      <alignment horizontal="right" vertical="center"/>
      <protection locked="0"/>
    </xf>
    <xf numFmtId="166" fontId="15" fillId="28" borderId="36" xfId="0" applyFont="1" applyFill="1" applyBorder="1" applyAlignment="1" applyProtection="1">
      <alignment horizontal="left" vertical="center"/>
      <protection locked="0"/>
    </xf>
    <xf numFmtId="166" fontId="21" fillId="2" borderId="35" xfId="0" applyFont="1" applyBorder="1" applyAlignment="1" applyProtection="1">
      <alignment vertical="center"/>
      <protection locked="0"/>
    </xf>
    <xf numFmtId="166" fontId="21" fillId="28" borderId="35" xfId="0" applyFont="1" applyFill="1" applyBorder="1" applyAlignment="1" applyProtection="1">
      <alignment horizontal="right" vertical="center"/>
      <protection locked="0"/>
    </xf>
    <xf numFmtId="166" fontId="21" fillId="28" borderId="39" xfId="0" applyFont="1" applyFill="1" applyBorder="1" applyAlignment="1" applyProtection="1">
      <alignment vertical="center"/>
      <protection locked="0"/>
    </xf>
    <xf numFmtId="166" fontId="22" fillId="31" borderId="39" xfId="0" applyFont="1" applyFill="1" applyBorder="1" applyAlignment="1" applyProtection="1">
      <alignment vertical="center"/>
      <protection locked="0"/>
    </xf>
    <xf numFmtId="0" fontId="18" fillId="20" borderId="17" xfId="0" applyNumberFormat="1" applyFont="1" applyFill="1" applyBorder="1" applyAlignment="1" applyProtection="1">
      <alignment vertical="center"/>
      <protection locked="0"/>
    </xf>
    <xf numFmtId="164" fontId="18" fillId="20" borderId="18" xfId="13" applyFont="1" applyFill="1" applyBorder="1" applyAlignment="1" applyProtection="1">
      <alignment vertical="center"/>
      <protection locked="0"/>
    </xf>
    <xf numFmtId="165" fontId="18" fillId="20" borderId="18" xfId="13" applyNumberFormat="1" applyFont="1" applyFill="1" applyBorder="1" applyAlignment="1" applyProtection="1">
      <alignment vertical="center"/>
      <protection locked="0"/>
    </xf>
    <xf numFmtId="10" fontId="18" fillId="20" borderId="18" xfId="36" applyNumberFormat="1" applyFont="1" applyFill="1" applyBorder="1" applyAlignment="1" applyProtection="1">
      <alignment vertical="center"/>
      <protection locked="0"/>
    </xf>
    <xf numFmtId="0" fontId="16" fillId="32" borderId="17" xfId="0" applyNumberFormat="1" applyFont="1" applyFill="1" applyBorder="1" applyAlignment="1" applyProtection="1">
      <alignment vertical="center"/>
      <protection locked="0"/>
    </xf>
    <xf numFmtId="167" fontId="16" fillId="32" borderId="14" xfId="0" applyNumberFormat="1" applyFont="1" applyFill="1" applyBorder="1" applyAlignment="1" applyProtection="1">
      <alignment vertical="center"/>
      <protection locked="0"/>
    </xf>
    <xf numFmtId="167" fontId="16" fillId="32" borderId="16" xfId="0" applyNumberFormat="1" applyFont="1" applyFill="1" applyBorder="1" applyAlignment="1" applyProtection="1">
      <alignment vertical="center"/>
      <protection locked="0"/>
    </xf>
    <xf numFmtId="0" fontId="16" fillId="32" borderId="16" xfId="0" applyNumberFormat="1" applyFont="1" applyFill="1" applyBorder="1" applyAlignment="1" applyProtection="1">
      <alignment vertical="center"/>
      <protection locked="0"/>
    </xf>
    <xf numFmtId="167" fontId="16" fillId="32" borderId="19" xfId="0" applyNumberFormat="1" applyFont="1" applyFill="1" applyBorder="1" applyAlignment="1" applyProtection="1">
      <alignment vertical="center"/>
      <protection locked="0"/>
    </xf>
    <xf numFmtId="166" fontId="58" fillId="21" borderId="0" xfId="0" applyFont="1" applyFill="1" applyAlignment="1" applyProtection="1">
      <alignment horizontal="left" vertical="center"/>
      <protection locked="0"/>
    </xf>
    <xf numFmtId="166" fontId="15" fillId="2" borderId="0" xfId="0" applyFont="1" applyProtection="1">
      <protection locked="0"/>
    </xf>
    <xf numFmtId="181" fontId="30" fillId="16" borderId="35" xfId="26" applyNumberFormat="1" applyFont="1" applyFill="1" applyBorder="1" applyAlignment="1" applyProtection="1">
      <alignment horizontal="right" vertical="center"/>
      <protection locked="0"/>
    </xf>
    <xf numFmtId="181" fontId="30" fillId="16" borderId="0" xfId="26" applyNumberFormat="1" applyFont="1" applyFill="1" applyAlignment="1" applyProtection="1">
      <alignment horizontal="right" vertical="center"/>
      <protection locked="0"/>
    </xf>
    <xf numFmtId="181" fontId="16" fillId="16" borderId="35" xfId="5" applyNumberFormat="1" applyFont="1" applyFill="1" applyBorder="1" applyAlignment="1" applyProtection="1">
      <alignment horizontal="right" vertical="center"/>
      <protection locked="0"/>
    </xf>
    <xf numFmtId="181" fontId="16" fillId="16" borderId="0" xfId="5" applyNumberFormat="1" applyFont="1" applyFill="1" applyAlignment="1" applyProtection="1">
      <alignment horizontal="right" vertical="center"/>
      <protection locked="0"/>
    </xf>
    <xf numFmtId="167" fontId="32" fillId="16" borderId="35" xfId="38" applyFont="1" applyFill="1" applyBorder="1" applyAlignment="1" applyProtection="1">
      <alignment horizontal="right" vertical="center"/>
      <protection locked="0"/>
    </xf>
    <xf numFmtId="167" fontId="32" fillId="16" borderId="0" xfId="38" applyFont="1" applyFill="1" applyAlignment="1" applyProtection="1">
      <alignment horizontal="right" vertical="center"/>
      <protection locked="0"/>
    </xf>
    <xf numFmtId="166" fontId="46" fillId="0" borderId="0" xfId="0" applyFont="1" applyFill="1"/>
    <xf numFmtId="9" fontId="46" fillId="0" borderId="0" xfId="36" applyFont="1" applyFill="1"/>
    <xf numFmtId="166" fontId="59" fillId="0" borderId="29" xfId="0" applyFont="1" applyFill="1" applyBorder="1"/>
    <xf numFmtId="166" fontId="46" fillId="14" borderId="0" xfId="0" applyFont="1" applyFill="1"/>
    <xf numFmtId="166" fontId="59" fillId="0" borderId="29" xfId="0" applyFont="1" applyFill="1" applyBorder="1" applyAlignment="1">
      <alignment horizontal="right"/>
    </xf>
    <xf numFmtId="166" fontId="46" fillId="39" borderId="0" xfId="0" applyFont="1" applyFill="1"/>
    <xf numFmtId="166" fontId="60" fillId="40" borderId="0" xfId="0" applyFont="1" applyFill="1" applyAlignment="1">
      <alignment vertical="center"/>
    </xf>
    <xf numFmtId="166" fontId="61" fillId="40" borderId="0" xfId="0" applyFont="1" applyFill="1" applyAlignment="1">
      <alignment vertical="center"/>
    </xf>
    <xf numFmtId="166" fontId="62" fillId="40" borderId="0" xfId="0" applyFont="1" applyFill="1" applyAlignment="1">
      <alignment vertical="center"/>
    </xf>
    <xf numFmtId="166" fontId="59" fillId="39" borderId="0" xfId="0" applyFont="1" applyFill="1" applyAlignment="1">
      <alignment vertical="center"/>
    </xf>
    <xf numFmtId="9" fontId="16" fillId="2" borderId="0" xfId="36" applyFont="1" applyFill="1" applyAlignment="1" applyProtection="1">
      <alignment horizontal="right" vertical="center"/>
      <protection locked="0"/>
    </xf>
    <xf numFmtId="169" fontId="44" fillId="13" borderId="0" xfId="0" applyNumberFormat="1" applyFont="1" applyFill="1" applyProtection="1">
      <protection locked="0"/>
    </xf>
    <xf numFmtId="10" fontId="22" fillId="2" borderId="35" xfId="36" applyNumberFormat="1" applyFont="1" applyFill="1" applyBorder="1" applyAlignment="1" applyProtection="1">
      <alignment vertical="center"/>
      <protection locked="0"/>
    </xf>
    <xf numFmtId="166" fontId="63" fillId="30" borderId="43" xfId="0" applyFont="1" applyFill="1" applyBorder="1"/>
    <xf numFmtId="166" fontId="64" fillId="30" borderId="43" xfId="0" applyFont="1" applyFill="1" applyBorder="1"/>
    <xf numFmtId="166" fontId="65" fillId="30" borderId="43" xfId="0" applyFont="1" applyFill="1" applyBorder="1"/>
    <xf numFmtId="166" fontId="65" fillId="30" borderId="43" xfId="0" applyFont="1" applyFill="1" applyBorder="1" applyAlignment="1">
      <alignment wrapText="1"/>
    </xf>
    <xf numFmtId="9" fontId="63" fillId="30" borderId="43" xfId="36" applyFont="1" applyFill="1" applyBorder="1"/>
    <xf numFmtId="167" fontId="63" fillId="30" borderId="43" xfId="36" applyNumberFormat="1" applyFont="1" applyFill="1" applyBorder="1"/>
    <xf numFmtId="166" fontId="63" fillId="30" borderId="45" xfId="0" applyFont="1" applyFill="1" applyBorder="1"/>
    <xf numFmtId="166" fontId="63" fillId="30" borderId="46" xfId="0" applyFont="1" applyFill="1" applyBorder="1"/>
    <xf numFmtId="167" fontId="63" fillId="30" borderId="46" xfId="36" applyNumberFormat="1" applyFont="1" applyFill="1" applyBorder="1"/>
    <xf numFmtId="9" fontId="63" fillId="30" borderId="46" xfId="36" applyFont="1" applyFill="1" applyBorder="1"/>
    <xf numFmtId="166" fontId="63" fillId="30" borderId="44" xfId="0" applyFont="1" applyFill="1" applyBorder="1"/>
    <xf numFmtId="166" fontId="66" fillId="30" borderId="43" xfId="0" applyFont="1" applyFill="1" applyBorder="1"/>
    <xf numFmtId="9" fontId="66" fillId="30" borderId="43" xfId="36" applyFont="1" applyFill="1" applyBorder="1"/>
    <xf numFmtId="166" fontId="63" fillId="30" borderId="48" xfId="0" applyFont="1" applyFill="1" applyBorder="1"/>
    <xf numFmtId="166" fontId="64" fillId="30" borderId="48" xfId="0" applyFont="1" applyFill="1" applyBorder="1"/>
    <xf numFmtId="166" fontId="63" fillId="30" borderId="47" xfId="0" applyFont="1" applyFill="1" applyBorder="1"/>
    <xf numFmtId="9" fontId="63" fillId="15" borderId="43" xfId="36" applyFont="1" applyFill="1" applyBorder="1"/>
    <xf numFmtId="167" fontId="66" fillId="15" borderId="43" xfId="36" applyNumberFormat="1" applyFont="1" applyFill="1" applyBorder="1"/>
    <xf numFmtId="164" fontId="63" fillId="15" borderId="43" xfId="13" applyFont="1" applyFill="1" applyBorder="1"/>
    <xf numFmtId="167" fontId="66" fillId="30" borderId="43" xfId="36" applyNumberFormat="1" applyFont="1" applyFill="1" applyBorder="1"/>
    <xf numFmtId="10" fontId="66" fillId="30" borderId="43" xfId="36" applyNumberFormat="1" applyFont="1" applyFill="1" applyBorder="1"/>
    <xf numFmtId="49" fontId="16" fillId="37" borderId="0" xfId="58" applyNumberFormat="1" applyFont="1" applyFill="1" applyAlignment="1" applyProtection="1">
      <alignment horizontal="left" vertical="center"/>
      <protection locked="0"/>
    </xf>
    <xf numFmtId="166" fontId="15" fillId="2" borderId="0" xfId="0" quotePrefix="1" applyFont="1" applyAlignment="1" applyProtection="1">
      <alignment horizontal="center" vertical="center"/>
      <protection locked="0"/>
    </xf>
  </cellXfs>
  <cellStyles count="63">
    <cellStyle name="Admin" xfId="1" xr:uid="{00000000-0005-0000-0000-000000000000}"/>
    <cellStyle name="Assum [0]" xfId="2" xr:uid="{00000000-0005-0000-0000-000001000000}"/>
    <cellStyle name="Assum [1]" xfId="3" xr:uid="{00000000-0005-0000-0000-000002000000}"/>
    <cellStyle name="Assum percent [0]" xfId="4" xr:uid="{00000000-0005-0000-0000-000003000000}"/>
    <cellStyle name="Calc [0]" xfId="5" xr:uid="{00000000-0005-0000-0000-000004000000}"/>
    <cellStyle name="Calc [1]" xfId="6" xr:uid="{00000000-0005-0000-0000-000005000000}"/>
    <cellStyle name="Calc [2]" xfId="7" xr:uid="{00000000-0005-0000-0000-000006000000}"/>
    <cellStyle name="Calc [3]" xfId="8" xr:uid="{00000000-0005-0000-0000-000007000000}"/>
    <cellStyle name="Calc alt [0]" xfId="9" xr:uid="{00000000-0005-0000-0000-000008000000}"/>
    <cellStyle name="Calc alt [1]" xfId="10" xr:uid="{00000000-0005-0000-0000-000009000000}"/>
    <cellStyle name="Calc alt [2]" xfId="11" xr:uid="{00000000-0005-0000-0000-00000A000000}"/>
    <cellStyle name="Calc alt [3]" xfId="12" xr:uid="{00000000-0005-0000-0000-00000B000000}"/>
    <cellStyle name="Comma" xfId="13" builtinId="3"/>
    <cellStyle name="Comma 2" xfId="52" xr:uid="{00000000-0005-0000-0000-00000D000000}"/>
    <cellStyle name="Comma 2 2" xfId="62" xr:uid="{52CF5C8D-D22E-414F-A4C1-3B711A21B766}"/>
    <cellStyle name="Date D-M" xfId="14" xr:uid="{00000000-0005-0000-0000-00000E000000}"/>
    <cellStyle name="Default [0]" xfId="15" xr:uid="{00000000-0005-0000-0000-00000F000000}"/>
    <cellStyle name="Default [3]" xfId="16" xr:uid="{00000000-0005-0000-0000-000010000000}"/>
    <cellStyle name="export percent [1]" xfId="17" xr:uid="{00000000-0005-0000-0000-000011000000}"/>
    <cellStyle name="F [0]" xfId="18" xr:uid="{00000000-0005-0000-0000-000012000000}"/>
    <cellStyle name="F [1]" xfId="19" xr:uid="{00000000-0005-0000-0000-000013000000}"/>
    <cellStyle name="F [2]" xfId="20" xr:uid="{00000000-0005-0000-0000-000014000000}"/>
    <cellStyle name="F [3]" xfId="21" xr:uid="{00000000-0005-0000-0000-000015000000}"/>
    <cellStyle name="Heading 1" xfId="22" builtinId="16" customBuiltin="1"/>
    <cellStyle name="Heading 2" xfId="23" builtinId="17" customBuiltin="1"/>
    <cellStyle name="Hyperlink" xfId="59" builtinId="8"/>
    <cellStyle name="Import [0]" xfId="24" xr:uid="{00000000-0005-0000-0000-000018000000}"/>
    <cellStyle name="Import percent  [1]" xfId="25" xr:uid="{00000000-0005-0000-0000-000019000000}"/>
    <cellStyle name="Input [0]" xfId="26" xr:uid="{00000000-0005-0000-0000-00001A000000}"/>
    <cellStyle name="Input [1]" xfId="27" xr:uid="{00000000-0005-0000-0000-00001B000000}"/>
    <cellStyle name="Input [2]" xfId="28" xr:uid="{00000000-0005-0000-0000-00001C000000}"/>
    <cellStyle name="Input [3]" xfId="29" xr:uid="{00000000-0005-0000-0000-00001D000000}"/>
    <cellStyle name="inputs H [0]" xfId="30" xr:uid="{00000000-0005-0000-0000-00001E000000}"/>
    <cellStyle name="inputs H [1]" xfId="31" xr:uid="{00000000-0005-0000-0000-00001F000000}"/>
    <cellStyle name="inputs H [2]" xfId="32" xr:uid="{00000000-0005-0000-0000-000020000000}"/>
    <cellStyle name="inputs H [3]" xfId="33" xr:uid="{00000000-0005-0000-0000-000021000000}"/>
    <cellStyle name="Inputs_percent [0]" xfId="34" xr:uid="{00000000-0005-0000-0000-000022000000}"/>
    <cellStyle name="Label" xfId="35" xr:uid="{00000000-0005-0000-0000-000023000000}"/>
    <cellStyle name="Normal" xfId="0" builtinId="0" customBuiltin="1"/>
    <cellStyle name="Normal 2" xfId="57" xr:uid="{73987B94-A1E2-4B16-9455-E4707D34474E}"/>
    <cellStyle name="Normal 2 2" xfId="60" xr:uid="{BFD3F9C5-3DDA-42F3-BC11-E9BC0DBD9241}"/>
    <cellStyle name="Normal 3" xfId="58" xr:uid="{C1700292-F9BE-4836-BF57-07FBD1A36D3A}"/>
    <cellStyle name="Percent" xfId="36" builtinId="5"/>
    <cellStyle name="Percent [0]" xfId="37" xr:uid="{00000000-0005-0000-0000-000026000000}"/>
    <cellStyle name="Percent [1]" xfId="38" xr:uid="{00000000-0005-0000-0000-000027000000}"/>
    <cellStyle name="Percent 2" xfId="53" xr:uid="{00000000-0005-0000-0000-000028000000}"/>
    <cellStyle name="Percent 2 2" xfId="61" xr:uid="{5DA1EC0E-399A-4764-9897-DCFDB3345EC3}"/>
    <cellStyle name="Percent 3" xfId="54" xr:uid="{00000000-0005-0000-0000-000029000000}"/>
    <cellStyle name="Percent 4" xfId="55" xr:uid="{00000000-0005-0000-0000-00002A000000}"/>
    <cellStyle name="Percent 5" xfId="56" xr:uid="{00000000-0005-0000-0000-00002B000000}"/>
    <cellStyle name="Percent F [0]" xfId="39" xr:uid="{00000000-0005-0000-0000-00002C000000}"/>
    <cellStyle name="Percent F [1]" xfId="40" xr:uid="{00000000-0005-0000-0000-00002D000000}"/>
    <cellStyle name="Percent F [2]" xfId="41" xr:uid="{00000000-0005-0000-0000-00002E000000}"/>
    <cellStyle name="Percent H [0]" xfId="42" xr:uid="{00000000-0005-0000-0000-00002F000000}"/>
    <cellStyle name="Percent total [0]" xfId="43" xr:uid="{00000000-0005-0000-0000-000030000000}"/>
    <cellStyle name="Percent total [1]" xfId="44" xr:uid="{00000000-0005-0000-0000-000031000000}"/>
    <cellStyle name="ROC [1]" xfId="45" xr:uid="{00000000-0005-0000-0000-000032000000}"/>
    <cellStyle name="ROC alt [1]" xfId="46" xr:uid="{00000000-0005-0000-0000-000033000000}"/>
    <cellStyle name="ROC F [1]" xfId="47" xr:uid="{00000000-0005-0000-0000-000034000000}"/>
    <cellStyle name="total [0]" xfId="48" xr:uid="{00000000-0005-0000-0000-000035000000}"/>
    <cellStyle name="total [1]" xfId="49" xr:uid="{00000000-0005-0000-0000-000036000000}"/>
    <cellStyle name="Total [2]" xfId="50" xr:uid="{00000000-0005-0000-0000-000037000000}"/>
    <cellStyle name="total [3]" xfId="51" xr:uid="{00000000-0005-0000-0000-000038000000}"/>
  </cellStyles>
  <dxfs count="31">
    <dxf>
      <font>
        <strike val="0"/>
        <outline val="0"/>
        <shadow val="0"/>
        <u val="none"/>
        <vertAlign val="baseline"/>
        <sz val="10"/>
        <color auto="1"/>
        <name val="Arial"/>
        <family val="2"/>
        <scheme val="major"/>
      </font>
      <numFmt numFmtId="0" formatCode="General"/>
      <fill>
        <patternFill patternType="solid">
          <fgColor indexed="64"/>
          <bgColor theme="9" tint="0.79998168889431442"/>
        </patternFill>
      </fill>
      <protection locked="1" hidden="0"/>
    </dxf>
    <dxf>
      <font>
        <strike val="0"/>
        <outline val="0"/>
        <shadow val="0"/>
        <u val="none"/>
        <vertAlign val="baseline"/>
        <sz val="10"/>
        <color auto="1"/>
        <name val="Arial"/>
        <family val="2"/>
        <scheme val="major"/>
      </font>
      <fill>
        <patternFill patternType="solid">
          <fgColor indexed="64"/>
          <bgColor theme="9" tint="0.79998168889431442"/>
        </patternFill>
      </fill>
      <protection locked="1" hidden="0"/>
    </dxf>
    <dxf>
      <font>
        <strike val="0"/>
        <outline val="0"/>
        <shadow val="0"/>
        <u val="none"/>
        <vertAlign val="baseline"/>
        <sz val="10"/>
        <color auto="1"/>
        <name val="Arial"/>
        <family val="2"/>
        <scheme val="major"/>
      </font>
      <protection locked="1" hidden="0"/>
    </dxf>
    <dxf>
      <font>
        <b/>
        <i val="0"/>
        <strike val="0"/>
        <condense val="0"/>
        <extend val="0"/>
        <outline val="0"/>
        <shadow val="0"/>
        <u val="none"/>
        <vertAlign val="baseline"/>
        <sz val="10"/>
        <color auto="1"/>
        <name val="Arial"/>
        <family val="2"/>
        <scheme val="major"/>
      </font>
      <protection locked="1" hidden="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0" tint="-0.34998626667073579"/>
      </font>
      <numFmt numFmtId="0" formatCode="General"/>
    </dxf>
    <dxf>
      <font>
        <color theme="0" tint="-0.34998626667073579"/>
      </font>
      <numFmt numFmtId="0" formatCode="Genera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0" tint="-0.34998626667073579"/>
      </font>
      <numFmt numFmtId="0" formatCode="General"/>
    </dxf>
    <dxf>
      <font>
        <color theme="0" tint="-0.34998626667073579"/>
      </font>
      <numFmt numFmtId="0" formatCode="General"/>
    </dxf>
    <dxf>
      <fill>
        <patternFill>
          <bgColor theme="5" tint="0.39994506668294322"/>
        </patternFill>
      </fill>
    </dxf>
    <dxf>
      <font>
        <color rgb="FFFF0000"/>
      </font>
      <fill>
        <patternFill>
          <bgColor rgb="FFCCFFFF"/>
        </patternFill>
      </fill>
    </dxf>
    <dxf>
      <fill>
        <patternFill>
          <bgColor rgb="FFEAEAEA"/>
        </patternFill>
      </fill>
    </dxf>
    <dxf>
      <fill>
        <patternFill>
          <bgColor rgb="FFFFFF00"/>
        </patternFill>
      </fill>
    </dxf>
    <dxf>
      <font>
        <b/>
        <i val="0"/>
        <color auto="1"/>
      </font>
    </dxf>
    <dxf>
      <font>
        <color rgb="FF9C0006"/>
      </font>
      <fill>
        <patternFill>
          <bgColor rgb="FFFFC7CE"/>
        </patternFill>
      </fill>
    </dxf>
    <dxf>
      <font>
        <b/>
        <i val="0"/>
        <color auto="1"/>
      </font>
    </dxf>
    <dxf>
      <font>
        <color rgb="FFFF0000"/>
      </font>
      <fill>
        <patternFill>
          <bgColor rgb="FFFFFFCC"/>
        </patternFill>
      </fill>
    </dxf>
    <dxf>
      <font>
        <color rgb="FFFF0000"/>
      </font>
    </dxf>
    <dxf>
      <font>
        <color theme="0" tint="-0.14996795556505021"/>
      </font>
    </dxf>
    <dxf>
      <font>
        <color theme="0" tint="-0.14996795556505021"/>
      </font>
    </dxf>
    <dxf>
      <font>
        <color rgb="FFFF0000"/>
      </font>
      <fill>
        <patternFill>
          <bgColor rgb="FFFFFFCC"/>
        </patternFill>
      </fill>
    </dxf>
    <dxf>
      <font>
        <color rgb="FF9C0006"/>
      </font>
      <fill>
        <patternFill>
          <bgColor rgb="FFFFC7CE"/>
        </patternFill>
      </fill>
    </dxf>
  </dxfs>
  <tableStyles count="0" defaultTableStyle="TableStyleMedium9" defaultPivotStyle="PivotStyleLight16"/>
  <colors>
    <mruColors>
      <color rgb="FFFFFF99"/>
      <color rgb="FFF8F8F8"/>
      <color rgb="FFCCFFFF"/>
      <color rgb="FFEAEAEA"/>
      <color rgb="FFC0C0C0"/>
      <color rgb="FFFFFFCC"/>
      <color rgb="FFFFFFFF"/>
      <color rgb="FFFFCC99"/>
      <color rgb="FF44546A"/>
      <color rgb="FF042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e">
        <v>#N/A</v>
        <stp/>
        <stp>BDH|14890286317868505529</stp>
        <tr r="AQ44" s="19"/>
      </tp>
      <tp t="e">
        <v>#N/A</v>
        <stp/>
        <stp>BDH|14908608520482326876</stp>
        <tr r="AQ142" s="19"/>
      </tp>
      <tp t="e">
        <v>#N/A</v>
        <stp/>
        <stp>BDH|15934404227859738040</stp>
        <tr r="AQ182" s="19"/>
      </tp>
      <tp t="e">
        <v>#N/A</v>
        <stp/>
        <stp>BDH|13328313283091158218</stp>
        <tr r="AQ115" s="19"/>
      </tp>
      <tp t="e">
        <v>#N/A</v>
        <stp/>
        <stp>BDH|14206445498841344387</stp>
        <tr r="AQ76" s="19"/>
        <tr r="AQ78" s="19"/>
      </tp>
      <tp t="e">
        <v>#N/A</v>
        <stp/>
        <stp>BDH|11535900155734303131</stp>
        <tr r="AQ104" s="19"/>
      </tp>
      <tp t="e">
        <v>#N/A</v>
        <stp/>
        <stp>BDH|14235161058198160096</stp>
        <tr r="AQ66" s="19"/>
        <tr r="AQ211" s="19"/>
      </tp>
      <tp t="e">
        <v>#N/A</v>
        <stp/>
        <stp>BDH|10275437994071835474</stp>
        <tr r="AQ39" s="19"/>
      </tp>
      <tp t="e">
        <v>#N/A</v>
        <stp/>
        <stp>BDH|10425687704798037655</stp>
        <tr r="AQ50" s="19"/>
      </tp>
      <tp t="e">
        <v>#N/A</v>
        <stp/>
        <stp>BDH|16223925939671539521</stp>
        <tr r="AQ71" s="19"/>
      </tp>
      <tp t="e">
        <v>#N/A</v>
        <stp/>
        <stp>BDH|17486333448331245939</stp>
        <tr r="AQ130" s="19"/>
      </tp>
      <tp t="e">
        <v>#N/A</v>
        <stp/>
        <stp>BDH|16096806184759683611</stp>
        <tr r="AQ129" s="19"/>
      </tp>
      <tp t="e">
        <v>#N/A</v>
        <stp/>
        <stp>BDH|18352670721985181064</stp>
        <tr r="AQ180" s="19"/>
      </tp>
      <tp t="e">
        <v>#N/A</v>
        <stp/>
        <stp>BDH|16792673545713779925</stp>
        <tr r="AQ60" s="19"/>
      </tp>
      <tp t="e">
        <v>#N/A</v>
        <stp/>
        <stp>BDH|17565715996413011461</stp>
        <tr r="AQ140" s="19"/>
      </tp>
      <tp t="e">
        <v>#N/A</v>
        <stp/>
        <stp>BDH|13856224021665948864</stp>
        <tr r="AQ214" s="19"/>
      </tp>
      <tp t="e">
        <v>#N/A</v>
        <stp/>
        <stp>BDH|16930283971854711993</stp>
        <tr r="AQ37" s="19"/>
      </tp>
      <tp t="e">
        <v>#N/A</v>
        <stp/>
        <stp>BDH|10401813634634796184</stp>
        <tr r="AQ91" s="19"/>
      </tp>
      <tp t="e">
        <v>#N/A</v>
        <stp/>
        <stp>BDH|18075217411744577072</stp>
        <tr r="AQ56" s="19"/>
      </tp>
      <tp t="e">
        <v>#N/A</v>
        <stp/>
        <stp>BDH|16457055912399316142</stp>
        <tr r="AQ175" s="19"/>
      </tp>
      <tp t="e">
        <v>#N/A</v>
        <stp/>
        <stp>BDH|11539548878535961977</stp>
        <tr r="AQ137" s="19"/>
      </tp>
      <tp t="e">
        <v>#N/A</v>
        <stp/>
        <stp>BDH|16802780710399325698</stp>
        <tr r="AQ139" s="19"/>
      </tp>
      <tp t="e">
        <v>#N/A</v>
        <stp/>
        <stp>BDH|14810680029127662850</stp>
        <tr r="AQ103" s="19"/>
      </tp>
    </main>
    <main first="bloomberg.rtd">
      <tp>
        <v>19456496921.679996</v>
        <stp/>
        <stp>##V3_BDPV12</stp>
        <stp>NTC SJ Equity</stp>
        <stp>CUR_MKT_CAP</stp>
        <stp>[NTC SJ Model.xlsm]Financials DF (Live)!R36C59</stp>
        <stp>CRNCY</stp>
        <stp>ZAR</stp>
        <tr r="BG36" s="19"/>
      </tp>
    </main>
    <main first="bofaddin.rtdserver">
      <tp t="e">
        <v>#N/A</v>
        <stp/>
        <stp>BDH|15926703611069038683</stp>
        <tr r="AQ179" s="19"/>
      </tp>
      <tp t="e">
        <v>#N/A</v>
        <stp/>
        <stp>BDH|16695868053665533233</stp>
        <tr r="AQ45" s="19"/>
      </tp>
      <tp t="e">
        <v>#N/A</v>
        <stp/>
        <stp>BDH|11599373582343100410</stp>
        <tr r="AQ190" s="19"/>
      </tp>
      <tp t="e">
        <v>#N/A</v>
        <stp/>
        <stp>BDH|16744904202065925767</stp>
        <tr r="AQ48" s="19"/>
      </tp>
      <tp t="e">
        <v>#N/A</v>
        <stp/>
        <stp>BDH|15961115840278076571</stp>
        <tr r="AQ36" s="19"/>
      </tp>
    </main>
    <main first="bloomberg.rtd">
      <tp>
        <v>13.52</v>
        <stp/>
        <stp>##V3_BDPV12</stp>
        <stp>NTC SJ Equity</stp>
        <stp>CRNCY_ADJ_PX_LAST</stp>
        <stp>[NTC SJ Model.xlsm]Financials DF (Live)!R36C58</stp>
        <stp>EQY_FUND_CRNCY</stp>
        <stp>ZAR</stp>
        <tr r="BF36" s="19"/>
      </tp>
    </main>
    <main first="bofaddin.rtdserver">
      <tp t="e">
        <v>#N/A</v>
        <stp/>
        <stp>BDH|15271015613567657128</stp>
        <tr r="AQ145" s="19"/>
      </tp>
      <tp t="e">
        <v>#N/A</v>
        <stp/>
        <stp>BDH|13250973860266977819</stp>
        <tr r="AQ43" s="19"/>
      </tp>
      <tp t="e">
        <v>#N/A</v>
        <stp/>
        <stp>BDH|15258507245126024166</stp>
        <tr r="AQ126" s="19"/>
      </tp>
      <tp t="e">
        <v>#N/A</v>
        <stp/>
        <stp>BDH|16547493434363860162</stp>
        <tr r="AQ122" s="19"/>
      </tp>
      <tp t="e">
        <v>#N/A</v>
        <stp/>
        <stp>BDH|18297817420301725083</stp>
        <tr r="AQ207" s="19"/>
      </tp>
      <tp t="e">
        <v>#N/A</v>
        <stp/>
        <stp>BDH|13348677778942458378</stp>
        <tr r="AQ209" s="19"/>
        <tr r="AQ65" s="19"/>
      </tp>
      <tp t="e">
        <v>#N/A</v>
        <stp/>
        <stp>BDH|12548991408093718823</stp>
        <tr r="AQ68" s="19"/>
      </tp>
      <tp t="e">
        <v>#N/A</v>
        <stp/>
        <stp>BDH|18209232268664022881</stp>
        <tr r="AQ148" s="19"/>
      </tp>
      <tp t="e">
        <v>#N/A</v>
        <stp/>
        <stp>BDH|16885280036990528710</stp>
        <tr r="AQ62" s="19"/>
      </tp>
      <tp t="e">
        <v>#N/A</v>
        <stp/>
        <stp>BDH|14391192263252297193</stp>
        <tr r="AQ173" s="19"/>
      </tp>
      <tp t="e">
        <v>#N/A</v>
        <stp/>
        <stp>BDH|16163137370855073570</stp>
        <tr r="AQ166" s="19"/>
      </tp>
      <tp t="e">
        <v>#N/A</v>
        <stp/>
        <stp>BDH|15260176900595952048</stp>
        <tr r="AQ123" s="19"/>
      </tp>
      <tp t="e">
        <v>#N/A</v>
        <stp/>
        <stp>BDH|14865224905576121168</stp>
        <tr r="AQ134" s="19"/>
      </tp>
      <tp t="e">
        <v>#N/A</v>
        <stp/>
        <stp>BDH|13418053219547602434</stp>
        <tr r="AQ98" s="19"/>
      </tp>
      <tp t="e">
        <v>#N/A</v>
        <stp/>
        <stp>BDH|13711641018947677213</stp>
        <tr r="AQ191" s="19"/>
      </tp>
      <tp t="e">
        <v>#N/A</v>
        <stp/>
        <stp>BDH|11653119885099027714</stp>
        <tr r="AQ125" s="19"/>
      </tp>
      <tp t="e">
        <v>#N/A</v>
        <stp/>
        <stp>BDH|15281425746683826038</stp>
        <tr r="AQ53" s="19"/>
      </tp>
      <tp t="e">
        <v>#N/A</v>
        <stp/>
        <stp>BDH|17949912041465326944</stp>
        <tr r="AQ124" s="19"/>
      </tp>
      <tp t="e">
        <v>#N/A</v>
        <stp/>
        <stp>BDH|17166463924697502108</stp>
        <tr r="AQ187" s="19"/>
      </tp>
      <tp t="e">
        <v>#N/A</v>
        <stp/>
        <stp>BDH|16449159969716030008</stp>
        <tr r="AQ67" s="19"/>
      </tp>
      <tp t="e">
        <v>#N/A</v>
        <stp/>
        <stp>BDH|12534325186056105880</stp>
        <tr r="AQ192" s="19"/>
      </tp>
      <tp t="e">
        <v>#N/A</v>
        <stp/>
        <stp>BDH|12132276329896494370</stp>
        <tr r="AQ169" s="19"/>
      </tp>
      <tp t="e">
        <v>#N/A</v>
        <stp/>
        <stp>BDH|15154171128173152212</stp>
        <tr r="AQ128" s="19"/>
      </tp>
      <tp t="e">
        <v>#N/A</v>
        <stp/>
        <stp>BDH|17791216405335582448</stp>
        <tr r="AQ136" s="19"/>
      </tp>
      <tp t="e">
        <v>#N/A</v>
        <stp/>
        <stp>BDH|12863636140644424011</stp>
        <tr r="AQ74" s="19"/>
      </tp>
      <tp t="e">
        <v>#N/A</v>
        <stp/>
        <stp>BDH|10257196681585919928</stp>
        <tr r="AQ170" s="19"/>
      </tp>
      <tp t="e">
        <v>#N/A</v>
        <stp/>
        <stp>BDH|10450433268340573753</stp>
        <tr r="AQ176" s="19"/>
      </tp>
    </main>
    <main first="bofaddin.rtdserver">
      <tp t="e">
        <v>#N/A</v>
        <stp/>
        <stp>BDH|9856253201496071129</stp>
        <tr r="AQ127" s="19"/>
      </tp>
      <tp t="e">
        <v>#N/A</v>
        <stp/>
        <stp>BDH|6702330569498794752</stp>
        <tr r="AQ135" s="19"/>
      </tp>
      <tp t="e">
        <v>#N/A</v>
        <stp/>
        <stp>BDH|6723553965769721015</stp>
        <tr r="AQ99" s="19"/>
      </tp>
      <tp t="e">
        <v>#N/A</v>
        <stp/>
        <stp>BDH|7150170124821119955</stp>
        <tr r="AQ102" s="19"/>
      </tp>
      <tp t="e">
        <v>#N/A</v>
        <stp/>
        <stp>BDH|6879463189615435202</stp>
        <tr r="AQ40" s="19"/>
      </tp>
      <tp t="e">
        <v>#N/A</v>
        <stp/>
        <stp>BDH|3831895352388831816</stp>
        <tr r="AQ205" s="19"/>
      </tp>
      <tp t="e">
        <v>#N/A</v>
        <stp/>
        <stp>BDH|2551696129491926947</stp>
        <tr r="AQ177" s="19"/>
      </tp>
      <tp t="e">
        <v>#N/A</v>
        <stp/>
        <stp>BDH|8371743208847898680</stp>
        <tr r="AQ94" s="19"/>
      </tp>
      <tp t="e">
        <v>#N/A</v>
        <stp/>
        <stp>BDH|2152950503297060256</stp>
        <tr r="AQ49" s="19"/>
      </tp>
      <tp t="e">
        <v>#N/A</v>
        <stp/>
        <stp>BDH|9746771423042980112</stp>
        <tr r="AQ52" s="19"/>
      </tp>
      <tp t="e">
        <v>#N/A</v>
        <stp/>
        <stp>BDH|1318580903349885294</stp>
        <tr r="AQ133" s="19"/>
      </tp>
      <tp t="e">
        <v>#N/A</v>
        <stp/>
        <stp>BDH|7811763632694645867</stp>
        <tr r="AQ114" s="19"/>
      </tp>
      <tp t="e">
        <v>#N/A</v>
        <stp/>
        <stp>BDH|6726292734021073986</stp>
        <tr r="AQ188" s="19"/>
      </tp>
      <tp t="e">
        <v>#N/A</v>
        <stp/>
        <stp>BDH|8478367174640559313</stp>
        <tr r="AQ70" s="19"/>
      </tp>
      <tp t="e">
        <v>#N/A</v>
        <stp/>
        <stp>BDH|4356615733699774769</stp>
        <tr r="AQ69" s="19"/>
      </tp>
      <tp t="e">
        <v>#N/A</v>
        <stp/>
        <stp>BDH|8262098337403456784</stp>
        <tr r="AQ172" s="19"/>
      </tp>
      <tp t="e">
        <v>#N/A</v>
        <stp/>
        <stp>BDH|2523162270015142984</stp>
        <tr r="AQ73" s="19"/>
      </tp>
      <tp t="e">
        <v>#N/A</v>
        <stp/>
        <stp>BDH|8842205159045311293</stp>
        <tr r="AQ167" s="19"/>
      </tp>
      <tp t="e">
        <v>#N/A</v>
        <stp/>
        <stp>BDH|6313709562367425891</stp>
        <tr r="AQ41" s="19"/>
      </tp>
      <tp t="e">
        <v>#N/A</v>
        <stp/>
        <stp>BDH|5374095664969514271</stp>
        <tr r="AQ97" s="19"/>
      </tp>
      <tp t="e">
        <v>#N/A</v>
        <stp/>
        <stp>BDH|9291208499362617804</stp>
        <tr r="AQ95" s="19"/>
      </tp>
      <tp t="e">
        <v>#N/A</v>
        <stp/>
        <stp>BDH|3628469977938400016</stp>
        <tr r="AQ141" s="19"/>
      </tp>
      <tp t="e">
        <v>#N/A</v>
        <stp/>
        <stp>BDH|1768104712728502104</stp>
        <tr r="AQ72" s="19"/>
      </tp>
      <tp t="e">
        <v>#N/A</v>
        <stp/>
        <stp>BDH|8597962492933692379</stp>
        <tr r="AQ54" s="19"/>
      </tp>
      <tp t="e">
        <v>#N/A</v>
        <stp/>
        <stp>BDH|9468798070792529383</stp>
        <tr r="AQ131" s="19"/>
      </tp>
      <tp t="e">
        <v>#N/A</v>
        <stp/>
        <stp>BDH|1823921176701664738</stp>
        <tr r="AQ58" s="19"/>
      </tp>
      <tp t="e">
        <v>#N/A</v>
        <stp/>
        <stp>BDH|9334915112798488304</stp>
        <tr r="AQ138" s="19"/>
      </tp>
      <tp t="e">
        <v>#N/A</v>
        <stp/>
        <stp>BDH|7357140900948876541</stp>
        <tr r="AQ168" s="19"/>
      </tp>
      <tp t="e">
        <v>#N/A</v>
        <stp/>
        <stp>BDH|5721365168422397942</stp>
        <tr r="AQ189" s="19"/>
      </tp>
      <tp t="e">
        <v>#N/A</v>
        <stp/>
        <stp>BDH|6890976731637118034</stp>
        <tr r="AQ213" s="19"/>
      </tp>
      <tp t="e">
        <v>#N/A</v>
        <stp/>
        <stp>BDH|6990993064991568314</stp>
        <tr r="AQ143" s="19"/>
      </tp>
      <tp t="e">
        <v>#N/A</v>
        <stp/>
        <stp>BDH|3060811950805459007</stp>
        <tr r="AQ174" s="19"/>
      </tp>
      <tp t="e">
        <v>#N/A</v>
        <stp/>
        <stp>BDH|9955642704102374976</stp>
        <tr r="AQ210" s="19"/>
      </tp>
      <tp t="e">
        <v>#N/A</v>
        <stp/>
        <stp>BDH|8401028684133814771</stp>
        <tr r="AQ77" s="19"/>
        <tr r="AQ75" s="19"/>
      </tp>
      <tp t="e">
        <v>#N/A</v>
        <stp/>
        <stp>BDH|5587705422885020159</stp>
        <tr r="AQ61" s="19"/>
      </tp>
      <tp t="e">
        <v>#N/A</v>
        <stp/>
        <stp>BDH|48207588460164342</stp>
        <tr r="AQ106" s="19"/>
      </tp>
      <tp t="e">
        <v>#N/A</v>
        <stp/>
        <stp>BDH|6894985790127318496</stp>
        <tr r="AQ165" s="19"/>
      </tp>
      <tp t="e">
        <v>#N/A</v>
        <stp/>
        <stp>BDH|3121297689038279484</stp>
        <tr r="AQ146" s="19"/>
      </tp>
      <tp t="e">
        <v>#N/A</v>
        <stp/>
        <stp>BDH|7402226139151286239</stp>
        <tr r="AQ105" s="19"/>
      </tp>
      <tp t="e">
        <v>#N/A</v>
        <stp/>
        <stp>BDH|9449125895126090250</stp>
        <tr r="AQ162" s="19"/>
      </tp>
      <tp t="e">
        <v>#N/A</v>
        <stp/>
        <stp>BDH|9777192160949062293</stp>
        <tr r="AQ178" s="19"/>
      </tp>
      <tp t="e">
        <v>#N/A</v>
        <stp/>
        <stp>BDH|2993358509416479257</stp>
        <tr r="AQ164" s="19"/>
      </tp>
      <tp t="e">
        <v>#N/A</v>
        <stp/>
        <stp>BDH|8586344767352245996</stp>
        <tr r="AQ147" s="19"/>
      </tp>
      <tp t="e">
        <v>#N/A</v>
        <stp/>
        <stp>BDH|5519270859417440383</stp>
        <tr r="AQ46" s="19"/>
      </tp>
      <tp t="e">
        <v>#N/A</v>
        <stp/>
        <stp>BDH|2333120977417625480</stp>
        <tr r="AQ181" s="19"/>
      </tp>
      <tp t="e">
        <v>#N/A</v>
        <stp/>
        <stp>BDH|2581140603234955039</stp>
        <tr r="AQ51" s="19"/>
      </tp>
      <tp t="e">
        <v>#N/A</v>
        <stp/>
        <stp>BDH|8316488422830612912</stp>
        <tr r="AQ132" s="19"/>
      </tp>
      <tp t="e">
        <v>#N/A</v>
        <stp/>
        <stp>BDH|6678183835736316579</stp>
        <tr r="AQ208" s="19"/>
      </tp>
      <tp t="e">
        <v>#N/A</v>
        <stp/>
        <stp>BDH|5102667270306276595</stp>
        <tr r="AQ144" s="19"/>
      </tp>
      <tp t="e">
        <v>#N/A</v>
        <stp/>
        <stp>BDH|4290807228596645829</stp>
        <tr r="AQ38" s="19"/>
      </tp>
      <tp t="e">
        <v>#N/A</v>
        <stp/>
        <stp>BDH|8009794888337888079</stp>
        <tr r="AQ57" s="19"/>
      </tp>
      <tp t="e">
        <v>#N/A</v>
        <stp/>
        <stp>BDH|6315784704861492072</stp>
        <tr r="AQ216" s="19"/>
      </tp>
      <tp t="e">
        <v>#N/A</v>
        <stp/>
        <stp>BDH|8751555506055771808</stp>
        <tr r="AQ96" s="19"/>
      </tp>
      <tp t="e">
        <v>#N/A</v>
        <stp/>
        <stp>BDH|2302088862292527772</stp>
        <tr r="AQ217" s="19"/>
      </tp>
      <tp t="e">
        <v>#N/A</v>
        <stp/>
        <stp>BDH|2854263252737482371</stp>
        <tr r="AQ34" s="19"/>
      </tp>
      <tp t="e">
        <v>#N/A</v>
        <stp/>
        <stp>BDH|2204560094248387704</stp>
        <tr r="AQ113" s="19"/>
      </tp>
      <tp t="e">
        <v>#N/A</v>
        <stp/>
        <stp>BDH|8307022985922264375</stp>
        <tr r="AQ55" s="19"/>
      </tp>
      <tp t="e">
        <v>#N/A</v>
        <stp/>
        <stp>BDH|3013816040379175431</stp>
        <tr r="AQ149" s="19"/>
      </tp>
      <tp t="e">
        <v>#N/A</v>
        <stp/>
        <stp>BDH|4366956586794708309</stp>
        <tr r="AQ215" s="19"/>
      </tp>
      <tp t="e">
        <v>#N/A</v>
        <stp/>
        <stp>BDH|6331382255966367563</stp>
        <tr r="AQ47" s="19"/>
      </tp>
      <tp t="e">
        <v>#N/A</v>
        <stp/>
        <stp>BDH|7104221338751074420</stp>
        <tr r="AQ59" s="19"/>
      </tp>
      <tp t="e">
        <v>#N/A</v>
        <stp/>
        <stp>BDH|7253389206524943393</stp>
        <tr r="AQ184" s="19"/>
      </tp>
      <tp t="e">
        <v>#N/A</v>
        <stp/>
        <stp>BDH|9367137930788103011</stp>
        <tr r="AQ171" s="19"/>
      </tp>
      <tp t="e">
        <v>#N/A</v>
        <stp/>
        <stp>BDH|8139927802991444357</stp>
        <tr r="AQ101" s="19"/>
      </tp>
      <tp t="e">
        <v>#N/A</v>
        <stp/>
        <stp>BDH|5368676853745026007</stp>
        <tr r="AQ93" s="19"/>
      </tp>
      <tp t="e">
        <v>#N/A</v>
        <stp/>
        <stp>BDH|6810594462501173771</stp>
        <tr r="AQ186" s="19"/>
      </tp>
      <tp t="e">
        <v>#N/A</v>
        <stp/>
        <stp>BDH|333597525583934296</stp>
        <tr r="AQ100" s="19"/>
      </tp>
    </main>
    <main first="bloomberg.rtd">
      <tp>
        <v>0.13707</v>
        <stp/>
        <stp>##V3_BDPV12</stp>
        <stp>CNYUSD Curncy</stp>
        <stp>PX_LAST</stp>
        <stp>[NTC SJ Model.xlsm]NAV!R34C12</stp>
        <tr r="L34" s="50"/>
      </tp>
    </main>
    <main first="bofaddin.rtdserver">
      <tp t="e">
        <v>#N/A</v>
        <stp/>
        <stp>BDH|742884422468849134</stp>
        <tr r="AQ212" s="19"/>
      </tp>
      <tp t="e">
        <v>#N/A</v>
        <stp/>
        <stp>BDH|371315654930787869</stp>
        <tr r="AQ185" s="19"/>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volatileDependencies" Target="volatileDependencies.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Frontend!$BR$6</c:f>
          <c:strCache>
            <c:ptCount val="1"/>
            <c:pt idx="0">
              <c:v>NTC SJ Equity (ZAR): May22 - May23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rgbClr val="44546A"/>
              </a:solidFill>
              <a:latin typeface="+mn-lt"/>
              <a:ea typeface="+mn-ea"/>
              <a:cs typeface="+mn-cs"/>
            </a:defRPr>
          </a:pPr>
          <a:endParaRPr lang="en-US"/>
        </a:p>
      </c:txPr>
    </c:title>
    <c:autoTitleDeleted val="0"/>
    <c:plotArea>
      <c:layout>
        <c:manualLayout>
          <c:layoutTarget val="inner"/>
          <c:xMode val="edge"/>
          <c:yMode val="edge"/>
          <c:x val="0.11159705237246145"/>
          <c:y val="0.14924962194295249"/>
          <c:w val="0.69318009205010567"/>
          <c:h val="0.51785958874346005"/>
        </c:manualLayout>
      </c:layout>
      <c:lineChart>
        <c:grouping val="standard"/>
        <c:varyColors val="0"/>
        <c:ser>
          <c:idx val="0"/>
          <c:order val="0"/>
          <c:tx>
            <c:strRef>
              <c:f>Frontend!$BO$9</c:f>
              <c:strCache>
                <c:ptCount val="1"/>
                <c:pt idx="0">
                  <c:v>ZAR Price (1 Yr Return)</c:v>
                </c:pt>
              </c:strCache>
            </c:strRef>
          </c:tx>
          <c:spPr>
            <a:ln w="19050" cap="rnd">
              <a:solidFill>
                <a:srgbClr val="44546A"/>
              </a:solidFill>
              <a:round/>
            </a:ln>
            <a:effectLst/>
          </c:spPr>
          <c:marker>
            <c:symbol val="none"/>
          </c:marker>
          <c:dPt>
            <c:idx val="58"/>
            <c:marker>
              <c:symbol val="none"/>
            </c:marker>
            <c:bubble3D val="0"/>
            <c:extLst>
              <c:ext xmlns:c16="http://schemas.microsoft.com/office/drawing/2014/chart" uri="{C3380CC4-5D6E-409C-BE32-E72D297353CC}">
                <c16:uniqueId val="{00000002-9E7E-44E2-8374-D52211F03D4F}"/>
              </c:ext>
            </c:extLst>
          </c:dPt>
          <c:dLbls>
            <c:delete val="1"/>
          </c:dLbls>
          <c:cat>
            <c:numRef>
              <c:f>Frontend!$BL$10:$BL$301</c:f>
              <c:numCache>
                <c:formatCode>d\-mmm\-yy</c:formatCode>
                <c:ptCount val="292"/>
                <c:pt idx="0">
                  <c:v>44705</c:v>
                </c:pt>
                <c:pt idx="1">
                  <c:v>44705</c:v>
                </c:pt>
                <c:pt idx="2">
                  <c:v>44706</c:v>
                </c:pt>
                <c:pt idx="3">
                  <c:v>44707</c:v>
                </c:pt>
                <c:pt idx="4">
                  <c:v>44708</c:v>
                </c:pt>
                <c:pt idx="5">
                  <c:v>44711</c:v>
                </c:pt>
                <c:pt idx="6">
                  <c:v>44712</c:v>
                </c:pt>
                <c:pt idx="7">
                  <c:v>44713</c:v>
                </c:pt>
                <c:pt idx="8">
                  <c:v>44714</c:v>
                </c:pt>
                <c:pt idx="9">
                  <c:v>44715</c:v>
                </c:pt>
                <c:pt idx="10">
                  <c:v>44718</c:v>
                </c:pt>
                <c:pt idx="11">
                  <c:v>44719</c:v>
                </c:pt>
                <c:pt idx="12">
                  <c:v>44720</c:v>
                </c:pt>
                <c:pt idx="13">
                  <c:v>44721</c:v>
                </c:pt>
                <c:pt idx="14">
                  <c:v>44722</c:v>
                </c:pt>
                <c:pt idx="15">
                  <c:v>44725</c:v>
                </c:pt>
                <c:pt idx="16">
                  <c:v>44726</c:v>
                </c:pt>
                <c:pt idx="17">
                  <c:v>44727</c:v>
                </c:pt>
                <c:pt idx="18">
                  <c:v>44729</c:v>
                </c:pt>
                <c:pt idx="19">
                  <c:v>44732</c:v>
                </c:pt>
                <c:pt idx="20">
                  <c:v>44733</c:v>
                </c:pt>
                <c:pt idx="21">
                  <c:v>44734</c:v>
                </c:pt>
                <c:pt idx="22">
                  <c:v>44735</c:v>
                </c:pt>
                <c:pt idx="23">
                  <c:v>44736</c:v>
                </c:pt>
                <c:pt idx="24">
                  <c:v>44739</c:v>
                </c:pt>
                <c:pt idx="25">
                  <c:v>44740</c:v>
                </c:pt>
                <c:pt idx="26">
                  <c:v>44741</c:v>
                </c:pt>
                <c:pt idx="27">
                  <c:v>44742</c:v>
                </c:pt>
                <c:pt idx="28">
                  <c:v>44743</c:v>
                </c:pt>
                <c:pt idx="29">
                  <c:v>44746</c:v>
                </c:pt>
                <c:pt idx="30">
                  <c:v>44747</c:v>
                </c:pt>
                <c:pt idx="31">
                  <c:v>44748</c:v>
                </c:pt>
                <c:pt idx="32">
                  <c:v>44749</c:v>
                </c:pt>
                <c:pt idx="33">
                  <c:v>44750</c:v>
                </c:pt>
                <c:pt idx="34">
                  <c:v>44753</c:v>
                </c:pt>
                <c:pt idx="35">
                  <c:v>44754</c:v>
                </c:pt>
                <c:pt idx="36">
                  <c:v>44755</c:v>
                </c:pt>
                <c:pt idx="37">
                  <c:v>44756</c:v>
                </c:pt>
                <c:pt idx="38">
                  <c:v>44757</c:v>
                </c:pt>
                <c:pt idx="39">
                  <c:v>44760</c:v>
                </c:pt>
                <c:pt idx="40">
                  <c:v>44761</c:v>
                </c:pt>
                <c:pt idx="41">
                  <c:v>44762</c:v>
                </c:pt>
                <c:pt idx="42">
                  <c:v>44763</c:v>
                </c:pt>
                <c:pt idx="43">
                  <c:v>44764</c:v>
                </c:pt>
                <c:pt idx="44">
                  <c:v>44767</c:v>
                </c:pt>
                <c:pt idx="45">
                  <c:v>44768</c:v>
                </c:pt>
                <c:pt idx="46">
                  <c:v>44769</c:v>
                </c:pt>
                <c:pt idx="47">
                  <c:v>44770</c:v>
                </c:pt>
                <c:pt idx="48">
                  <c:v>44771</c:v>
                </c:pt>
                <c:pt idx="49">
                  <c:v>44774</c:v>
                </c:pt>
                <c:pt idx="50">
                  <c:v>44775</c:v>
                </c:pt>
                <c:pt idx="51">
                  <c:v>44776</c:v>
                </c:pt>
                <c:pt idx="52">
                  <c:v>44777</c:v>
                </c:pt>
                <c:pt idx="53">
                  <c:v>44778</c:v>
                </c:pt>
                <c:pt idx="54">
                  <c:v>44781</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44820</c:v>
                </c:pt>
                <c:pt idx="83">
                  <c:v>44823</c:v>
                </c:pt>
                <c:pt idx="84">
                  <c:v>44824</c:v>
                </c:pt>
                <c:pt idx="85">
                  <c:v>44825</c:v>
                </c:pt>
                <c:pt idx="86">
                  <c:v>44826</c:v>
                </c:pt>
                <c:pt idx="87">
                  <c:v>44827</c:v>
                </c:pt>
                <c:pt idx="88">
                  <c:v>44830</c:v>
                </c:pt>
                <c:pt idx="89">
                  <c:v>44831</c:v>
                </c:pt>
                <c:pt idx="90">
                  <c:v>44832</c:v>
                </c:pt>
                <c:pt idx="91">
                  <c:v>44833</c:v>
                </c:pt>
                <c:pt idx="92">
                  <c:v>44834</c:v>
                </c:pt>
                <c:pt idx="93">
                  <c:v>44837</c:v>
                </c:pt>
                <c:pt idx="94">
                  <c:v>44838</c:v>
                </c:pt>
                <c:pt idx="95">
                  <c:v>44839</c:v>
                </c:pt>
                <c:pt idx="96">
                  <c:v>44840</c:v>
                </c:pt>
                <c:pt idx="97">
                  <c:v>44841</c:v>
                </c:pt>
                <c:pt idx="98">
                  <c:v>44844</c:v>
                </c:pt>
                <c:pt idx="99">
                  <c:v>44845</c:v>
                </c:pt>
                <c:pt idx="100">
                  <c:v>44846</c:v>
                </c:pt>
                <c:pt idx="101">
                  <c:v>44847</c:v>
                </c:pt>
                <c:pt idx="102">
                  <c:v>44848</c:v>
                </c:pt>
                <c:pt idx="103">
                  <c:v>44851</c:v>
                </c:pt>
                <c:pt idx="104">
                  <c:v>44852</c:v>
                </c:pt>
                <c:pt idx="105">
                  <c:v>44853</c:v>
                </c:pt>
                <c:pt idx="106">
                  <c:v>44854</c:v>
                </c:pt>
                <c:pt idx="107">
                  <c:v>44855</c:v>
                </c:pt>
                <c:pt idx="108">
                  <c:v>44858</c:v>
                </c:pt>
                <c:pt idx="109">
                  <c:v>44859</c:v>
                </c:pt>
                <c:pt idx="110">
                  <c:v>44860</c:v>
                </c:pt>
                <c:pt idx="111">
                  <c:v>44861</c:v>
                </c:pt>
                <c:pt idx="112">
                  <c:v>44862</c:v>
                </c:pt>
                <c:pt idx="113">
                  <c:v>44865</c:v>
                </c:pt>
                <c:pt idx="114">
                  <c:v>44866</c:v>
                </c:pt>
                <c:pt idx="115">
                  <c:v>44867</c:v>
                </c:pt>
                <c:pt idx="116">
                  <c:v>44868</c:v>
                </c:pt>
                <c:pt idx="117">
                  <c:v>44869</c:v>
                </c:pt>
                <c:pt idx="118">
                  <c:v>44872</c:v>
                </c:pt>
                <c:pt idx="119">
                  <c:v>44873</c:v>
                </c:pt>
                <c:pt idx="120">
                  <c:v>44874</c:v>
                </c:pt>
                <c:pt idx="121">
                  <c:v>44875</c:v>
                </c:pt>
                <c:pt idx="122">
                  <c:v>44876</c:v>
                </c:pt>
                <c:pt idx="123">
                  <c:v>44879</c:v>
                </c:pt>
                <c:pt idx="124">
                  <c:v>44880</c:v>
                </c:pt>
                <c:pt idx="125">
                  <c:v>44881</c:v>
                </c:pt>
                <c:pt idx="126">
                  <c:v>44882</c:v>
                </c:pt>
                <c:pt idx="127">
                  <c:v>44883</c:v>
                </c:pt>
                <c:pt idx="128">
                  <c:v>44886</c:v>
                </c:pt>
                <c:pt idx="129">
                  <c:v>44887</c:v>
                </c:pt>
                <c:pt idx="130">
                  <c:v>44888</c:v>
                </c:pt>
                <c:pt idx="131">
                  <c:v>44889</c:v>
                </c:pt>
                <c:pt idx="132">
                  <c:v>44890</c:v>
                </c:pt>
                <c:pt idx="133">
                  <c:v>44893</c:v>
                </c:pt>
                <c:pt idx="134">
                  <c:v>44894</c:v>
                </c:pt>
                <c:pt idx="135">
                  <c:v>44895</c:v>
                </c:pt>
                <c:pt idx="136">
                  <c:v>44896</c:v>
                </c:pt>
                <c:pt idx="137">
                  <c:v>44897</c:v>
                </c:pt>
                <c:pt idx="138">
                  <c:v>44900</c:v>
                </c:pt>
                <c:pt idx="139">
                  <c:v>44901</c:v>
                </c:pt>
                <c:pt idx="140">
                  <c:v>44902</c:v>
                </c:pt>
                <c:pt idx="141">
                  <c:v>44903</c:v>
                </c:pt>
                <c:pt idx="142">
                  <c:v>44904</c:v>
                </c:pt>
                <c:pt idx="143">
                  <c:v>44907</c:v>
                </c:pt>
                <c:pt idx="144">
                  <c:v>44908</c:v>
                </c:pt>
                <c:pt idx="145">
                  <c:v>44909</c:v>
                </c:pt>
                <c:pt idx="146">
                  <c:v>44910</c:v>
                </c:pt>
                <c:pt idx="147">
                  <c:v>44914</c:v>
                </c:pt>
                <c:pt idx="148">
                  <c:v>44915</c:v>
                </c:pt>
                <c:pt idx="149">
                  <c:v>44916</c:v>
                </c:pt>
                <c:pt idx="150">
                  <c:v>44917</c:v>
                </c:pt>
                <c:pt idx="151">
                  <c:v>44918</c:v>
                </c:pt>
                <c:pt idx="152">
                  <c:v>44923</c:v>
                </c:pt>
                <c:pt idx="153">
                  <c:v>44924</c:v>
                </c:pt>
                <c:pt idx="154">
                  <c:v>44925</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44963</c:v>
                </c:pt>
                <c:pt idx="180">
                  <c:v>44964</c:v>
                </c:pt>
                <c:pt idx="181">
                  <c:v>44965</c:v>
                </c:pt>
                <c:pt idx="182">
                  <c:v>44966</c:v>
                </c:pt>
                <c:pt idx="183">
                  <c:v>44967</c:v>
                </c:pt>
                <c:pt idx="184">
                  <c:v>44970</c:v>
                </c:pt>
                <c:pt idx="185">
                  <c:v>44971</c:v>
                </c:pt>
                <c:pt idx="186">
                  <c:v>44972</c:v>
                </c:pt>
                <c:pt idx="187">
                  <c:v>44973</c:v>
                </c:pt>
                <c:pt idx="188">
                  <c:v>44974</c:v>
                </c:pt>
                <c:pt idx="189">
                  <c:v>44977</c:v>
                </c:pt>
                <c:pt idx="190">
                  <c:v>44978</c:v>
                </c:pt>
                <c:pt idx="191">
                  <c:v>44979</c:v>
                </c:pt>
                <c:pt idx="192">
                  <c:v>44980</c:v>
                </c:pt>
                <c:pt idx="193">
                  <c:v>44981</c:v>
                </c:pt>
                <c:pt idx="194">
                  <c:v>44984</c:v>
                </c:pt>
                <c:pt idx="195">
                  <c:v>44985</c:v>
                </c:pt>
                <c:pt idx="196">
                  <c:v>44986</c:v>
                </c:pt>
                <c:pt idx="197">
                  <c:v>44987</c:v>
                </c:pt>
                <c:pt idx="198">
                  <c:v>44988</c:v>
                </c:pt>
                <c:pt idx="199">
                  <c:v>44991</c:v>
                </c:pt>
                <c:pt idx="200">
                  <c:v>44992</c:v>
                </c:pt>
                <c:pt idx="201">
                  <c:v>44993</c:v>
                </c:pt>
                <c:pt idx="202">
                  <c:v>44994</c:v>
                </c:pt>
                <c:pt idx="203">
                  <c:v>44995</c:v>
                </c:pt>
                <c:pt idx="204">
                  <c:v>44998</c:v>
                </c:pt>
                <c:pt idx="205">
                  <c:v>44999</c:v>
                </c:pt>
                <c:pt idx="206">
                  <c:v>45000</c:v>
                </c:pt>
                <c:pt idx="207">
                  <c:v>45001</c:v>
                </c:pt>
                <c:pt idx="208">
                  <c:v>45002</c:v>
                </c:pt>
                <c:pt idx="209">
                  <c:v>45005</c:v>
                </c:pt>
                <c:pt idx="210">
                  <c:v>45007</c:v>
                </c:pt>
                <c:pt idx="211">
                  <c:v>45008</c:v>
                </c:pt>
                <c:pt idx="212">
                  <c:v>45009</c:v>
                </c:pt>
                <c:pt idx="213">
                  <c:v>45012</c:v>
                </c:pt>
                <c:pt idx="214">
                  <c:v>45013</c:v>
                </c:pt>
                <c:pt idx="215">
                  <c:v>45014</c:v>
                </c:pt>
                <c:pt idx="216">
                  <c:v>45015</c:v>
                </c:pt>
                <c:pt idx="217">
                  <c:v>45016</c:v>
                </c:pt>
                <c:pt idx="218">
                  <c:v>45019</c:v>
                </c:pt>
                <c:pt idx="219">
                  <c:v>45020</c:v>
                </c:pt>
                <c:pt idx="220">
                  <c:v>45021</c:v>
                </c:pt>
                <c:pt idx="221">
                  <c:v>45022</c:v>
                </c:pt>
                <c:pt idx="222">
                  <c:v>45027</c:v>
                </c:pt>
                <c:pt idx="223">
                  <c:v>45028</c:v>
                </c:pt>
                <c:pt idx="224">
                  <c:v>45029</c:v>
                </c:pt>
                <c:pt idx="225">
                  <c:v>45030</c:v>
                </c:pt>
                <c:pt idx="226">
                  <c:v>45033</c:v>
                </c:pt>
                <c:pt idx="227">
                  <c:v>45034</c:v>
                </c:pt>
                <c:pt idx="228">
                  <c:v>45035</c:v>
                </c:pt>
                <c:pt idx="229">
                  <c:v>45036</c:v>
                </c:pt>
                <c:pt idx="230">
                  <c:v>45037</c:v>
                </c:pt>
                <c:pt idx="231">
                  <c:v>45040</c:v>
                </c:pt>
                <c:pt idx="232">
                  <c:v>45041</c:v>
                </c:pt>
                <c:pt idx="233">
                  <c:v>45042</c:v>
                </c:pt>
                <c:pt idx="234">
                  <c:v>45044</c:v>
                </c:pt>
                <c:pt idx="235">
                  <c:v>45048</c:v>
                </c:pt>
                <c:pt idx="236">
                  <c:v>45049</c:v>
                </c:pt>
                <c:pt idx="237">
                  <c:v>45050</c:v>
                </c:pt>
                <c:pt idx="238">
                  <c:v>45051</c:v>
                </c:pt>
                <c:pt idx="239">
                  <c:v>45054</c:v>
                </c:pt>
                <c:pt idx="240">
                  <c:v>45055</c:v>
                </c:pt>
                <c:pt idx="241">
                  <c:v>45056</c:v>
                </c:pt>
                <c:pt idx="242">
                  <c:v>45057</c:v>
                </c:pt>
                <c:pt idx="243">
                  <c:v>45058</c:v>
                </c:pt>
                <c:pt idx="244">
                  <c:v>45061</c:v>
                </c:pt>
                <c:pt idx="245">
                  <c:v>45062</c:v>
                </c:pt>
                <c:pt idx="246">
                  <c:v>45063</c:v>
                </c:pt>
                <c:pt idx="247">
                  <c:v>45064</c:v>
                </c:pt>
                <c:pt idx="248">
                  <c:v>45065</c:v>
                </c:pt>
                <c:pt idx="249">
                  <c:v>45068</c:v>
                </c:pt>
                <c:pt idx="250">
                  <c:v>45069</c:v>
                </c:pt>
                <c:pt idx="251">
                  <c:v>45070</c:v>
                </c:pt>
                <c:pt idx="252">
                  <c:v>45071</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cat>
          <c:val>
            <c:numRef>
              <c:f>Frontend!$BO$10:$BO$301</c:f>
              <c:numCache>
                <c:formatCode>#,##0.00</c:formatCode>
                <c:ptCount val="292"/>
                <c:pt idx="0">
                  <c:v>14.41</c:v>
                </c:pt>
                <c:pt idx="1">
                  <c:v>15.24</c:v>
                </c:pt>
                <c:pt idx="2">
                  <c:v>14.68</c:v>
                </c:pt>
                <c:pt idx="3">
                  <c:v>14.91</c:v>
                </c:pt>
                <c:pt idx="4">
                  <c:v>15.35</c:v>
                </c:pt>
                <c:pt idx="5">
                  <c:v>15.23</c:v>
                </c:pt>
                <c:pt idx="6">
                  <c:v>15.32</c:v>
                </c:pt>
                <c:pt idx="7">
                  <c:v>15.120000000000001</c:v>
                </c:pt>
                <c:pt idx="8">
                  <c:v>14.81</c:v>
                </c:pt>
                <c:pt idx="9">
                  <c:v>15.32</c:v>
                </c:pt>
                <c:pt idx="10">
                  <c:v>14.98</c:v>
                </c:pt>
                <c:pt idx="11">
                  <c:v>15</c:v>
                </c:pt>
                <c:pt idx="12">
                  <c:v>15.030000000000001</c:v>
                </c:pt>
                <c:pt idx="13">
                  <c:v>14.89</c:v>
                </c:pt>
                <c:pt idx="14">
                  <c:v>15.030000000000001</c:v>
                </c:pt>
                <c:pt idx="15">
                  <c:v>14.98</c:v>
                </c:pt>
                <c:pt idx="16">
                  <c:v>14.620000000000001</c:v>
                </c:pt>
                <c:pt idx="17">
                  <c:v>14.94</c:v>
                </c:pt>
                <c:pt idx="18">
                  <c:v>14.74</c:v>
                </c:pt>
                <c:pt idx="19">
                  <c:v>14.83</c:v>
                </c:pt>
                <c:pt idx="20">
                  <c:v>14.83</c:v>
                </c:pt>
                <c:pt idx="21">
                  <c:v>14.9</c:v>
                </c:pt>
                <c:pt idx="22">
                  <c:v>14.65</c:v>
                </c:pt>
                <c:pt idx="23">
                  <c:v>14.8</c:v>
                </c:pt>
                <c:pt idx="24">
                  <c:v>15.06</c:v>
                </c:pt>
                <c:pt idx="25">
                  <c:v>14.72</c:v>
                </c:pt>
                <c:pt idx="26">
                  <c:v>14.57</c:v>
                </c:pt>
                <c:pt idx="27">
                  <c:v>14.27</c:v>
                </c:pt>
                <c:pt idx="28">
                  <c:v>13.8</c:v>
                </c:pt>
                <c:pt idx="29">
                  <c:v>13.9</c:v>
                </c:pt>
                <c:pt idx="30">
                  <c:v>14.06</c:v>
                </c:pt>
                <c:pt idx="31">
                  <c:v>13.96</c:v>
                </c:pt>
                <c:pt idx="32">
                  <c:v>14.200000000000001</c:v>
                </c:pt>
                <c:pt idx="33">
                  <c:v>14.59</c:v>
                </c:pt>
                <c:pt idx="34">
                  <c:v>14.69</c:v>
                </c:pt>
                <c:pt idx="35">
                  <c:v>14.66</c:v>
                </c:pt>
                <c:pt idx="36">
                  <c:v>14.35</c:v>
                </c:pt>
                <c:pt idx="37">
                  <c:v>14.39</c:v>
                </c:pt>
                <c:pt idx="38">
                  <c:v>14.49</c:v>
                </c:pt>
                <c:pt idx="39">
                  <c:v>14.77</c:v>
                </c:pt>
                <c:pt idx="40">
                  <c:v>14.92</c:v>
                </c:pt>
                <c:pt idx="41">
                  <c:v>14.780000000000001</c:v>
                </c:pt>
                <c:pt idx="42">
                  <c:v>14.530000000000001</c:v>
                </c:pt>
                <c:pt idx="43">
                  <c:v>14.81</c:v>
                </c:pt>
                <c:pt idx="44">
                  <c:v>14.88</c:v>
                </c:pt>
                <c:pt idx="45">
                  <c:v>15.35</c:v>
                </c:pt>
                <c:pt idx="46">
                  <c:v>15.6</c:v>
                </c:pt>
                <c:pt idx="47">
                  <c:v>15.35</c:v>
                </c:pt>
                <c:pt idx="48">
                  <c:v>15.200000000000001</c:v>
                </c:pt>
                <c:pt idx="49">
                  <c:v>15.32</c:v>
                </c:pt>
                <c:pt idx="50">
                  <c:v>15.15</c:v>
                </c:pt>
                <c:pt idx="51">
                  <c:v>15.4</c:v>
                </c:pt>
                <c:pt idx="52">
                  <c:v>15.41</c:v>
                </c:pt>
                <c:pt idx="53">
                  <c:v>15.39</c:v>
                </c:pt>
                <c:pt idx="54">
                  <c:v>15.73</c:v>
                </c:pt>
                <c:pt idx="55">
                  <c:v>15.63</c:v>
                </c:pt>
                <c:pt idx="56">
                  <c:v>16.05</c:v>
                </c:pt>
                <c:pt idx="57">
                  <c:v>16.09</c:v>
                </c:pt>
                <c:pt idx="58">
                  <c:v>16.240000000000002</c:v>
                </c:pt>
                <c:pt idx="59">
                  <c:v>15.950000000000001</c:v>
                </c:pt>
                <c:pt idx="60">
                  <c:v>15.860000000000001</c:v>
                </c:pt>
                <c:pt idx="61">
                  <c:v>15.75</c:v>
                </c:pt>
                <c:pt idx="62">
                  <c:v>15.59</c:v>
                </c:pt>
                <c:pt idx="63">
                  <c:v>15.530000000000001</c:v>
                </c:pt>
                <c:pt idx="64">
                  <c:v>15.49</c:v>
                </c:pt>
                <c:pt idx="65">
                  <c:v>15.23</c:v>
                </c:pt>
                <c:pt idx="66">
                  <c:v>15.19</c:v>
                </c:pt>
                <c:pt idx="67">
                  <c:v>15.19</c:v>
                </c:pt>
                <c:pt idx="68">
                  <c:v>14.93</c:v>
                </c:pt>
                <c:pt idx="69">
                  <c:v>14.700000000000001</c:v>
                </c:pt>
                <c:pt idx="70">
                  <c:v>14.74</c:v>
                </c:pt>
                <c:pt idx="71">
                  <c:v>14.52</c:v>
                </c:pt>
                <c:pt idx="72">
                  <c:v>14.42</c:v>
                </c:pt>
                <c:pt idx="73">
                  <c:v>14.36</c:v>
                </c:pt>
                <c:pt idx="74">
                  <c:v>14.27</c:v>
                </c:pt>
                <c:pt idx="75">
                  <c:v>14.06</c:v>
                </c:pt>
                <c:pt idx="76">
                  <c:v>14.370000000000001</c:v>
                </c:pt>
                <c:pt idx="77">
                  <c:v>14.39</c:v>
                </c:pt>
                <c:pt idx="78">
                  <c:v>14.56</c:v>
                </c:pt>
                <c:pt idx="79">
                  <c:v>14.18</c:v>
                </c:pt>
                <c:pt idx="80">
                  <c:v>13.82</c:v>
                </c:pt>
                <c:pt idx="81">
                  <c:v>13.6</c:v>
                </c:pt>
                <c:pt idx="82">
                  <c:v>13.280000000000001</c:v>
                </c:pt>
                <c:pt idx="83">
                  <c:v>13.290000000000001</c:v>
                </c:pt>
                <c:pt idx="84">
                  <c:v>13.64</c:v>
                </c:pt>
                <c:pt idx="85">
                  <c:v>13.290000000000001</c:v>
                </c:pt>
                <c:pt idx="86">
                  <c:v>13.18</c:v>
                </c:pt>
                <c:pt idx="87">
                  <c:v>13.120000000000001</c:v>
                </c:pt>
                <c:pt idx="88">
                  <c:v>13.1</c:v>
                </c:pt>
                <c:pt idx="89">
                  <c:v>13.31</c:v>
                </c:pt>
                <c:pt idx="90">
                  <c:v>13.67</c:v>
                </c:pt>
                <c:pt idx="91">
                  <c:v>13.91</c:v>
                </c:pt>
                <c:pt idx="92">
                  <c:v>13.72</c:v>
                </c:pt>
                <c:pt idx="93">
                  <c:v>13.58</c:v>
                </c:pt>
                <c:pt idx="94">
                  <c:v>13.870000000000001</c:v>
                </c:pt>
                <c:pt idx="95">
                  <c:v>13.96</c:v>
                </c:pt>
                <c:pt idx="96">
                  <c:v>14.23</c:v>
                </c:pt>
                <c:pt idx="97">
                  <c:v>14.35</c:v>
                </c:pt>
                <c:pt idx="98">
                  <c:v>14.24</c:v>
                </c:pt>
                <c:pt idx="99">
                  <c:v>14.36</c:v>
                </c:pt>
                <c:pt idx="100">
                  <c:v>14.58</c:v>
                </c:pt>
                <c:pt idx="101">
                  <c:v>14.76</c:v>
                </c:pt>
                <c:pt idx="102">
                  <c:v>15.01</c:v>
                </c:pt>
                <c:pt idx="103">
                  <c:v>15.24</c:v>
                </c:pt>
                <c:pt idx="104">
                  <c:v>15.43</c:v>
                </c:pt>
                <c:pt idx="105">
                  <c:v>15.56</c:v>
                </c:pt>
                <c:pt idx="106">
                  <c:v>15.4</c:v>
                </c:pt>
                <c:pt idx="107">
                  <c:v>15.1</c:v>
                </c:pt>
                <c:pt idx="108">
                  <c:v>15.4</c:v>
                </c:pt>
                <c:pt idx="109">
                  <c:v>15.4</c:v>
                </c:pt>
                <c:pt idx="110">
                  <c:v>15.39</c:v>
                </c:pt>
                <c:pt idx="111">
                  <c:v>15.65</c:v>
                </c:pt>
                <c:pt idx="112">
                  <c:v>15.620000000000001</c:v>
                </c:pt>
                <c:pt idx="113">
                  <c:v>15.58</c:v>
                </c:pt>
                <c:pt idx="114">
                  <c:v>15.42</c:v>
                </c:pt>
                <c:pt idx="115">
                  <c:v>15.51</c:v>
                </c:pt>
                <c:pt idx="116">
                  <c:v>15.24</c:v>
                </c:pt>
                <c:pt idx="117">
                  <c:v>15.24</c:v>
                </c:pt>
                <c:pt idx="118">
                  <c:v>15.450000000000001</c:v>
                </c:pt>
                <c:pt idx="119">
                  <c:v>15.57</c:v>
                </c:pt>
                <c:pt idx="120">
                  <c:v>15.55</c:v>
                </c:pt>
                <c:pt idx="121">
                  <c:v>15.6</c:v>
                </c:pt>
                <c:pt idx="122">
                  <c:v>14.9</c:v>
                </c:pt>
                <c:pt idx="123">
                  <c:v>14.42</c:v>
                </c:pt>
                <c:pt idx="124">
                  <c:v>14.32</c:v>
                </c:pt>
                <c:pt idx="125">
                  <c:v>14.280000000000001</c:v>
                </c:pt>
                <c:pt idx="126">
                  <c:v>13.81</c:v>
                </c:pt>
                <c:pt idx="127">
                  <c:v>14.030000000000001</c:v>
                </c:pt>
                <c:pt idx="128">
                  <c:v>14.950000000000001</c:v>
                </c:pt>
                <c:pt idx="129">
                  <c:v>14.07</c:v>
                </c:pt>
                <c:pt idx="130">
                  <c:v>14.43</c:v>
                </c:pt>
                <c:pt idx="131">
                  <c:v>14.35</c:v>
                </c:pt>
                <c:pt idx="132">
                  <c:v>14.700000000000001</c:v>
                </c:pt>
                <c:pt idx="133">
                  <c:v>14.6</c:v>
                </c:pt>
                <c:pt idx="134">
                  <c:v>14.46</c:v>
                </c:pt>
                <c:pt idx="135">
                  <c:v>14.700000000000001</c:v>
                </c:pt>
                <c:pt idx="136">
                  <c:v>14.07</c:v>
                </c:pt>
                <c:pt idx="137">
                  <c:v>14.22</c:v>
                </c:pt>
                <c:pt idx="138">
                  <c:v>14.33</c:v>
                </c:pt>
                <c:pt idx="139">
                  <c:v>14.4</c:v>
                </c:pt>
                <c:pt idx="140">
                  <c:v>14.44</c:v>
                </c:pt>
                <c:pt idx="141">
                  <c:v>14.48</c:v>
                </c:pt>
                <c:pt idx="142">
                  <c:v>14.42</c:v>
                </c:pt>
                <c:pt idx="143">
                  <c:v>14.34</c:v>
                </c:pt>
                <c:pt idx="144">
                  <c:v>14.530000000000001</c:v>
                </c:pt>
                <c:pt idx="145">
                  <c:v>14.33</c:v>
                </c:pt>
                <c:pt idx="146">
                  <c:v>14.4</c:v>
                </c:pt>
                <c:pt idx="147">
                  <c:v>14.26</c:v>
                </c:pt>
                <c:pt idx="148">
                  <c:v>14.55</c:v>
                </c:pt>
                <c:pt idx="149">
                  <c:v>14.530000000000001</c:v>
                </c:pt>
                <c:pt idx="150">
                  <c:v>14.69</c:v>
                </c:pt>
                <c:pt idx="151">
                  <c:v>14.85</c:v>
                </c:pt>
                <c:pt idx="152">
                  <c:v>14.68</c:v>
                </c:pt>
                <c:pt idx="153">
                  <c:v>14.64</c:v>
                </c:pt>
                <c:pt idx="154">
                  <c:v>14.5</c:v>
                </c:pt>
                <c:pt idx="155">
                  <c:v>14.56</c:v>
                </c:pt>
                <c:pt idx="156">
                  <c:v>14.72</c:v>
                </c:pt>
                <c:pt idx="157">
                  <c:v>14.74</c:v>
                </c:pt>
                <c:pt idx="158">
                  <c:v>14.85</c:v>
                </c:pt>
                <c:pt idx="159">
                  <c:v>15.38</c:v>
                </c:pt>
                <c:pt idx="160">
                  <c:v>15.44</c:v>
                </c:pt>
                <c:pt idx="161">
                  <c:v>15.290000000000001</c:v>
                </c:pt>
                <c:pt idx="162">
                  <c:v>15.3</c:v>
                </c:pt>
                <c:pt idx="163">
                  <c:v>15.18</c:v>
                </c:pt>
                <c:pt idx="164">
                  <c:v>15.21</c:v>
                </c:pt>
                <c:pt idx="165">
                  <c:v>15.18</c:v>
                </c:pt>
                <c:pt idx="166">
                  <c:v>15.200000000000001</c:v>
                </c:pt>
                <c:pt idx="167">
                  <c:v>15.15</c:v>
                </c:pt>
                <c:pt idx="168">
                  <c:v>14.82</c:v>
                </c:pt>
                <c:pt idx="169">
                  <c:v>14.8</c:v>
                </c:pt>
                <c:pt idx="170">
                  <c:v>14.75</c:v>
                </c:pt>
                <c:pt idx="171">
                  <c:v>14.23</c:v>
                </c:pt>
                <c:pt idx="172">
                  <c:v>14.55</c:v>
                </c:pt>
                <c:pt idx="173">
                  <c:v>14.57</c:v>
                </c:pt>
                <c:pt idx="174">
                  <c:v>14.46</c:v>
                </c:pt>
                <c:pt idx="175">
                  <c:v>14.290000000000001</c:v>
                </c:pt>
                <c:pt idx="176">
                  <c:v>14.39</c:v>
                </c:pt>
                <c:pt idx="177">
                  <c:v>14.55</c:v>
                </c:pt>
                <c:pt idx="178">
                  <c:v>14.17</c:v>
                </c:pt>
                <c:pt idx="179">
                  <c:v>14.22</c:v>
                </c:pt>
                <c:pt idx="180">
                  <c:v>14.17</c:v>
                </c:pt>
                <c:pt idx="181">
                  <c:v>13.74</c:v>
                </c:pt>
                <c:pt idx="182">
                  <c:v>13.74</c:v>
                </c:pt>
                <c:pt idx="183">
                  <c:v>13.75</c:v>
                </c:pt>
                <c:pt idx="184">
                  <c:v>14</c:v>
                </c:pt>
                <c:pt idx="185">
                  <c:v>14.06</c:v>
                </c:pt>
                <c:pt idx="186">
                  <c:v>14.71</c:v>
                </c:pt>
                <c:pt idx="187">
                  <c:v>14.63</c:v>
                </c:pt>
                <c:pt idx="188">
                  <c:v>14.44</c:v>
                </c:pt>
                <c:pt idx="189">
                  <c:v>14.74</c:v>
                </c:pt>
                <c:pt idx="190">
                  <c:v>14.9</c:v>
                </c:pt>
                <c:pt idx="191">
                  <c:v>15.280000000000001</c:v>
                </c:pt>
                <c:pt idx="192">
                  <c:v>15.65</c:v>
                </c:pt>
                <c:pt idx="193">
                  <c:v>15.530000000000001</c:v>
                </c:pt>
                <c:pt idx="194">
                  <c:v>15.450000000000001</c:v>
                </c:pt>
                <c:pt idx="195">
                  <c:v>15.24</c:v>
                </c:pt>
                <c:pt idx="196">
                  <c:v>15.36</c:v>
                </c:pt>
                <c:pt idx="197">
                  <c:v>15.15</c:v>
                </c:pt>
                <c:pt idx="198">
                  <c:v>15.120000000000001</c:v>
                </c:pt>
                <c:pt idx="199">
                  <c:v>15.19</c:v>
                </c:pt>
                <c:pt idx="200">
                  <c:v>14.91</c:v>
                </c:pt>
                <c:pt idx="201">
                  <c:v>15.030000000000001</c:v>
                </c:pt>
                <c:pt idx="202">
                  <c:v>14.97</c:v>
                </c:pt>
                <c:pt idx="203">
                  <c:v>14.9</c:v>
                </c:pt>
                <c:pt idx="204">
                  <c:v>14.86</c:v>
                </c:pt>
                <c:pt idx="205">
                  <c:v>14.76</c:v>
                </c:pt>
                <c:pt idx="206">
                  <c:v>14.51</c:v>
                </c:pt>
                <c:pt idx="207">
                  <c:v>14.25</c:v>
                </c:pt>
                <c:pt idx="208">
                  <c:v>14.19</c:v>
                </c:pt>
                <c:pt idx="209">
                  <c:v>14.280000000000001</c:v>
                </c:pt>
                <c:pt idx="210">
                  <c:v>14.290000000000001</c:v>
                </c:pt>
                <c:pt idx="211">
                  <c:v>14.35</c:v>
                </c:pt>
                <c:pt idx="212">
                  <c:v>14.21</c:v>
                </c:pt>
                <c:pt idx="213">
                  <c:v>14.36</c:v>
                </c:pt>
                <c:pt idx="214">
                  <c:v>14.36</c:v>
                </c:pt>
                <c:pt idx="215">
                  <c:v>14.44</c:v>
                </c:pt>
                <c:pt idx="216">
                  <c:v>14.67</c:v>
                </c:pt>
                <c:pt idx="217">
                  <c:v>14.81</c:v>
                </c:pt>
                <c:pt idx="218">
                  <c:v>14.68</c:v>
                </c:pt>
                <c:pt idx="219">
                  <c:v>14.86</c:v>
                </c:pt>
                <c:pt idx="220">
                  <c:v>14.85</c:v>
                </c:pt>
                <c:pt idx="221">
                  <c:v>15.040000000000001</c:v>
                </c:pt>
                <c:pt idx="222">
                  <c:v>15.01</c:v>
                </c:pt>
                <c:pt idx="223">
                  <c:v>14.94</c:v>
                </c:pt>
                <c:pt idx="224">
                  <c:v>14.81</c:v>
                </c:pt>
                <c:pt idx="225">
                  <c:v>14.84</c:v>
                </c:pt>
                <c:pt idx="226">
                  <c:v>14.68</c:v>
                </c:pt>
                <c:pt idx="227">
                  <c:v>14.76</c:v>
                </c:pt>
                <c:pt idx="228">
                  <c:v>14.91</c:v>
                </c:pt>
                <c:pt idx="229">
                  <c:v>15</c:v>
                </c:pt>
                <c:pt idx="230">
                  <c:v>15.15</c:v>
                </c:pt>
                <c:pt idx="231">
                  <c:v>15.5</c:v>
                </c:pt>
                <c:pt idx="232">
                  <c:v>15.39</c:v>
                </c:pt>
                <c:pt idx="233">
                  <c:v>15.540000000000001</c:v>
                </c:pt>
                <c:pt idx="234">
                  <c:v>15.950000000000001</c:v>
                </c:pt>
                <c:pt idx="235">
                  <c:v>15.950000000000001</c:v>
                </c:pt>
                <c:pt idx="236">
                  <c:v>15.9</c:v>
                </c:pt>
                <c:pt idx="237">
                  <c:v>15.89</c:v>
                </c:pt>
                <c:pt idx="238">
                  <c:v>16.09</c:v>
                </c:pt>
                <c:pt idx="239">
                  <c:v>16.07</c:v>
                </c:pt>
                <c:pt idx="240">
                  <c:v>16.080000000000002</c:v>
                </c:pt>
                <c:pt idx="241">
                  <c:v>16.100000000000001</c:v>
                </c:pt>
                <c:pt idx="242">
                  <c:v>15.99</c:v>
                </c:pt>
                <c:pt idx="243">
                  <c:v>15.92</c:v>
                </c:pt>
                <c:pt idx="244">
                  <c:v>15.77</c:v>
                </c:pt>
                <c:pt idx="245">
                  <c:v>15.700000000000001</c:v>
                </c:pt>
                <c:pt idx="246">
                  <c:v>15.450000000000001</c:v>
                </c:pt>
                <c:pt idx="247">
                  <c:v>14.950000000000001</c:v>
                </c:pt>
                <c:pt idx="248">
                  <c:v>14.98</c:v>
                </c:pt>
                <c:pt idx="249">
                  <c:v>14.74</c:v>
                </c:pt>
                <c:pt idx="250">
                  <c:v>14.540000000000001</c:v>
                </c:pt>
                <c:pt idx="251">
                  <c:v>14.75</c:v>
                </c:pt>
                <c:pt idx="252">
                  <c:v>14.26</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val>
          <c:smooth val="0"/>
          <c:extLst>
            <c:ext xmlns:c16="http://schemas.microsoft.com/office/drawing/2014/chart" uri="{C3380CC4-5D6E-409C-BE32-E72D297353CC}">
              <c16:uniqueId val="{00000000-C831-43EA-8DC3-79D6D4A7C75E}"/>
            </c:ext>
          </c:extLst>
        </c:ser>
        <c:ser>
          <c:idx val="1"/>
          <c:order val="1"/>
          <c:tx>
            <c:strRef>
              <c:f>Frontend!$BQ$9</c:f>
              <c:strCache>
                <c:ptCount val="1"/>
                <c:pt idx="0">
                  <c:v>DCF: (Upside)</c:v>
                </c:pt>
              </c:strCache>
            </c:strRef>
          </c:tx>
          <c:spPr>
            <a:ln w="28575" cap="rnd">
              <a:noFill/>
              <a:round/>
            </a:ln>
            <a:effectLst/>
          </c:spPr>
          <c:marker>
            <c:symbol val="circle"/>
            <c:size val="5"/>
            <c:spPr>
              <a:solidFill>
                <a:srgbClr val="E72533"/>
              </a:solidFill>
              <a:ln w="9525">
                <a:noFill/>
              </a:ln>
              <a:effectLst/>
            </c:spPr>
          </c:marker>
          <c:dPt>
            <c:idx val="58"/>
            <c:marker>
              <c:symbol val="circle"/>
              <c:size val="7"/>
              <c:spPr>
                <a:solidFill>
                  <a:srgbClr val="E72533"/>
                </a:solidFill>
                <a:ln w="9525">
                  <a:noFill/>
                </a:ln>
                <a:effectLst/>
              </c:spPr>
            </c:marker>
            <c:bubble3D val="0"/>
            <c:extLst>
              <c:ext xmlns:c16="http://schemas.microsoft.com/office/drawing/2014/chart" uri="{C3380CC4-5D6E-409C-BE32-E72D297353CC}">
                <c16:uniqueId val="{00000001-9E7E-44E2-8374-D52211F03D4F}"/>
              </c:ext>
            </c:extLst>
          </c:dPt>
          <c:dLbls>
            <c:dLbl>
              <c:idx val="0"/>
              <c:tx>
                <c:strRef>
                  <c:f>Frontend!$BR$10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{7E4C8E8E-B62A-4AA5-BFC9-3EC6A91FBCEB}</c15:txfldGUID>
                      <c15:f>Frontend!$BR$10</c15:f>
                      <c15:dlblFieldTableCache>
                        <c:ptCount val="1"/>
                      </c15:dlblFieldTableCache>
                    </c15:dlblFTEntry>
                  </c15:dlblFieldTable>
                  <c15:showDataLabelsRange val="0"/>
                </c:ext>
                <c:ext xmlns:c16="http://schemas.microsoft.com/office/drawing/2014/chart" uri="{C3380CC4-5D6E-409C-BE32-E72D297353CC}">
                  <c16:uniqueId val="{00000003-0A6B-4376-88DD-AB3AC92F78D4}"/>
                </c:ext>
              </c:extLst>
            </c:dLbl>
            <c:dLbl>
              <c:idx val="1"/>
              <c:tx>
                <c:strRef>
                  <c:f>Frontend!$BR$11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{5A21BEFC-5A0E-4F66-B395-1A092B1E53BD}</c15:txfldGUID>
                      <c15:f>Frontend!$BR$11</c15:f>
                      <c15:dlblFieldTableCache>
                        <c:ptCount val="1"/>
                      </c15:dlblFieldTableCache>
                    </c15:dlblFTEntry>
                  </c15:dlblFieldTable>
                  <c15:showDataLabelsRange val="0"/>
                </c:ext>
                <c:ext xmlns:c16="http://schemas.microsoft.com/office/drawing/2014/chart" uri="{C3380CC4-5D6E-409C-BE32-E72D297353CC}">
                  <c16:uniqueId val="{00000004-0A6B-4376-88DD-AB3AC92F78D4}"/>
                </c:ext>
              </c:extLst>
            </c:dLbl>
            <c:dLbl>
              <c:idx val="2"/>
              <c:tx>
                <c:strRef>
                  <c:f>Frontend!$BR$12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{7D64148C-CAF8-44AC-9CDD-966A96B13CF1}</c15:txfldGUID>
                      <c15:f>Frontend!$BR$12</c15:f>
                      <c15:dlblFieldTableCache>
                        <c:ptCount val="1"/>
                      </c15:dlblFieldTableCache>
                    </c15:dlblFTEntry>
                  </c15:dlblFieldTable>
                  <c15:showDataLabelsRange val="0"/>
                </c:ext>
                <c:ext xmlns:c16="http://schemas.microsoft.com/office/drawing/2014/chart" uri="{C3380CC4-5D6E-409C-BE32-E72D297353CC}">
                  <c16:uniqueId val="{00000005-0A6B-4376-88DD-AB3AC92F78D4}"/>
                </c:ext>
              </c:extLst>
            </c:dLbl>
            <c:dLbl>
              <c:idx val="3"/>
              <c:tx>
                <c:strRef>
                  <c:f>Frontend!$BR$13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{CEE0402D-CA35-4F30-8759-9BEE570CFEE5}</c15:txfldGUID>
                      <c15:f>Frontend!$BR$13</c15:f>
                      <c15:dlblFieldTableCache>
                        <c:ptCount val="1"/>
                      </c15:dlblFieldTableCache>
                    </c15:dlblFTEntry>
                  </c15:dlblFieldTable>
                  <c15:showDataLabelsRange val="0"/>
                </c:ext>
                <c:ext xmlns:c16="http://schemas.microsoft.com/office/drawing/2014/chart" uri="{C3380CC4-5D6E-409C-BE32-E72D297353CC}">
                  <c16:uniqueId val="{00000006-0A6B-4376-88DD-AB3AC92F78D4}"/>
                </c:ext>
              </c:extLst>
            </c:dLbl>
            <c:dLbl>
              <c:idx val="4"/>
              <c:tx>
                <c:strRef>
                  <c:f>Frontend!$BR$14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{E7DB2C2D-6CD8-4590-B17E-C1D74A83101B}</c15:txfldGUID>
                      <c15:f>Frontend!$BR$14</c15:f>
                      <c15:dlblFieldTableCache>
                        <c:ptCount val="1"/>
                      </c15:dlblFieldTableCache>
                    </c15:dlblFTEntry>
                  </c15:dlblFieldTable>
                  <c15:showDataLabelsRange val="0"/>
                </c:ext>
                <c:ext xmlns:c16="http://schemas.microsoft.com/office/drawing/2014/chart" uri="{C3380CC4-5D6E-409C-BE32-E72D297353CC}">
                  <c16:uniqueId val="{00000007-0A6B-4376-88DD-AB3AC92F78D4}"/>
                </c:ext>
              </c:extLst>
            </c:dLbl>
            <c:dLbl>
              <c:idx val="5"/>
              <c:tx>
                <c:strRef>
                  <c:f>Frontend!$BR$15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{CB1EC4E3-DB73-48AB-9310-130E2ED636F8}</c15:txfldGUID>
                      <c15:f>Frontend!$BR$15</c15:f>
                      <c15:dlblFieldTableCache>
                        <c:ptCount val="1"/>
                      </c15:dlblFieldTableCache>
                    </c15:dlblFTEntry>
                  </c15:dlblFieldTable>
                  <c15:showDataLabelsRange val="0"/>
                </c:ext>
                <c:ext xmlns:c16="http://schemas.microsoft.com/office/drawing/2014/chart" uri="{C3380CC4-5D6E-409C-BE32-E72D297353CC}">
                  <c16:uniqueId val="{00000008-0A6B-4376-88DD-AB3AC92F78D4}"/>
                </c:ext>
              </c:extLst>
            </c:dLbl>
            <c:dLbl>
              <c:idx val="6"/>
              <c:tx>
                <c:strRef>
                  <c:f>Frontend!$BR$16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{C25DDB52-CAAA-4F0E-916E-1D1516433CE1}</c15:txfldGUID>
                      <c15:f>Frontend!$BR$16</c15:f>
                      <c15:dlblFieldTableCache>
                        <c:ptCount val="1"/>
                      </c15:dlblFieldTableCache>
                    </c15:dlblFTEntry>
                  </c15:dlblFieldTable>
                  <c15:showDataLabelsRange val="0"/>
                </c:ext>
                <c:ext xmlns:c16="http://schemas.microsoft.com/office/drawing/2014/chart" uri="{C3380CC4-5D6E-409C-BE32-E72D297353CC}">
                  <c16:uniqueId val="{00000009-0A6B-4376-88DD-AB3AC92F78D4}"/>
                </c:ext>
              </c:extLst>
            </c:dLbl>
            <c:dLbl>
              <c:idx val="7"/>
              <c:tx>
                <c:strRef>
                  <c:f>Frontend!$BR$17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{223F72CD-AB03-4AE0-9856-BF8C9042C91D}</c15:txfldGUID>
                      <c15:f>Frontend!$BR$17</c15:f>
                      <c15:dlblFieldTableCache>
                        <c:ptCount val="1"/>
                      </c15:dlblFieldTableCache>
                    </c15:dlblFTEntry>
                  </c15:dlblFieldTable>
                  <c15:showDataLabelsRange val="0"/>
                </c:ext>
                <c:ext xmlns:c16="http://schemas.microsoft.com/office/drawing/2014/chart" uri="{C3380CC4-5D6E-409C-BE32-E72D297353CC}">
                  <c16:uniqueId val="{0000000A-0A6B-4376-88DD-AB3AC92F78D4}"/>
                </c:ext>
              </c:extLst>
            </c:dLbl>
            <c:dLbl>
              <c:idx val="8"/>
              <c:tx>
                <c:strRef>
                  <c:f>Frontend!$BR$18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{D0114DD6-252B-45A1-BB24-22D674DD8AC1}</c15:txfldGUID>
                      <c15:f>Frontend!$BR$18</c15:f>
                      <c15:dlblFieldTableCache>
                        <c:ptCount val="1"/>
                      </c15:dlblFieldTableCache>
                    </c15:dlblFTEntry>
                  </c15:dlblFieldTable>
                  <c15:showDataLabelsRange val="0"/>
                </c:ext>
                <c:ext xmlns:c16="http://schemas.microsoft.com/office/drawing/2014/chart" uri="{C3380CC4-5D6E-409C-BE32-E72D297353CC}">
                  <c16:uniqueId val="{0000000B-0A6B-4376-88DD-AB3AC92F78D4}"/>
                </c:ext>
              </c:extLst>
            </c:dLbl>
            <c:dLbl>
              <c:idx val="9"/>
              <c:tx>
                <c:strRef>
                  <c:f>Frontend!$BR$19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{7D7E89CD-3600-4C86-A636-94AE7E2182FE}</c15:txfldGUID>
                      <c15:f>Frontend!$BR$19</c15:f>
                      <c15:dlblFieldTableCache>
                        <c:ptCount val="1"/>
                      </c15:dlblFieldTableCache>
                    </c15:dlblFTEntry>
                  </c15:dlblFieldTable>
                  <c15:showDataLabelsRange val="0"/>
                </c:ext>
                <c:ext xmlns:c16="http://schemas.microsoft.com/office/drawing/2014/chart" uri="{C3380CC4-5D6E-409C-BE32-E72D297353CC}">
                  <c16:uniqueId val="{0000000C-0A6B-4376-88DD-AB3AC92F78D4}"/>
                </c:ext>
              </c:extLst>
            </c:dLbl>
            <c:dLbl>
              <c:idx val="10"/>
              <c:tx>
                <c:strRef>
                  <c:f>Frontend!$BR$20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{5CDDB6A3-C299-4F22-8205-DBC5DC798C55}</c15:txfldGUID>
                      <c15:f>Frontend!$BR$20</c15:f>
                      <c15:dlblFieldTableCache>
                        <c:ptCount val="1"/>
                      </c15:dlblFieldTableCache>
                    </c15:dlblFTEntry>
                  </c15:dlblFieldTable>
                  <c15:showDataLabelsRange val="0"/>
                </c:ext>
                <c:ext xmlns:c16="http://schemas.microsoft.com/office/drawing/2014/chart" uri="{C3380CC4-5D6E-409C-BE32-E72D297353CC}">
                  <c16:uniqueId val="{0000000D-0A6B-4376-88DD-AB3AC92F78D4}"/>
                </c:ext>
              </c:extLst>
            </c:dLbl>
            <c:dLbl>
              <c:idx val="11"/>
              <c:tx>
                <c:strRef>
                  <c:f>Frontend!$BR$21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{23CCA76C-B6D4-4A1F-8164-2332AF762876}</c15:txfldGUID>
                      <c15:f>Frontend!$BR$21</c15:f>
                      <c15:dlblFieldTableCache>
                        <c:ptCount val="1"/>
                      </c15:dlblFieldTableCache>
                    </c15:dlblFTEntry>
                  </c15:dlblFieldTable>
                  <c15:showDataLabelsRange val="0"/>
                </c:ext>
                <c:ext xmlns:c16="http://schemas.microsoft.com/office/drawing/2014/chart" uri="{C3380CC4-5D6E-409C-BE32-E72D297353CC}">
                  <c16:uniqueId val="{0000000E-0A6B-4376-88DD-AB3AC92F78D4}"/>
                </c:ext>
              </c:extLst>
            </c:dLbl>
            <c:dLbl>
              <c:idx val="12"/>
              <c:tx>
                <c:strRef>
                  <c:f>Frontend!$BR$22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{3937040F-B7E7-4870-9DD7-FB7BD3610F50}</c15:txfldGUID>
                      <c15:f>Frontend!$BR$22</c15:f>
                      <c15:dlblFieldTableCache>
                        <c:ptCount val="1"/>
                      </c15:dlblFieldTableCache>
                    </c15:dlblFTEntry>
                  </c15:dlblFieldTable>
                  <c15:showDataLabelsRange val="0"/>
                </c:ext>
                <c:ext xmlns:c16="http://schemas.microsoft.com/office/drawing/2014/chart" uri="{C3380CC4-5D6E-409C-BE32-E72D297353CC}">
                  <c16:uniqueId val="{0000000F-0A6B-4376-88DD-AB3AC92F78D4}"/>
                </c:ext>
              </c:extLst>
            </c:dLbl>
            <c:dLbl>
              <c:idx val="13"/>
              <c:tx>
                <c:strRef>
                  <c:f>Frontend!$BR$23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{8FCB216B-181A-4EEE-8955-2FD18AB1FCC6}</c15:txfldGUID>
                      <c15:f>Frontend!$BR$23</c15:f>
                      <c15:dlblFieldTableCache>
                        <c:ptCount val="1"/>
                      </c15:dlblFieldTableCache>
                    </c15:dlblFTEntry>
                  </c15:dlblFieldTable>
                  <c15:showDataLabelsRange val="0"/>
                </c:ext>
                <c:ext xmlns:c16="http://schemas.microsoft.com/office/drawing/2014/chart" uri="{C3380CC4-5D6E-409C-BE32-E72D297353CC}">
                  <c16:uniqueId val="{00000010-0A6B-4376-88DD-AB3AC92F78D4}"/>
                </c:ext>
              </c:extLst>
            </c:dLbl>
            <c:dLbl>
              <c:idx val="14"/>
              <c:tx>
                <c:strRef>
                  <c:f>Frontend!$BR$24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{DF8B8FB1-012F-4039-8EAF-31E0534328E8}</c15:txfldGUID>
                      <c15:f>Frontend!$BR$24</c15:f>
                      <c15:dlblFieldTableCache>
                        <c:ptCount val="1"/>
                      </c15:dlblFieldTableCache>
                    </c15:dlblFTEntry>
                  </c15:dlblFieldTable>
                  <c15:showDataLabelsRange val="0"/>
                </c:ext>
                <c:ext xmlns:c16="http://schemas.microsoft.com/office/drawing/2014/chart" uri="{C3380CC4-5D6E-409C-BE32-E72D297353CC}">
                  <c16:uniqueId val="{00000011-0A6B-4376-88DD-AB3AC92F78D4}"/>
                </c:ext>
              </c:extLst>
            </c:dLbl>
            <c:dLbl>
              <c:idx val="15"/>
              <c:tx>
                <c:strRef>
                  <c:f>Frontend!$BR$25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{22F2B59D-3235-43EB-9BE9-55B21E4477D2}</c15:txfldGUID>
                      <c15:f>Frontend!$BR$25</c15:f>
                      <c15:dlblFieldTableCache>
                        <c:ptCount val="1"/>
                      </c15:dlblFieldTableCache>
                    </c15:dlblFTEntry>
                  </c15:dlblFieldTable>
                  <c15:showDataLabelsRange val="0"/>
                </c:ext>
                <c:ext xmlns:c16="http://schemas.microsoft.com/office/drawing/2014/chart" uri="{C3380CC4-5D6E-409C-BE32-E72D297353CC}">
                  <c16:uniqueId val="{00000012-0A6B-4376-88DD-AB3AC92F78D4}"/>
                </c:ext>
              </c:extLst>
            </c:dLbl>
            <c:dLbl>
              <c:idx val="16"/>
              <c:tx>
                <c:strRef>
                  <c:f>Frontend!$BR$26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{778AC63F-A628-47E1-BE00-55B0AD56076D}</c15:txfldGUID>
                      <c15:f>Frontend!$BR$26</c15:f>
                      <c15:dlblFieldTableCache>
                        <c:ptCount val="1"/>
                      </c15:dlblFieldTableCache>
                    </c15:dlblFTEntry>
                  </c15:dlblFieldTable>
                  <c15:showDataLabelsRange val="0"/>
                </c:ext>
                <c:ext xmlns:c16="http://schemas.microsoft.com/office/drawing/2014/chart" uri="{C3380CC4-5D6E-409C-BE32-E72D297353CC}">
                  <c16:uniqueId val="{00000013-0A6B-4376-88DD-AB3AC92F78D4}"/>
                </c:ext>
              </c:extLst>
            </c:dLbl>
            <c:dLbl>
              <c:idx val="17"/>
              <c:tx>
                <c:strRef>
                  <c:f>Frontend!$BR$27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{09C5783E-0DA6-49B4-8705-0CA2D9343A9C}</c15:txfldGUID>
                      <c15:f>Frontend!$BR$27</c15:f>
                      <c15:dlblFieldTableCache>
                        <c:ptCount val="1"/>
                      </c15:dlblFieldTableCache>
                    </c15:dlblFTEntry>
                  </c15:dlblFieldTable>
                  <c15:showDataLabelsRange val="0"/>
                </c:ext>
                <c:ext xmlns:c16="http://schemas.microsoft.com/office/drawing/2014/chart" uri="{C3380CC4-5D6E-409C-BE32-E72D297353CC}">
                  <c16:uniqueId val="{00000014-0A6B-4376-88DD-AB3AC92F78D4}"/>
                </c:ext>
              </c:extLst>
            </c:dLbl>
            <c:dLbl>
              <c:idx val="18"/>
              <c:tx>
                <c:strRef>
                  <c:f>Frontend!$BR$28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{2181B89E-8919-44D7-A65D-E07C38DEB6B5}</c15:txfldGUID>
                      <c15:f>Frontend!$BR$28</c15:f>
                      <c15:dlblFieldTableCache>
                        <c:ptCount val="1"/>
                      </c15:dlblFieldTableCache>
                    </c15:dlblFTEntry>
                  </c15:dlblFieldTable>
                  <c15:showDataLabelsRange val="0"/>
                </c:ext>
                <c:ext xmlns:c16="http://schemas.microsoft.com/office/drawing/2014/chart" uri="{C3380CC4-5D6E-409C-BE32-E72D297353CC}">
                  <c16:uniqueId val="{00000015-0A6B-4376-88DD-AB3AC92F78D4}"/>
                </c:ext>
              </c:extLst>
            </c:dLbl>
            <c:dLbl>
              <c:idx val="19"/>
              <c:tx>
                <c:strRef>
                  <c:f>Frontend!$BR$29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{0E1B85D6-43CD-4B5F-801E-32DFF1CC5CD2}</c15:txfldGUID>
                      <c15:f>Frontend!$BR$29</c15:f>
                      <c15:dlblFieldTableCache>
                        <c:ptCount val="1"/>
                      </c15:dlblFieldTableCache>
                    </c15:dlblFTEntry>
                  </c15:dlblFieldTable>
                  <c15:showDataLabelsRange val="0"/>
                </c:ext>
                <c:ext xmlns:c16="http://schemas.microsoft.com/office/drawing/2014/chart" uri="{C3380CC4-5D6E-409C-BE32-E72D297353CC}">
                  <c16:uniqueId val="{00000016-0A6B-4376-88DD-AB3AC92F78D4}"/>
                </c:ext>
              </c:extLst>
            </c:dLbl>
            <c:dLbl>
              <c:idx val="20"/>
              <c:tx>
                <c:strRef>
                  <c:f>Frontend!$BR$30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{66EC1265-A21E-44BF-B4B9-FE860587706D}</c15:txfldGUID>
                      <c15:f>Frontend!$BR$30</c15:f>
                      <c15:dlblFieldTableCache>
                        <c:ptCount val="1"/>
                      </c15:dlblFieldTableCache>
                    </c15:dlblFTEntry>
                  </c15:dlblFieldTable>
                  <c15:showDataLabelsRange val="0"/>
                </c:ext>
                <c:ext xmlns:c16="http://schemas.microsoft.com/office/drawing/2014/chart" uri="{C3380CC4-5D6E-409C-BE32-E72D297353CC}">
                  <c16:uniqueId val="{00000017-0A6B-4376-88DD-AB3AC92F78D4}"/>
                </c:ext>
              </c:extLst>
            </c:dLbl>
            <c:dLbl>
              <c:idx val="21"/>
              <c:tx>
                <c:strRef>
                  <c:f>Frontend!$BR$31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{2FA9EBB0-8D68-4EFA-8803-578A51CD0604}</c15:txfldGUID>
                      <c15:f>Frontend!$BR$31</c15:f>
                      <c15:dlblFieldTableCache>
                        <c:ptCount val="1"/>
                      </c15:dlblFieldTableCache>
                    </c15:dlblFTEntry>
                  </c15:dlblFieldTable>
                  <c15:showDataLabelsRange val="0"/>
                </c:ext>
                <c:ext xmlns:c16="http://schemas.microsoft.com/office/drawing/2014/chart" uri="{C3380CC4-5D6E-409C-BE32-E72D297353CC}">
                  <c16:uniqueId val="{00000018-0A6B-4376-88DD-AB3AC92F78D4}"/>
                </c:ext>
              </c:extLst>
            </c:dLbl>
            <c:dLbl>
              <c:idx val="22"/>
              <c:tx>
                <c:strRef>
                  <c:f>Frontend!$BR$32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{BAF36EC4-18E3-4248-AFE8-59A9C8D0BFA4}</c15:txfldGUID>
                      <c15:f>Frontend!$BR$32</c15:f>
                      <c15:dlblFieldTableCache>
                        <c:ptCount val="1"/>
                      </c15:dlblFieldTableCache>
                    </c15:dlblFTEntry>
                  </c15:dlblFieldTable>
                  <c15:showDataLabelsRange val="0"/>
                </c:ext>
                <c:ext xmlns:c16="http://schemas.microsoft.com/office/drawing/2014/chart" uri="{C3380CC4-5D6E-409C-BE32-E72D297353CC}">
                  <c16:uniqueId val="{00000019-0A6B-4376-88DD-AB3AC92F78D4}"/>
                </c:ext>
              </c:extLst>
            </c:dLbl>
            <c:dLbl>
              <c:idx val="23"/>
              <c:tx>
                <c:strRef>
                  <c:f>Frontend!$BR$33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{C580DAAE-0E2B-4E34-928E-C5BD0C113F70}</c15:txfldGUID>
                      <c15:f>Frontend!$BR$33</c15:f>
                      <c15:dlblFieldTableCache>
                        <c:ptCount val="1"/>
                      </c15:dlblFieldTableCache>
                    </c15:dlblFTEntry>
                  </c15:dlblFieldTable>
                  <c15:showDataLabelsRange val="0"/>
                </c:ext>
                <c:ext xmlns:c16="http://schemas.microsoft.com/office/drawing/2014/chart" uri="{C3380CC4-5D6E-409C-BE32-E72D297353CC}">
                  <c16:uniqueId val="{0000001A-0A6B-4376-88DD-AB3AC92F78D4}"/>
                </c:ext>
              </c:extLst>
            </c:dLbl>
            <c:dLbl>
              <c:idx val="24"/>
              <c:tx>
                <c:strRef>
                  <c:f>Frontend!$BR$34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{D2FC8E12-9290-49FE-A3EC-D90895B91851}</c15:txfldGUID>
                      <c15:f>Frontend!$BR$34</c15:f>
                      <c15:dlblFieldTableCache>
                        <c:ptCount val="1"/>
                      </c15:dlblFieldTableCache>
                    </c15:dlblFTEntry>
                  </c15:dlblFieldTable>
                  <c15:showDataLabelsRange val="0"/>
                </c:ext>
                <c:ext xmlns:c16="http://schemas.microsoft.com/office/drawing/2014/chart" uri="{C3380CC4-5D6E-409C-BE32-E72D297353CC}">
                  <c16:uniqueId val="{0000001B-0A6B-4376-88DD-AB3AC92F78D4}"/>
                </c:ext>
              </c:extLst>
            </c:dLbl>
            <c:dLbl>
              <c:idx val="25"/>
              <c:tx>
                <c:strRef>
                  <c:f>Frontend!$BR$35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{D61CCD1F-95C2-408D-B32A-D9293339B560}</c15:txfldGUID>
                      <c15:f>Frontend!$BR$35</c15:f>
                      <c15:dlblFieldTableCache>
                        <c:ptCount val="1"/>
                      </c15:dlblFieldTableCache>
                    </c15:dlblFTEntry>
                  </c15:dlblFieldTable>
                  <c15:showDataLabelsRange val="0"/>
                </c:ext>
                <c:ext xmlns:c16="http://schemas.microsoft.com/office/drawing/2014/chart" uri="{C3380CC4-5D6E-409C-BE32-E72D297353CC}">
                  <c16:uniqueId val="{0000001C-0A6B-4376-88DD-AB3AC92F78D4}"/>
                </c:ext>
              </c:extLst>
            </c:dLbl>
            <c:dLbl>
              <c:idx val="26"/>
              <c:tx>
                <c:strRef>
                  <c:f>Frontend!$BR$36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{88DD41F7-61DC-4C0E-8A4A-08AFAA995373}</c15:txfldGUID>
                      <c15:f>Frontend!$BR$36</c15:f>
                      <c15:dlblFieldTableCache>
                        <c:ptCount val="1"/>
                      </c15:dlblFieldTableCache>
                    </c15:dlblFTEntry>
                  </c15:dlblFieldTable>
                  <c15:showDataLabelsRange val="0"/>
                </c:ext>
                <c:ext xmlns:c16="http://schemas.microsoft.com/office/drawing/2014/chart" uri="{C3380CC4-5D6E-409C-BE32-E72D297353CC}">
                  <c16:uniqueId val="{0000001D-0A6B-4376-88DD-AB3AC92F78D4}"/>
                </c:ext>
              </c:extLst>
            </c:dLbl>
            <c:dLbl>
              <c:idx val="27"/>
              <c:tx>
                <c:strRef>
                  <c:f>Frontend!$BR$37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{B5991F23-3D3E-44CE-8C3F-AE3440BBD789}</c15:txfldGUID>
                      <c15:f>Frontend!$BR$37</c15:f>
                      <c15:dlblFieldTableCache>
                        <c:ptCount val="1"/>
                      </c15:dlblFieldTableCache>
                    </c15:dlblFTEntry>
                  </c15:dlblFieldTable>
                  <c15:showDataLabelsRange val="0"/>
                </c:ext>
                <c:ext xmlns:c16="http://schemas.microsoft.com/office/drawing/2014/chart" uri="{C3380CC4-5D6E-409C-BE32-E72D297353CC}">
                  <c16:uniqueId val="{0000001E-0A6B-4376-88DD-AB3AC92F78D4}"/>
                </c:ext>
              </c:extLst>
            </c:dLbl>
            <c:dLbl>
              <c:idx val="28"/>
              <c:tx>
                <c:strRef>
                  <c:f>Frontend!$BR$38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{5B325623-7A92-4CBC-ABB2-58E1B2F2E0EA}</c15:txfldGUID>
                      <c15:f>Frontend!$BR$38</c15:f>
                      <c15:dlblFieldTableCache>
                        <c:ptCount val="1"/>
                      </c15:dlblFieldTableCache>
                    </c15:dlblFTEntry>
                  </c15:dlblFieldTable>
                  <c15:showDataLabelsRange val="0"/>
                </c:ext>
                <c:ext xmlns:c16="http://schemas.microsoft.com/office/drawing/2014/chart" uri="{C3380CC4-5D6E-409C-BE32-E72D297353CC}">
                  <c16:uniqueId val="{0000001F-0A6B-4376-88DD-AB3AC92F78D4}"/>
                </c:ext>
              </c:extLst>
            </c:dLbl>
            <c:dLbl>
              <c:idx val="29"/>
              <c:tx>
                <c:strRef>
                  <c:f>Frontend!$BR$39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{BAAEEAF6-2B79-4EA4-9735-13DA1C3FA2FB}</c15:txfldGUID>
                      <c15:f>Frontend!$BR$39</c15:f>
                      <c15:dlblFieldTableCache>
                        <c:ptCount val="1"/>
                      </c15:dlblFieldTableCache>
                    </c15:dlblFTEntry>
                  </c15:dlblFieldTable>
                  <c15:showDataLabelsRange val="0"/>
                </c:ext>
                <c:ext xmlns:c16="http://schemas.microsoft.com/office/drawing/2014/chart" uri="{C3380CC4-5D6E-409C-BE32-E72D297353CC}">
                  <c16:uniqueId val="{00000020-0A6B-4376-88DD-AB3AC92F78D4}"/>
                </c:ext>
              </c:extLst>
            </c:dLbl>
            <c:dLbl>
              <c:idx val="30"/>
              <c:tx>
                <c:strRef>
                  <c:f>Frontend!$BR$40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{D20668DB-7B17-49CE-BCFC-AFB88D8BAA31}</c15:txfldGUID>
                      <c15:f>Frontend!$BR$40</c15:f>
                      <c15:dlblFieldTableCache>
                        <c:ptCount val="1"/>
                      </c15:dlblFieldTableCache>
                    </c15:dlblFTEntry>
                  </c15:dlblFieldTable>
                  <c15:showDataLabelsRange val="0"/>
                </c:ext>
                <c:ext xmlns:c16="http://schemas.microsoft.com/office/drawing/2014/chart" uri="{C3380CC4-5D6E-409C-BE32-E72D297353CC}">
                  <c16:uniqueId val="{00000021-0A6B-4376-88DD-AB3AC92F78D4}"/>
                </c:ext>
              </c:extLst>
            </c:dLbl>
            <c:dLbl>
              <c:idx val="31"/>
              <c:tx>
                <c:strRef>
                  <c:f>Frontend!$BR$41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{8149FF55-2C9E-4E52-8BB8-98D0B1E3CD77}</c15:txfldGUID>
                      <c15:f>Frontend!$BR$41</c15:f>
                      <c15:dlblFieldTableCache>
                        <c:ptCount val="1"/>
                      </c15:dlblFieldTableCache>
                    </c15:dlblFTEntry>
                  </c15:dlblFieldTable>
                  <c15:showDataLabelsRange val="0"/>
                </c:ext>
                <c:ext xmlns:c16="http://schemas.microsoft.com/office/drawing/2014/chart" uri="{C3380CC4-5D6E-409C-BE32-E72D297353CC}">
                  <c16:uniqueId val="{00000022-0A6B-4376-88DD-AB3AC92F78D4}"/>
                </c:ext>
              </c:extLst>
            </c:dLbl>
            <c:dLbl>
              <c:idx val="32"/>
              <c:tx>
                <c:strRef>
                  <c:f>Frontend!$BR$42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{D9F0025D-D1F8-48E3-B0A3-FA753BEA7CCF}</c15:txfldGUID>
                      <c15:f>Frontend!$BR$42</c15:f>
                      <c15:dlblFieldTableCache>
                        <c:ptCount val="1"/>
                      </c15:dlblFieldTableCache>
                    </c15:dlblFTEntry>
                  </c15:dlblFieldTable>
                  <c15:showDataLabelsRange val="0"/>
                </c:ext>
                <c:ext xmlns:c16="http://schemas.microsoft.com/office/drawing/2014/chart" uri="{C3380CC4-5D6E-409C-BE32-E72D297353CC}">
                  <c16:uniqueId val="{00000023-0A6B-4376-88DD-AB3AC92F78D4}"/>
                </c:ext>
              </c:extLst>
            </c:dLbl>
            <c:dLbl>
              <c:idx val="33"/>
              <c:tx>
                <c:strRef>
                  <c:f>Frontend!$BR$43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{711DC0E3-64EC-45A0-93BC-FD2F2C3E3C36}</c15:txfldGUID>
                      <c15:f>Frontend!$BR$43</c15:f>
                      <c15:dlblFieldTableCache>
                        <c:ptCount val="1"/>
                      </c15:dlblFieldTableCache>
                    </c15:dlblFTEntry>
                  </c15:dlblFieldTable>
                  <c15:showDataLabelsRange val="0"/>
                </c:ext>
                <c:ext xmlns:c16="http://schemas.microsoft.com/office/drawing/2014/chart" uri="{C3380CC4-5D6E-409C-BE32-E72D297353CC}">
                  <c16:uniqueId val="{00000024-0A6B-4376-88DD-AB3AC92F78D4}"/>
                </c:ext>
              </c:extLst>
            </c:dLbl>
            <c:dLbl>
              <c:idx val="34"/>
              <c:tx>
                <c:strRef>
                  <c:f>Frontend!$BR$44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{144DD49B-8BED-406A-BDD4-C5DB8B0C109A}</c15:txfldGUID>
                      <c15:f>Frontend!$BR$44</c15:f>
                      <c15:dlblFieldTableCache>
                        <c:ptCount val="1"/>
                      </c15:dlblFieldTableCache>
                    </c15:dlblFTEntry>
                  </c15:dlblFieldTable>
                  <c15:showDataLabelsRange val="0"/>
                </c:ext>
                <c:ext xmlns:c16="http://schemas.microsoft.com/office/drawing/2014/chart" uri="{C3380CC4-5D6E-409C-BE32-E72D297353CC}">
                  <c16:uniqueId val="{00000025-0A6B-4376-88DD-AB3AC92F78D4}"/>
                </c:ext>
              </c:extLst>
            </c:dLbl>
            <c:dLbl>
              <c:idx val="35"/>
              <c:tx>
                <c:strRef>
                  <c:f>Frontend!$BR$45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{0DF6F80C-58B1-41EF-86B8-5CF3A0D5BA84}</c15:txfldGUID>
                      <c15:f>Frontend!$BR$45</c15:f>
                      <c15:dlblFieldTableCache>
                        <c:ptCount val="1"/>
                      </c15:dlblFieldTableCache>
                    </c15:dlblFTEntry>
                  </c15:dlblFieldTable>
                  <c15:showDataLabelsRange val="0"/>
                </c:ext>
                <c:ext xmlns:c16="http://schemas.microsoft.com/office/drawing/2014/chart" uri="{C3380CC4-5D6E-409C-BE32-E72D297353CC}">
                  <c16:uniqueId val="{00000026-0A6B-4376-88DD-AB3AC92F78D4}"/>
                </c:ext>
              </c:extLst>
            </c:dLbl>
            <c:dLbl>
              <c:idx val="36"/>
              <c:tx>
                <c:strRef>
                  <c:f>Frontend!$BR$46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{291BF39F-46DD-4055-AED3-A987BBB6C92E}</c15:txfldGUID>
                      <c15:f>Frontend!$BR$46</c15:f>
                      <c15:dlblFieldTableCache>
                        <c:ptCount val="1"/>
                      </c15:dlblFieldTableCache>
                    </c15:dlblFTEntry>
                  </c15:dlblFieldTable>
                  <c15:showDataLabelsRange val="0"/>
                </c:ext>
                <c:ext xmlns:c16="http://schemas.microsoft.com/office/drawing/2014/chart" uri="{C3380CC4-5D6E-409C-BE32-E72D297353CC}">
                  <c16:uniqueId val="{00000027-0A6B-4376-88DD-AB3AC92F78D4}"/>
                </c:ext>
              </c:extLst>
            </c:dLbl>
            <c:dLbl>
              <c:idx val="37"/>
              <c:tx>
                <c:strRef>
                  <c:f>Frontend!$BR$47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{BE64E844-A31A-424A-B5D5-B0C4FCB35343}</c15:txfldGUID>
                      <c15:f>Frontend!$BR$47</c15:f>
                      <c15:dlblFieldTableCache>
                        <c:ptCount val="1"/>
                      </c15:dlblFieldTableCache>
                    </c15:dlblFTEntry>
                  </c15:dlblFieldTable>
                  <c15:showDataLabelsRange val="0"/>
                </c:ext>
                <c:ext xmlns:c16="http://schemas.microsoft.com/office/drawing/2014/chart" uri="{C3380CC4-5D6E-409C-BE32-E72D297353CC}">
                  <c16:uniqueId val="{00000028-0A6B-4376-88DD-AB3AC92F78D4}"/>
                </c:ext>
              </c:extLst>
            </c:dLbl>
            <c:dLbl>
              <c:idx val="38"/>
              <c:tx>
                <c:strRef>
                  <c:f>Frontend!$BR$48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{EA41B8BD-369F-4EFD-AA3F-699BC0883015}</c15:txfldGUID>
                      <c15:f>Frontend!$BR$48</c15:f>
                      <c15:dlblFieldTableCache>
                        <c:ptCount val="1"/>
                      </c15:dlblFieldTableCache>
                    </c15:dlblFTEntry>
                  </c15:dlblFieldTable>
                  <c15:showDataLabelsRange val="0"/>
                </c:ext>
                <c:ext xmlns:c16="http://schemas.microsoft.com/office/drawing/2014/chart" uri="{C3380CC4-5D6E-409C-BE32-E72D297353CC}">
                  <c16:uniqueId val="{00000029-0A6B-4376-88DD-AB3AC92F78D4}"/>
                </c:ext>
              </c:extLst>
            </c:dLbl>
            <c:dLbl>
              <c:idx val="39"/>
              <c:tx>
                <c:strRef>
                  <c:f>Frontend!$BR$49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{33FAC78E-0C47-4F98-9766-D7D4D4180E3B}</c15:txfldGUID>
                      <c15:f>Frontend!$BR$49</c15:f>
                      <c15:dlblFieldTableCache>
                        <c:ptCount val="1"/>
                      </c15:dlblFieldTableCache>
                    </c15:dlblFTEntry>
                  </c15:dlblFieldTable>
                  <c15:showDataLabelsRange val="0"/>
                </c:ext>
                <c:ext xmlns:c16="http://schemas.microsoft.com/office/drawing/2014/chart" uri="{C3380CC4-5D6E-409C-BE32-E72D297353CC}">
                  <c16:uniqueId val="{0000002A-0A6B-4376-88DD-AB3AC92F78D4}"/>
                </c:ext>
              </c:extLst>
            </c:dLbl>
            <c:dLbl>
              <c:idx val="40"/>
              <c:tx>
                <c:strRef>
                  <c:f>Frontend!$BR$50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{04FB0C10-7B8F-44E5-AC04-FE4EE224213F}</c15:txfldGUID>
                      <c15:f>Frontend!$BR$50</c15:f>
                      <c15:dlblFieldTableCache>
                        <c:ptCount val="1"/>
                      </c15:dlblFieldTableCache>
                    </c15:dlblFTEntry>
                  </c15:dlblFieldTable>
                  <c15:showDataLabelsRange val="0"/>
                </c:ext>
                <c:ext xmlns:c16="http://schemas.microsoft.com/office/drawing/2014/chart" uri="{C3380CC4-5D6E-409C-BE32-E72D297353CC}">
                  <c16:uniqueId val="{0000002B-0A6B-4376-88DD-AB3AC92F78D4}"/>
                </c:ext>
              </c:extLst>
            </c:dLbl>
            <c:dLbl>
              <c:idx val="41"/>
              <c:tx>
                <c:strRef>
                  <c:f>Frontend!$BR$51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{06F6BAA2-8C81-4522-B6C9-9305B53285C3}</c15:txfldGUID>
                      <c15:f>Frontend!$BR$51</c15:f>
                      <c15:dlblFieldTableCache>
                        <c:ptCount val="1"/>
                      </c15:dlblFieldTableCache>
                    </c15:dlblFTEntry>
                  </c15:dlblFieldTable>
                  <c15:showDataLabelsRange val="0"/>
                </c:ext>
                <c:ext xmlns:c16="http://schemas.microsoft.com/office/drawing/2014/chart" uri="{C3380CC4-5D6E-409C-BE32-E72D297353CC}">
                  <c16:uniqueId val="{0000002C-0A6B-4376-88DD-AB3AC92F78D4}"/>
                </c:ext>
              </c:extLst>
            </c:dLbl>
            <c:dLbl>
              <c:idx val="42"/>
              <c:tx>
                <c:strRef>
                  <c:f>Frontend!$BR$52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{23365C2C-AC5B-41D0-8CE9-94CB9A6BFE1E}</c15:txfldGUID>
                      <c15:f>Frontend!$BR$52</c15:f>
                      <c15:dlblFieldTableCache>
                        <c:ptCount val="1"/>
                      </c15:dlblFieldTableCache>
                    </c15:dlblFTEntry>
                  </c15:dlblFieldTable>
                  <c15:showDataLabelsRange val="0"/>
                </c:ext>
                <c:ext xmlns:c16="http://schemas.microsoft.com/office/drawing/2014/chart" uri="{C3380CC4-5D6E-409C-BE32-E72D297353CC}">
                  <c16:uniqueId val="{0000002D-0A6B-4376-88DD-AB3AC92F78D4}"/>
                </c:ext>
              </c:extLst>
            </c:dLbl>
            <c:dLbl>
              <c:idx val="43"/>
              <c:tx>
                <c:strRef>
                  <c:f>Frontend!$BR$53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{81B3DC5E-EDF4-42B1-857E-55440C7CEDC0}</c15:txfldGUID>
                      <c15:f>Frontend!$BR$53</c15:f>
                      <c15:dlblFieldTableCache>
                        <c:ptCount val="1"/>
                      </c15:dlblFieldTableCache>
                    </c15:dlblFTEntry>
                  </c15:dlblFieldTable>
                  <c15:showDataLabelsRange val="0"/>
                </c:ext>
                <c:ext xmlns:c16="http://schemas.microsoft.com/office/drawing/2014/chart" uri="{C3380CC4-5D6E-409C-BE32-E72D297353CC}">
                  <c16:uniqueId val="{0000002E-0A6B-4376-88DD-AB3AC92F78D4}"/>
                </c:ext>
              </c:extLst>
            </c:dLbl>
            <c:dLbl>
              <c:idx val="44"/>
              <c:tx>
                <c:strRef>
                  <c:f>Frontend!$BR$54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{D6145D5C-93DB-4F15-86EA-0D5BBA725D92}</c15:txfldGUID>
                      <c15:f>Frontend!$BR$54</c15:f>
                      <c15:dlblFieldTableCache>
                        <c:ptCount val="1"/>
                      </c15:dlblFieldTableCache>
                    </c15:dlblFTEntry>
                  </c15:dlblFieldTable>
                  <c15:showDataLabelsRange val="0"/>
                </c:ext>
                <c:ext xmlns:c16="http://schemas.microsoft.com/office/drawing/2014/chart" uri="{C3380CC4-5D6E-409C-BE32-E72D297353CC}">
                  <c16:uniqueId val="{0000002F-0A6B-4376-88DD-AB3AC92F78D4}"/>
                </c:ext>
              </c:extLst>
            </c:dLbl>
            <c:dLbl>
              <c:idx val="45"/>
              <c:tx>
                <c:strRef>
                  <c:f>Frontend!$BR$55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{9C3F0660-C8BF-49BE-A90C-65D625BF9DB5}</c15:txfldGUID>
                      <c15:f>Frontend!$BR$55</c15:f>
                      <c15:dlblFieldTableCache>
                        <c:ptCount val="1"/>
                      </c15:dlblFieldTableCache>
                    </c15:dlblFTEntry>
                  </c15:dlblFieldTable>
                  <c15:showDataLabelsRange val="0"/>
                </c:ext>
                <c:ext xmlns:c16="http://schemas.microsoft.com/office/drawing/2014/chart" uri="{C3380CC4-5D6E-409C-BE32-E72D297353CC}">
                  <c16:uniqueId val="{00000030-0A6B-4376-88DD-AB3AC92F78D4}"/>
                </c:ext>
              </c:extLst>
            </c:dLbl>
            <c:dLbl>
              <c:idx val="46"/>
              <c:tx>
                <c:strRef>
                  <c:f>Frontend!$BR$56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{A8A6DB2D-5079-4FD4-8206-06DA008C9D18}</c15:txfldGUID>
                      <c15:f>Frontend!$BR$56</c15:f>
                      <c15:dlblFieldTableCache>
                        <c:ptCount val="1"/>
                      </c15:dlblFieldTableCache>
                    </c15:dlblFTEntry>
                  </c15:dlblFieldTable>
                  <c15:showDataLabelsRange val="0"/>
                </c:ext>
                <c:ext xmlns:c16="http://schemas.microsoft.com/office/drawing/2014/chart" uri="{C3380CC4-5D6E-409C-BE32-E72D297353CC}">
                  <c16:uniqueId val="{00000031-0A6B-4376-88DD-AB3AC92F78D4}"/>
                </c:ext>
              </c:extLst>
            </c:dLbl>
            <c:dLbl>
              <c:idx val="47"/>
              <c:tx>
                <c:strRef>
                  <c:f>Frontend!$BR$57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{AA423510-FEB0-42EE-9D61-EC0A02B98989}</c15:txfldGUID>
                      <c15:f>Frontend!$BR$57</c15:f>
                      <c15:dlblFieldTableCache>
                        <c:ptCount val="1"/>
                      </c15:dlblFieldTableCache>
                    </c15:dlblFTEntry>
                  </c15:dlblFieldTable>
                  <c15:showDataLabelsRange val="0"/>
                </c:ext>
                <c:ext xmlns:c16="http://schemas.microsoft.com/office/drawing/2014/chart" uri="{C3380CC4-5D6E-409C-BE32-E72D297353CC}">
                  <c16:uniqueId val="{00000032-0A6B-4376-88DD-AB3AC92F78D4}"/>
                </c:ext>
              </c:extLst>
            </c:dLbl>
            <c:dLbl>
              <c:idx val="48"/>
              <c:tx>
                <c:strRef>
                  <c:f>Frontend!$BR$58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{18A3A9AE-9EDE-4C33-9F4C-FE6C065E280E}</c15:txfldGUID>
                      <c15:f>Frontend!$BR$58</c15:f>
                      <c15:dlblFieldTableCache>
                        <c:ptCount val="1"/>
                      </c15:dlblFieldTableCache>
                    </c15:dlblFTEntry>
                  </c15:dlblFieldTable>
                  <c15:showDataLabelsRange val="0"/>
                </c:ext>
                <c:ext xmlns:c16="http://schemas.microsoft.com/office/drawing/2014/chart" uri="{C3380CC4-5D6E-409C-BE32-E72D297353CC}">
                  <c16:uniqueId val="{00000033-0A6B-4376-88DD-AB3AC92F78D4}"/>
                </c:ext>
              </c:extLst>
            </c:dLbl>
            <c:dLbl>
              <c:idx val="49"/>
              <c:tx>
                <c:strRef>
                  <c:f>Frontend!$BR$59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{17354D98-DAEF-4D54-9B03-1725CFD58B33}</c15:txfldGUID>
                      <c15:f>Frontend!$BR$59</c15:f>
                      <c15:dlblFieldTableCache>
                        <c:ptCount val="1"/>
                      </c15:dlblFieldTableCache>
                    </c15:dlblFTEntry>
                  </c15:dlblFieldTable>
                  <c15:showDataLabelsRange val="0"/>
                </c:ext>
                <c:ext xmlns:c16="http://schemas.microsoft.com/office/drawing/2014/chart" uri="{C3380CC4-5D6E-409C-BE32-E72D297353CC}">
                  <c16:uniqueId val="{00000034-0A6B-4376-88DD-AB3AC92F78D4}"/>
                </c:ext>
              </c:extLst>
            </c:dLbl>
            <c:dLbl>
              <c:idx val="50"/>
              <c:tx>
                <c:strRef>
                  <c:f>Frontend!$BR$60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{7F309F49-42E9-43AE-B86D-E5174CF10926}</c15:txfldGUID>
                      <c15:f>Frontend!$BR$60</c15:f>
                      <c15:dlblFieldTableCache>
                        <c:ptCount val="1"/>
                      </c15:dlblFieldTableCache>
                    </c15:dlblFTEntry>
                  </c15:dlblFieldTable>
                  <c15:showDataLabelsRange val="0"/>
                </c:ext>
                <c:ext xmlns:c16="http://schemas.microsoft.com/office/drawing/2014/chart" uri="{C3380CC4-5D6E-409C-BE32-E72D297353CC}">
                  <c16:uniqueId val="{00000035-0A6B-4376-88DD-AB3AC92F78D4}"/>
                </c:ext>
              </c:extLst>
            </c:dLbl>
            <c:dLbl>
              <c:idx val="51"/>
              <c:tx>
                <c:strRef>
                  <c:f>Frontend!$BR$61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{7B95DE57-822D-4C1B-A1AB-E6B69C89C317}</c15:txfldGUID>
                      <c15:f>Frontend!$BR$61</c15:f>
                      <c15:dlblFieldTableCache>
                        <c:ptCount val="1"/>
                      </c15:dlblFieldTableCache>
                    </c15:dlblFTEntry>
                  </c15:dlblFieldTable>
                  <c15:showDataLabelsRange val="0"/>
                </c:ext>
                <c:ext xmlns:c16="http://schemas.microsoft.com/office/drawing/2014/chart" uri="{C3380CC4-5D6E-409C-BE32-E72D297353CC}">
                  <c16:uniqueId val="{00000036-0A6B-4376-88DD-AB3AC92F78D4}"/>
                </c:ext>
              </c:extLst>
            </c:dLbl>
            <c:dLbl>
              <c:idx val="52"/>
              <c:tx>
                <c:strRef>
                  <c:f>Frontend!$BR$62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{926562D2-44C9-49DE-9EEC-386E29895AFC}</c15:txfldGUID>
                      <c15:f>Frontend!$BR$62</c15:f>
                      <c15:dlblFieldTableCache>
                        <c:ptCount val="1"/>
                      </c15:dlblFieldTableCache>
                    </c15:dlblFTEntry>
                  </c15:dlblFieldTable>
                  <c15:showDataLabelsRange val="0"/>
                </c:ext>
                <c:ext xmlns:c16="http://schemas.microsoft.com/office/drawing/2014/chart" uri="{C3380CC4-5D6E-409C-BE32-E72D297353CC}">
                  <c16:uniqueId val="{00000037-0A6B-4376-88DD-AB3AC92F78D4}"/>
                </c:ext>
              </c:extLst>
            </c:dLbl>
            <c:dLbl>
              <c:idx val="53"/>
              <c:tx>
                <c:strRef>
                  <c:f>Frontend!$BR$63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{6997DA52-577C-4BAA-97D1-13794A5534D4}</c15:txfldGUID>
                      <c15:f>Frontend!$BR$63</c15:f>
                      <c15:dlblFieldTableCache>
                        <c:ptCount val="1"/>
                      </c15:dlblFieldTableCache>
                    </c15:dlblFTEntry>
                  </c15:dlblFieldTable>
                  <c15:showDataLabelsRange val="0"/>
                </c:ext>
                <c:ext xmlns:c16="http://schemas.microsoft.com/office/drawing/2014/chart" uri="{C3380CC4-5D6E-409C-BE32-E72D297353CC}">
                  <c16:uniqueId val="{00000038-0A6B-4376-88DD-AB3AC92F78D4}"/>
                </c:ext>
              </c:extLst>
            </c:dLbl>
            <c:dLbl>
              <c:idx val="54"/>
              <c:tx>
                <c:strRef>
                  <c:f>Frontend!$BR$64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{22667DD9-840A-4C8F-98A9-1A699D1C9F84}</c15:txfldGUID>
                      <c15:f>Frontend!$BR$64</c15:f>
                      <c15:dlblFieldTableCache>
                        <c:ptCount val="1"/>
                      </c15:dlblFieldTableCache>
                    </c15:dlblFTEntry>
                  </c15:dlblFieldTable>
                  <c15:showDataLabelsRange val="0"/>
                </c:ext>
                <c:ext xmlns:c16="http://schemas.microsoft.com/office/drawing/2014/chart" uri="{C3380CC4-5D6E-409C-BE32-E72D297353CC}">
                  <c16:uniqueId val="{00000039-0A6B-4376-88DD-AB3AC92F78D4}"/>
                </c:ext>
              </c:extLst>
            </c:dLbl>
            <c:dLbl>
              <c:idx val="55"/>
              <c:tx>
                <c:strRef>
                  <c:f>Frontend!$BR$65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{582B8821-ADB9-429B-B989-5C0CA5DDFD2B}</c15:txfldGUID>
                      <c15:f>Frontend!$BR$65</c15:f>
                      <c15:dlblFieldTableCache>
                        <c:ptCount val="1"/>
                      </c15:dlblFieldTableCache>
                    </c15:dlblFTEntry>
                  </c15:dlblFieldTable>
                  <c15:showDataLabelsRange val="0"/>
                </c:ext>
                <c:ext xmlns:c16="http://schemas.microsoft.com/office/drawing/2014/chart" uri="{C3380CC4-5D6E-409C-BE32-E72D297353CC}">
                  <c16:uniqueId val="{0000003A-0A6B-4376-88DD-AB3AC92F78D4}"/>
                </c:ext>
              </c:extLst>
            </c:dLbl>
            <c:dLbl>
              <c:idx val="56"/>
              <c:tx>
                <c:strRef>
                  <c:f>Frontend!$BR$66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{E50E1D3A-DB35-4402-8615-627148925DFB}</c15:txfldGUID>
                      <c15:f>Frontend!$BR$66</c15:f>
                      <c15:dlblFieldTableCache>
                        <c:ptCount val="1"/>
                      </c15:dlblFieldTableCache>
                    </c15:dlblFTEntry>
                  </c15:dlblFieldTable>
                  <c15:showDataLabelsRange val="0"/>
                </c:ext>
                <c:ext xmlns:c16="http://schemas.microsoft.com/office/drawing/2014/chart" uri="{C3380CC4-5D6E-409C-BE32-E72D297353CC}">
                  <c16:uniqueId val="{0000003B-0A6B-4376-88DD-AB3AC92F78D4}"/>
                </c:ext>
              </c:extLst>
            </c:dLbl>
            <c:dLbl>
              <c:idx val="57"/>
              <c:tx>
                <c:strRef>
                  <c:f>Frontend!$BR$67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{84429B96-CA1E-4EC8-90E2-751BB80FB8E7}</c15:txfldGUID>
                      <c15:f>Frontend!$BR$67</c15:f>
                      <c15:dlblFieldTableCache>
                        <c:ptCount val="1"/>
                      </c15:dlblFieldTableCache>
                    </c15:dlblFTEntry>
                  </c15:dlblFieldTable>
                  <c15:showDataLabelsRange val="0"/>
                </c:ext>
                <c:ext xmlns:c16="http://schemas.microsoft.com/office/drawing/2014/chart" uri="{C3380CC4-5D6E-409C-BE32-E72D297353CC}">
                  <c16:uniqueId val="{0000003C-0A6B-4376-88DD-AB3AC92F78D4}"/>
                </c:ext>
              </c:extLst>
            </c:dLbl>
            <c:dLbl>
              <c:idx val="58"/>
              <c:tx>
                <c:strRef>
                  <c:f>Frontend!$BR$68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{87738251-E5C9-4D3F-9D77-7F3880C638F8}</c15:txfldGUID>
                      <c15:f>Frontend!$BR$68</c15:f>
                      <c15:dlblFieldTableCache>
                        <c:ptCount val="1"/>
                      </c15:dlblFieldTableCache>
                    </c15:dlblFTEntry>
                  </c15:dlblFieldTable>
                  <c15:showDataLabelsRange val="0"/>
                </c:ext>
                <c:ext xmlns:c16="http://schemas.microsoft.com/office/drawing/2014/chart" uri="{C3380CC4-5D6E-409C-BE32-E72D297353CC}">
                  <c16:uniqueId val="{00000001-9E7E-44E2-8374-D52211F03D4F}"/>
                </c:ext>
              </c:extLst>
            </c:dLbl>
            <c:dLbl>
              <c:idx val="59"/>
              <c:tx>
                <c:strRef>
                  <c:f>Frontend!$BR$69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{4EB56CAF-018E-447E-BF61-F2C5C52EB234}</c15:txfldGUID>
                      <c15:f>Frontend!$BR$69</c15:f>
                      <c15:dlblFieldTableCache>
                        <c:ptCount val="1"/>
                      </c15:dlblFieldTableCache>
                    </c15:dlblFTEntry>
                  </c15:dlblFieldTable>
                  <c15:showDataLabelsRange val="0"/>
                </c:ext>
                <c:ext xmlns:c16="http://schemas.microsoft.com/office/drawing/2014/chart" uri="{C3380CC4-5D6E-409C-BE32-E72D297353CC}">
                  <c16:uniqueId val="{0000003D-0A6B-4376-88DD-AB3AC92F78D4}"/>
                </c:ext>
              </c:extLst>
            </c:dLbl>
            <c:dLbl>
              <c:idx val="60"/>
              <c:tx>
                <c:strRef>
                  <c:f>Frontend!$BR$70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{7E95235E-F957-44FB-AD2D-8DC4BA5F2105}</c15:txfldGUID>
                      <c15:f>Frontend!$BR$70</c15:f>
                      <c15:dlblFieldTableCache>
                        <c:ptCount val="1"/>
                      </c15:dlblFieldTableCache>
                    </c15:dlblFTEntry>
                  </c15:dlblFieldTable>
                  <c15:showDataLabelsRange val="0"/>
                </c:ext>
                <c:ext xmlns:c16="http://schemas.microsoft.com/office/drawing/2014/chart" uri="{C3380CC4-5D6E-409C-BE32-E72D297353CC}">
                  <c16:uniqueId val="{0000003E-0A6B-4376-88DD-AB3AC92F78D4}"/>
                </c:ext>
              </c:extLst>
            </c:dLbl>
            <c:dLbl>
              <c:idx val="61"/>
              <c:tx>
                <c:strRef>
                  <c:f>Frontend!$BR$71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{1E95FDE1-5AB8-4640-98B7-78F9D4B7AD5C}</c15:txfldGUID>
                      <c15:f>Frontend!$BR$71</c15:f>
                      <c15:dlblFieldTableCache>
                        <c:ptCount val="1"/>
                      </c15:dlblFieldTableCache>
                    </c15:dlblFTEntry>
                  </c15:dlblFieldTable>
                  <c15:showDataLabelsRange val="0"/>
                </c:ext>
                <c:ext xmlns:c16="http://schemas.microsoft.com/office/drawing/2014/chart" uri="{C3380CC4-5D6E-409C-BE32-E72D297353CC}">
                  <c16:uniqueId val="{0000003F-0A6B-4376-88DD-AB3AC92F78D4}"/>
                </c:ext>
              </c:extLst>
            </c:dLbl>
            <c:dLbl>
              <c:idx val="62"/>
              <c:tx>
                <c:strRef>
                  <c:f>Frontend!$BR$72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{13E60FCD-6E41-4A7B-A201-40C1A6F3BE61}</c15:txfldGUID>
                      <c15:f>Frontend!$BR$72</c15:f>
                      <c15:dlblFieldTableCache>
                        <c:ptCount val="1"/>
                      </c15:dlblFieldTableCache>
                    </c15:dlblFTEntry>
                  </c15:dlblFieldTable>
                  <c15:showDataLabelsRange val="0"/>
                </c:ext>
                <c:ext xmlns:c16="http://schemas.microsoft.com/office/drawing/2014/chart" uri="{C3380CC4-5D6E-409C-BE32-E72D297353CC}">
                  <c16:uniqueId val="{00000040-0A6B-4376-88DD-AB3AC92F78D4}"/>
                </c:ext>
              </c:extLst>
            </c:dLbl>
            <c:dLbl>
              <c:idx val="63"/>
              <c:tx>
                <c:strRef>
                  <c:f>Frontend!$BR$73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{D0D7974E-56F3-43D6-B9AD-D17DFB36A94D}</c15:txfldGUID>
                      <c15:f>Frontend!$BR$73</c15:f>
                      <c15:dlblFieldTableCache>
                        <c:ptCount val="1"/>
                      </c15:dlblFieldTableCache>
                    </c15:dlblFTEntry>
                  </c15:dlblFieldTable>
                  <c15:showDataLabelsRange val="0"/>
                </c:ext>
                <c:ext xmlns:c16="http://schemas.microsoft.com/office/drawing/2014/chart" uri="{C3380CC4-5D6E-409C-BE32-E72D297353CC}">
                  <c16:uniqueId val="{00000041-0A6B-4376-88DD-AB3AC92F78D4}"/>
                </c:ext>
              </c:extLst>
            </c:dLbl>
            <c:dLbl>
              <c:idx val="64"/>
              <c:tx>
                <c:strRef>
                  <c:f>Frontend!$BR$74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{F252C3FA-324B-4B88-89EB-91C4DEFB182D}</c15:txfldGUID>
                      <c15:f>Frontend!$BR$74</c15:f>
                      <c15:dlblFieldTableCache>
                        <c:ptCount val="1"/>
                      </c15:dlblFieldTableCache>
                    </c15:dlblFTEntry>
                  </c15:dlblFieldTable>
                  <c15:showDataLabelsRange val="0"/>
                </c:ext>
                <c:ext xmlns:c16="http://schemas.microsoft.com/office/drawing/2014/chart" uri="{C3380CC4-5D6E-409C-BE32-E72D297353CC}">
                  <c16:uniqueId val="{00000042-0A6B-4376-88DD-AB3AC92F78D4}"/>
                </c:ext>
              </c:extLst>
            </c:dLbl>
            <c:dLbl>
              <c:idx val="65"/>
              <c:tx>
                <c:strRef>
                  <c:f>Frontend!$BR$75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{9287546F-38D0-467D-A14E-B084F877E64B}</c15:txfldGUID>
                      <c15:f>Frontend!$BR$75</c15:f>
                      <c15:dlblFieldTableCache>
                        <c:ptCount val="1"/>
                      </c15:dlblFieldTableCache>
                    </c15:dlblFTEntry>
                  </c15:dlblFieldTable>
                  <c15:showDataLabelsRange val="0"/>
                </c:ext>
                <c:ext xmlns:c16="http://schemas.microsoft.com/office/drawing/2014/chart" uri="{C3380CC4-5D6E-409C-BE32-E72D297353CC}">
                  <c16:uniqueId val="{00000043-0A6B-4376-88DD-AB3AC92F78D4}"/>
                </c:ext>
              </c:extLst>
            </c:dLbl>
            <c:dLbl>
              <c:idx val="66"/>
              <c:tx>
                <c:strRef>
                  <c:f>Frontend!$BR$76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{7850393E-926D-415E-BD11-6232889D8541}</c15:txfldGUID>
                      <c15:f>Frontend!$BR$76</c15:f>
                      <c15:dlblFieldTableCache>
                        <c:ptCount val="1"/>
                      </c15:dlblFieldTableCache>
                    </c15:dlblFTEntry>
                  </c15:dlblFieldTable>
                  <c15:showDataLabelsRange val="0"/>
                </c:ext>
                <c:ext xmlns:c16="http://schemas.microsoft.com/office/drawing/2014/chart" uri="{C3380CC4-5D6E-409C-BE32-E72D297353CC}">
                  <c16:uniqueId val="{00000044-0A6B-4376-88DD-AB3AC92F78D4}"/>
                </c:ext>
              </c:extLst>
            </c:dLbl>
            <c:dLbl>
              <c:idx val="67"/>
              <c:tx>
                <c:strRef>
                  <c:f>Frontend!$BR$77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{033F9CDA-55AC-4F9E-866B-1C381BB88645}</c15:txfldGUID>
                      <c15:f>Frontend!$BR$77</c15:f>
                      <c15:dlblFieldTableCache>
                        <c:ptCount val="1"/>
                      </c15:dlblFieldTableCache>
                    </c15:dlblFTEntry>
                  </c15:dlblFieldTable>
                  <c15:showDataLabelsRange val="0"/>
                </c:ext>
                <c:ext xmlns:c16="http://schemas.microsoft.com/office/drawing/2014/chart" uri="{C3380CC4-5D6E-409C-BE32-E72D297353CC}">
                  <c16:uniqueId val="{00000045-0A6B-4376-88DD-AB3AC92F78D4}"/>
                </c:ext>
              </c:extLst>
            </c:dLbl>
            <c:dLbl>
              <c:idx val="68"/>
              <c:tx>
                <c:strRef>
                  <c:f>Frontend!$BR$78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{390E0237-AE7E-4DDB-AFB4-1E3938D7B746}</c15:txfldGUID>
                      <c15:f>Frontend!$BR$78</c15:f>
                      <c15:dlblFieldTableCache>
                        <c:ptCount val="1"/>
                      </c15:dlblFieldTableCache>
                    </c15:dlblFTEntry>
                  </c15:dlblFieldTable>
                  <c15:showDataLabelsRange val="0"/>
                </c:ext>
                <c:ext xmlns:c16="http://schemas.microsoft.com/office/drawing/2014/chart" uri="{C3380CC4-5D6E-409C-BE32-E72D297353CC}">
                  <c16:uniqueId val="{00000046-0A6B-4376-88DD-AB3AC92F78D4}"/>
                </c:ext>
              </c:extLst>
            </c:dLbl>
            <c:dLbl>
              <c:idx val="69"/>
              <c:tx>
                <c:strRef>
                  <c:f>Frontend!$BR$79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{C5A63634-0394-48C5-96AB-2FAD7E523E4E}</c15:txfldGUID>
                      <c15:f>Frontend!$BR$79</c15:f>
                      <c15:dlblFieldTableCache>
                        <c:ptCount val="1"/>
                      </c15:dlblFieldTableCache>
                    </c15:dlblFTEntry>
                  </c15:dlblFieldTable>
                  <c15:showDataLabelsRange val="0"/>
                </c:ext>
                <c:ext xmlns:c16="http://schemas.microsoft.com/office/drawing/2014/chart" uri="{C3380CC4-5D6E-409C-BE32-E72D297353CC}">
                  <c16:uniqueId val="{00000047-0A6B-4376-88DD-AB3AC92F78D4}"/>
                </c:ext>
              </c:extLst>
            </c:dLbl>
            <c:dLbl>
              <c:idx val="70"/>
              <c:tx>
                <c:strRef>
                  <c:f>Frontend!$BR$80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{46CAF6C2-0DBA-4F60-B3D8-C9AF9B959AD4}</c15:txfldGUID>
                      <c15:f>Frontend!$BR$80</c15:f>
                      <c15:dlblFieldTableCache>
                        <c:ptCount val="1"/>
                      </c15:dlblFieldTableCache>
                    </c15:dlblFTEntry>
                  </c15:dlblFieldTable>
                  <c15:showDataLabelsRange val="0"/>
                </c:ext>
                <c:ext xmlns:c16="http://schemas.microsoft.com/office/drawing/2014/chart" uri="{C3380CC4-5D6E-409C-BE32-E72D297353CC}">
                  <c16:uniqueId val="{00000048-0A6B-4376-88DD-AB3AC92F78D4}"/>
                </c:ext>
              </c:extLst>
            </c:dLbl>
            <c:dLbl>
              <c:idx val="71"/>
              <c:tx>
                <c:strRef>
                  <c:f>Frontend!$BR$81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{4E999C15-5BE2-4687-8292-9EC0DB537787}</c15:txfldGUID>
                      <c15:f>Frontend!$BR$81</c15:f>
                      <c15:dlblFieldTableCache>
                        <c:ptCount val="1"/>
                      </c15:dlblFieldTableCache>
                    </c15:dlblFTEntry>
                  </c15:dlblFieldTable>
                  <c15:showDataLabelsRange val="0"/>
                </c:ext>
                <c:ext xmlns:c16="http://schemas.microsoft.com/office/drawing/2014/chart" uri="{C3380CC4-5D6E-409C-BE32-E72D297353CC}">
                  <c16:uniqueId val="{00000049-0A6B-4376-88DD-AB3AC92F78D4}"/>
                </c:ext>
              </c:extLst>
            </c:dLbl>
            <c:dLbl>
              <c:idx val="72"/>
              <c:tx>
                <c:strRef>
                  <c:f>Frontend!$BR$82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{126F7F62-CA37-46ED-B4CC-EFBE9997866A}</c15:txfldGUID>
                      <c15:f>Frontend!$BR$82</c15:f>
                      <c15:dlblFieldTableCache>
                        <c:ptCount val="1"/>
                      </c15:dlblFieldTableCache>
                    </c15:dlblFTEntry>
                  </c15:dlblFieldTable>
                  <c15:showDataLabelsRange val="0"/>
                </c:ext>
                <c:ext xmlns:c16="http://schemas.microsoft.com/office/drawing/2014/chart" uri="{C3380CC4-5D6E-409C-BE32-E72D297353CC}">
                  <c16:uniqueId val="{0000004A-0A6B-4376-88DD-AB3AC92F78D4}"/>
                </c:ext>
              </c:extLst>
            </c:dLbl>
            <c:dLbl>
              <c:idx val="73"/>
              <c:tx>
                <c:strRef>
                  <c:f>Frontend!$BR$83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{D8DCC2FE-98F9-4F5D-AE6D-C7D1A05509B8}</c15:txfldGUID>
                      <c15:f>Frontend!$BR$83</c15:f>
                      <c15:dlblFieldTableCache>
                        <c:ptCount val="1"/>
                      </c15:dlblFieldTableCache>
                    </c15:dlblFTEntry>
                  </c15:dlblFieldTable>
                  <c15:showDataLabelsRange val="0"/>
                </c:ext>
                <c:ext xmlns:c16="http://schemas.microsoft.com/office/drawing/2014/chart" uri="{C3380CC4-5D6E-409C-BE32-E72D297353CC}">
                  <c16:uniqueId val="{0000004B-0A6B-4376-88DD-AB3AC92F78D4}"/>
                </c:ext>
              </c:extLst>
            </c:dLbl>
            <c:dLbl>
              <c:idx val="74"/>
              <c:tx>
                <c:strRef>
                  <c:f>Frontend!$BR$84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{8F018CF3-648B-47FA-BF94-3171B1F04F9A}</c15:txfldGUID>
                      <c15:f>Frontend!$BR$84</c15:f>
                      <c15:dlblFieldTableCache>
                        <c:ptCount val="1"/>
                      </c15:dlblFieldTableCache>
                    </c15:dlblFTEntry>
                  </c15:dlblFieldTable>
                  <c15:showDataLabelsRange val="0"/>
                </c:ext>
                <c:ext xmlns:c16="http://schemas.microsoft.com/office/drawing/2014/chart" uri="{C3380CC4-5D6E-409C-BE32-E72D297353CC}">
                  <c16:uniqueId val="{0000004C-0A6B-4376-88DD-AB3AC92F78D4}"/>
                </c:ext>
              </c:extLst>
            </c:dLbl>
            <c:dLbl>
              <c:idx val="75"/>
              <c:tx>
                <c:strRef>
                  <c:f>Frontend!$BR$85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{068DFFA8-7B51-40F0-981A-94917BE590CA}</c15:txfldGUID>
                      <c15:f>Frontend!$BR$85</c15:f>
                      <c15:dlblFieldTableCache>
                        <c:ptCount val="1"/>
                      </c15:dlblFieldTableCache>
                    </c15:dlblFTEntry>
                  </c15:dlblFieldTable>
                  <c15:showDataLabelsRange val="0"/>
                </c:ext>
                <c:ext xmlns:c16="http://schemas.microsoft.com/office/drawing/2014/chart" uri="{C3380CC4-5D6E-409C-BE32-E72D297353CC}">
                  <c16:uniqueId val="{0000004D-0A6B-4376-88DD-AB3AC92F78D4}"/>
                </c:ext>
              </c:extLst>
            </c:dLbl>
            <c:dLbl>
              <c:idx val="76"/>
              <c:tx>
                <c:strRef>
                  <c:f>Frontend!$BR$86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{4FE808EC-341E-4D37-B581-D9EB4FADB7DB}</c15:txfldGUID>
                      <c15:f>Frontend!$BR$86</c15:f>
                      <c15:dlblFieldTableCache>
                        <c:ptCount val="1"/>
                      </c15:dlblFieldTableCache>
                    </c15:dlblFTEntry>
                  </c15:dlblFieldTable>
                  <c15:showDataLabelsRange val="0"/>
                </c:ext>
                <c:ext xmlns:c16="http://schemas.microsoft.com/office/drawing/2014/chart" uri="{C3380CC4-5D6E-409C-BE32-E72D297353CC}">
                  <c16:uniqueId val="{0000004E-0A6B-4376-88DD-AB3AC92F78D4}"/>
                </c:ext>
              </c:extLst>
            </c:dLbl>
            <c:dLbl>
              <c:idx val="77"/>
              <c:tx>
                <c:strRef>
                  <c:f>Frontend!$BR$87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{A43CCB69-AAAD-4BEE-8809-6FF940338929}</c15:txfldGUID>
                      <c15:f>Frontend!$BR$87</c15:f>
                      <c15:dlblFieldTableCache>
                        <c:ptCount val="1"/>
                      </c15:dlblFieldTableCache>
                    </c15:dlblFTEntry>
                  </c15:dlblFieldTable>
                  <c15:showDataLabelsRange val="0"/>
                </c:ext>
                <c:ext xmlns:c16="http://schemas.microsoft.com/office/drawing/2014/chart" uri="{C3380CC4-5D6E-409C-BE32-E72D297353CC}">
                  <c16:uniqueId val="{0000004F-0A6B-4376-88DD-AB3AC92F78D4}"/>
                </c:ext>
              </c:extLst>
            </c:dLbl>
            <c:dLbl>
              <c:idx val="78"/>
              <c:tx>
                <c:strRef>
                  <c:f>Frontend!$BR$88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{3BAEC8F7-7A28-4FAE-9B9C-16BEC032C826}</c15:txfldGUID>
                      <c15:f>Frontend!$BR$88</c15:f>
                      <c15:dlblFieldTableCache>
                        <c:ptCount val="1"/>
                      </c15:dlblFieldTableCache>
                    </c15:dlblFTEntry>
                  </c15:dlblFieldTable>
                  <c15:showDataLabelsRange val="0"/>
                </c:ext>
                <c:ext xmlns:c16="http://schemas.microsoft.com/office/drawing/2014/chart" uri="{C3380CC4-5D6E-409C-BE32-E72D297353CC}">
                  <c16:uniqueId val="{00000050-0A6B-4376-88DD-AB3AC92F78D4}"/>
                </c:ext>
              </c:extLst>
            </c:dLbl>
            <c:dLbl>
              <c:idx val="79"/>
              <c:tx>
                <c:strRef>
                  <c:f>Frontend!$BR$89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{10050109-CDB9-4EDB-BE8C-9F6B48625279}</c15:txfldGUID>
                      <c15:f>Frontend!$BR$89</c15:f>
                      <c15:dlblFieldTableCache>
                        <c:ptCount val="1"/>
                      </c15:dlblFieldTableCache>
                    </c15:dlblFTEntry>
                  </c15:dlblFieldTable>
                  <c15:showDataLabelsRange val="0"/>
                </c:ext>
                <c:ext xmlns:c16="http://schemas.microsoft.com/office/drawing/2014/chart" uri="{C3380CC4-5D6E-409C-BE32-E72D297353CC}">
                  <c16:uniqueId val="{00000051-0A6B-4376-88DD-AB3AC92F78D4}"/>
                </c:ext>
              </c:extLst>
            </c:dLbl>
            <c:dLbl>
              <c:idx val="80"/>
              <c:tx>
                <c:strRef>
                  <c:f>Frontend!$BR$90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{F641C4E5-A108-4152-9FAC-3E51448E8128}</c15:txfldGUID>
                      <c15:f>Frontend!$BR$90</c15:f>
                      <c15:dlblFieldTableCache>
                        <c:ptCount val="1"/>
                      </c15:dlblFieldTableCache>
                    </c15:dlblFTEntry>
                  </c15:dlblFieldTable>
                  <c15:showDataLabelsRange val="0"/>
                </c:ext>
                <c:ext xmlns:c16="http://schemas.microsoft.com/office/drawing/2014/chart" uri="{C3380CC4-5D6E-409C-BE32-E72D297353CC}">
                  <c16:uniqueId val="{00000052-0A6B-4376-88DD-AB3AC92F78D4}"/>
                </c:ext>
              </c:extLst>
            </c:dLbl>
            <c:dLbl>
              <c:idx val="81"/>
              <c:tx>
                <c:strRef>
                  <c:f>Frontend!$BR$91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{1EA90375-E2F0-4C3E-87D0-5CAC1C7B1A7A}</c15:txfldGUID>
                      <c15:f>Frontend!$BR$91</c15:f>
                      <c15:dlblFieldTableCache>
                        <c:ptCount val="1"/>
                      </c15:dlblFieldTableCache>
                    </c15:dlblFTEntry>
                  </c15:dlblFieldTable>
                  <c15:showDataLabelsRange val="0"/>
                </c:ext>
                <c:ext xmlns:c16="http://schemas.microsoft.com/office/drawing/2014/chart" uri="{C3380CC4-5D6E-409C-BE32-E72D297353CC}">
                  <c16:uniqueId val="{00000053-0A6B-4376-88DD-AB3AC92F78D4}"/>
                </c:ext>
              </c:extLst>
            </c:dLbl>
            <c:dLbl>
              <c:idx val="82"/>
              <c:tx>
                <c:strRef>
                  <c:f>Frontend!$BR$92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{67CD3589-53DD-4B26-8C6C-99EC9F435C8E}</c15:txfldGUID>
                      <c15:f>Frontend!$BR$92</c15:f>
                      <c15:dlblFieldTableCache>
                        <c:ptCount val="1"/>
                      </c15:dlblFieldTableCache>
                    </c15:dlblFTEntry>
                  </c15:dlblFieldTable>
                  <c15:showDataLabelsRange val="0"/>
                </c:ext>
                <c:ext xmlns:c16="http://schemas.microsoft.com/office/drawing/2014/chart" uri="{C3380CC4-5D6E-409C-BE32-E72D297353CC}">
                  <c16:uniqueId val="{00000054-0A6B-4376-88DD-AB3AC92F78D4}"/>
                </c:ext>
              </c:extLst>
            </c:dLbl>
            <c:dLbl>
              <c:idx val="83"/>
              <c:tx>
                <c:strRef>
                  <c:f>Frontend!$BR$93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{FA746F69-32C1-4CAF-A887-AF9DC09D37BF}</c15:txfldGUID>
                      <c15:f>Frontend!$BR$93</c15:f>
                      <c15:dlblFieldTableCache>
                        <c:ptCount val="1"/>
                      </c15:dlblFieldTableCache>
                    </c15:dlblFTEntry>
                  </c15:dlblFieldTable>
                  <c15:showDataLabelsRange val="0"/>
                </c:ext>
                <c:ext xmlns:c16="http://schemas.microsoft.com/office/drawing/2014/chart" uri="{C3380CC4-5D6E-409C-BE32-E72D297353CC}">
                  <c16:uniqueId val="{00000055-0A6B-4376-88DD-AB3AC92F78D4}"/>
                </c:ext>
              </c:extLst>
            </c:dLbl>
            <c:dLbl>
              <c:idx val="84"/>
              <c:tx>
                <c:strRef>
                  <c:f>Frontend!$BR$94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{6A870FFE-B849-4215-BBB0-2C80B6F3FB6C}</c15:txfldGUID>
                      <c15:f>Frontend!$BR$94</c15:f>
                      <c15:dlblFieldTableCache>
                        <c:ptCount val="1"/>
                      </c15:dlblFieldTableCache>
                    </c15:dlblFTEntry>
                  </c15:dlblFieldTable>
                  <c15:showDataLabelsRange val="0"/>
                </c:ext>
                <c:ext xmlns:c16="http://schemas.microsoft.com/office/drawing/2014/chart" uri="{C3380CC4-5D6E-409C-BE32-E72D297353CC}">
                  <c16:uniqueId val="{00000056-0A6B-4376-88DD-AB3AC92F78D4}"/>
                </c:ext>
              </c:extLst>
            </c:dLbl>
            <c:dLbl>
              <c:idx val="85"/>
              <c:tx>
                <c:strRef>
                  <c:f>Frontend!$BR$95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{BFF4D8D9-D218-4388-B93C-DB49E2A1B234}</c15:txfldGUID>
                      <c15:f>Frontend!$BR$95</c15:f>
                      <c15:dlblFieldTableCache>
                        <c:ptCount val="1"/>
                      </c15:dlblFieldTableCache>
                    </c15:dlblFTEntry>
                  </c15:dlblFieldTable>
                  <c15:showDataLabelsRange val="0"/>
                </c:ext>
                <c:ext xmlns:c16="http://schemas.microsoft.com/office/drawing/2014/chart" uri="{C3380CC4-5D6E-409C-BE32-E72D297353CC}">
                  <c16:uniqueId val="{00000057-0A6B-4376-88DD-AB3AC92F78D4}"/>
                </c:ext>
              </c:extLst>
            </c:dLbl>
            <c:dLbl>
              <c:idx val="86"/>
              <c:tx>
                <c:strRef>
                  <c:f>Frontend!$BR$96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{216FC551-DBCB-4A88-A33B-6910D664EA9F}</c15:txfldGUID>
                      <c15:f>Frontend!$BR$96</c15:f>
                      <c15:dlblFieldTableCache>
                        <c:ptCount val="1"/>
                      </c15:dlblFieldTableCache>
                    </c15:dlblFTEntry>
                  </c15:dlblFieldTable>
                  <c15:showDataLabelsRange val="0"/>
                </c:ext>
                <c:ext xmlns:c16="http://schemas.microsoft.com/office/drawing/2014/chart" uri="{C3380CC4-5D6E-409C-BE32-E72D297353CC}">
                  <c16:uniqueId val="{00000058-0A6B-4376-88DD-AB3AC92F78D4}"/>
                </c:ext>
              </c:extLst>
            </c:dLbl>
            <c:dLbl>
              <c:idx val="87"/>
              <c:tx>
                <c:strRef>
                  <c:f>Frontend!$BR$97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{5DF2491C-A0D4-4495-AFA3-1236DB3FBAE0}</c15:txfldGUID>
                      <c15:f>Frontend!$BR$97</c15:f>
                      <c15:dlblFieldTableCache>
                        <c:ptCount val="1"/>
                      </c15:dlblFieldTableCache>
                    </c15:dlblFTEntry>
                  </c15:dlblFieldTable>
                  <c15:showDataLabelsRange val="0"/>
                </c:ext>
                <c:ext xmlns:c16="http://schemas.microsoft.com/office/drawing/2014/chart" uri="{C3380CC4-5D6E-409C-BE32-E72D297353CC}">
                  <c16:uniqueId val="{00000059-0A6B-4376-88DD-AB3AC92F78D4}"/>
                </c:ext>
              </c:extLst>
            </c:dLbl>
            <c:dLbl>
              <c:idx val="88"/>
              <c:tx>
                <c:strRef>
                  <c:f>Frontend!$BR$98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{C04F5B8F-D577-47C6-BF3F-1AC9DB715632}</c15:txfldGUID>
                      <c15:f>Frontend!$BR$98</c15:f>
                      <c15:dlblFieldTableCache>
                        <c:ptCount val="1"/>
                      </c15:dlblFieldTableCache>
                    </c15:dlblFTEntry>
                  </c15:dlblFieldTable>
                  <c15:showDataLabelsRange val="0"/>
                </c:ext>
                <c:ext xmlns:c16="http://schemas.microsoft.com/office/drawing/2014/chart" uri="{C3380CC4-5D6E-409C-BE32-E72D297353CC}">
                  <c16:uniqueId val="{0000005A-0A6B-4376-88DD-AB3AC92F78D4}"/>
                </c:ext>
              </c:extLst>
            </c:dLbl>
            <c:dLbl>
              <c:idx val="89"/>
              <c:tx>
                <c:strRef>
                  <c:f>Frontend!$BR$99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{EC5074A2-E4D0-45F1-81DA-6880FB1B89B0}</c15:txfldGUID>
                      <c15:f>Frontend!$BR$99</c15:f>
                      <c15:dlblFieldTableCache>
                        <c:ptCount val="1"/>
                      </c15:dlblFieldTableCache>
                    </c15:dlblFTEntry>
                  </c15:dlblFieldTable>
                  <c15:showDataLabelsRange val="0"/>
                </c:ext>
                <c:ext xmlns:c16="http://schemas.microsoft.com/office/drawing/2014/chart" uri="{C3380CC4-5D6E-409C-BE32-E72D297353CC}">
                  <c16:uniqueId val="{0000005B-0A6B-4376-88DD-AB3AC92F78D4}"/>
                </c:ext>
              </c:extLst>
            </c:dLbl>
            <c:dLbl>
              <c:idx val="90"/>
              <c:tx>
                <c:strRef>
                  <c:f>Frontend!$BR$100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{A419EB30-8569-4ABD-B28D-6FEFF3336A02}</c15:txfldGUID>
                      <c15:f>Frontend!$BR$100</c15:f>
                      <c15:dlblFieldTableCache>
                        <c:ptCount val="1"/>
                      </c15:dlblFieldTableCache>
                    </c15:dlblFTEntry>
                  </c15:dlblFieldTable>
                  <c15:showDataLabelsRange val="0"/>
                </c:ext>
                <c:ext xmlns:c16="http://schemas.microsoft.com/office/drawing/2014/chart" uri="{C3380CC4-5D6E-409C-BE32-E72D297353CC}">
                  <c16:uniqueId val="{0000005C-0A6B-4376-88DD-AB3AC92F78D4}"/>
                </c:ext>
              </c:extLst>
            </c:dLbl>
            <c:dLbl>
              <c:idx val="91"/>
              <c:tx>
                <c:strRef>
                  <c:f>Frontend!$BR$101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{B6AAF64D-DFAC-4D64-813D-2FB970CC0621}</c15:txfldGUID>
                      <c15:f>Frontend!$BR$101</c15:f>
                      <c15:dlblFieldTableCache>
                        <c:ptCount val="1"/>
                      </c15:dlblFieldTableCache>
                    </c15:dlblFTEntry>
                  </c15:dlblFieldTable>
                  <c15:showDataLabelsRange val="0"/>
                </c:ext>
                <c:ext xmlns:c16="http://schemas.microsoft.com/office/drawing/2014/chart" uri="{C3380CC4-5D6E-409C-BE32-E72D297353CC}">
                  <c16:uniqueId val="{0000005D-0A6B-4376-88DD-AB3AC92F78D4}"/>
                </c:ext>
              </c:extLst>
            </c:dLbl>
            <c:dLbl>
              <c:idx val="92"/>
              <c:tx>
                <c:strRef>
                  <c:f>Frontend!$BR$102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{43F6EE71-3ED1-4AE4-9727-322897EDBE36}</c15:txfldGUID>
                      <c15:f>Frontend!$BR$102</c15:f>
                      <c15:dlblFieldTableCache>
                        <c:ptCount val="1"/>
                      </c15:dlblFieldTableCache>
                    </c15:dlblFTEntry>
                  </c15:dlblFieldTable>
                  <c15:showDataLabelsRange val="0"/>
                </c:ext>
                <c:ext xmlns:c16="http://schemas.microsoft.com/office/drawing/2014/chart" uri="{C3380CC4-5D6E-409C-BE32-E72D297353CC}">
                  <c16:uniqueId val="{0000005E-0A6B-4376-88DD-AB3AC92F78D4}"/>
                </c:ext>
              </c:extLst>
            </c:dLbl>
            <c:dLbl>
              <c:idx val="93"/>
              <c:tx>
                <c:strRef>
                  <c:f>Frontend!$BR$103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{02C461AF-8E56-428A-AF7A-7B80C144AA35}</c15:txfldGUID>
                      <c15:f>Frontend!$BR$103</c15:f>
                      <c15:dlblFieldTableCache>
                        <c:ptCount val="1"/>
                      </c15:dlblFieldTableCache>
                    </c15:dlblFTEntry>
                  </c15:dlblFieldTable>
                  <c15:showDataLabelsRange val="0"/>
                </c:ext>
                <c:ext xmlns:c16="http://schemas.microsoft.com/office/drawing/2014/chart" uri="{C3380CC4-5D6E-409C-BE32-E72D297353CC}">
                  <c16:uniqueId val="{0000005F-0A6B-4376-88DD-AB3AC92F78D4}"/>
                </c:ext>
              </c:extLst>
            </c:dLbl>
            <c:dLbl>
              <c:idx val="94"/>
              <c:tx>
                <c:strRef>
                  <c:f>Frontend!$BR$104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{1E841C6E-C26E-4989-9184-F0FBD5D32802}</c15:txfldGUID>
                      <c15:f>Frontend!$BR$104</c15:f>
                      <c15:dlblFieldTableCache>
                        <c:ptCount val="1"/>
                      </c15:dlblFieldTableCache>
                    </c15:dlblFTEntry>
                  </c15:dlblFieldTable>
                  <c15:showDataLabelsRange val="0"/>
                </c:ext>
                <c:ext xmlns:c16="http://schemas.microsoft.com/office/drawing/2014/chart" uri="{C3380CC4-5D6E-409C-BE32-E72D297353CC}">
                  <c16:uniqueId val="{00000060-0A6B-4376-88DD-AB3AC92F78D4}"/>
                </c:ext>
              </c:extLst>
            </c:dLbl>
            <c:dLbl>
              <c:idx val="95"/>
              <c:tx>
                <c:strRef>
                  <c:f>Frontend!$BR$105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{F78D6124-2EA2-406D-809F-520F8A456418}</c15:txfldGUID>
                      <c15:f>Frontend!$BR$105</c15:f>
                      <c15:dlblFieldTableCache>
                        <c:ptCount val="1"/>
                      </c15:dlblFieldTableCache>
                    </c15:dlblFTEntry>
                  </c15:dlblFieldTable>
                  <c15:showDataLabelsRange val="0"/>
                </c:ext>
                <c:ext xmlns:c16="http://schemas.microsoft.com/office/drawing/2014/chart" uri="{C3380CC4-5D6E-409C-BE32-E72D297353CC}">
                  <c16:uniqueId val="{00000061-0A6B-4376-88DD-AB3AC92F78D4}"/>
                </c:ext>
              </c:extLst>
            </c:dLbl>
            <c:dLbl>
              <c:idx val="96"/>
              <c:tx>
                <c:strRef>
                  <c:f>Frontend!$BR$106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{C6F626C0-3AB4-492D-BFFA-A3217263C6EB}</c15:txfldGUID>
                      <c15:f>Frontend!$BR$106</c15:f>
                      <c15:dlblFieldTableCache>
                        <c:ptCount val="1"/>
                      </c15:dlblFieldTableCache>
                    </c15:dlblFTEntry>
                  </c15:dlblFieldTable>
                  <c15:showDataLabelsRange val="0"/>
                </c:ext>
                <c:ext xmlns:c16="http://schemas.microsoft.com/office/drawing/2014/chart" uri="{C3380CC4-5D6E-409C-BE32-E72D297353CC}">
                  <c16:uniqueId val="{00000062-0A6B-4376-88DD-AB3AC92F78D4}"/>
                </c:ext>
              </c:extLst>
            </c:dLbl>
            <c:dLbl>
              <c:idx val="97"/>
              <c:tx>
                <c:strRef>
                  <c:f>Frontend!$BR$107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{51799E02-C2ED-45C7-A7A7-A3D2F2D87BC2}</c15:txfldGUID>
                      <c15:f>Frontend!$BR$107</c15:f>
                      <c15:dlblFieldTableCache>
                        <c:ptCount val="1"/>
                      </c15:dlblFieldTableCache>
                    </c15:dlblFTEntry>
                  </c15:dlblFieldTable>
                  <c15:showDataLabelsRange val="0"/>
                </c:ext>
                <c:ext xmlns:c16="http://schemas.microsoft.com/office/drawing/2014/chart" uri="{C3380CC4-5D6E-409C-BE32-E72D297353CC}">
                  <c16:uniqueId val="{00000063-0A6B-4376-88DD-AB3AC92F78D4}"/>
                </c:ext>
              </c:extLst>
            </c:dLbl>
            <c:dLbl>
              <c:idx val="98"/>
              <c:tx>
                <c:strRef>
                  <c:f>Frontend!$BR$108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{1492C521-D6B0-478E-99B2-C7764987DBB5}</c15:txfldGUID>
                      <c15:f>Frontend!$BR$108</c15:f>
                      <c15:dlblFieldTableCache>
                        <c:ptCount val="1"/>
                      </c15:dlblFieldTableCache>
                    </c15:dlblFTEntry>
                  </c15:dlblFieldTable>
                  <c15:showDataLabelsRange val="0"/>
                </c:ext>
                <c:ext xmlns:c16="http://schemas.microsoft.com/office/drawing/2014/chart" uri="{C3380CC4-5D6E-409C-BE32-E72D297353CC}">
                  <c16:uniqueId val="{00000064-0A6B-4376-88DD-AB3AC92F78D4}"/>
                </c:ext>
              </c:extLst>
            </c:dLbl>
            <c:dLbl>
              <c:idx val="99"/>
              <c:tx>
                <c:strRef>
                  <c:f>Frontend!$BR$109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{98C43D06-0746-4BD7-AFDE-B73506A6256A}</c15:txfldGUID>
                      <c15:f>Frontend!$BR$109</c15:f>
                      <c15:dlblFieldTableCache>
                        <c:ptCount val="1"/>
                      </c15:dlblFieldTableCache>
                    </c15:dlblFTEntry>
                  </c15:dlblFieldTable>
                  <c15:showDataLabelsRange val="0"/>
                </c:ext>
                <c:ext xmlns:c16="http://schemas.microsoft.com/office/drawing/2014/chart" uri="{C3380CC4-5D6E-409C-BE32-E72D297353CC}">
                  <c16:uniqueId val="{00000065-0A6B-4376-88DD-AB3AC92F78D4}"/>
                </c:ext>
              </c:extLst>
            </c:dLbl>
            <c:dLbl>
              <c:idx val="100"/>
              <c:tx>
                <c:strRef>
                  <c:f>Frontend!$BR$110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{4CCEC397-8808-410E-837E-A05B92479BB8}</c15:txfldGUID>
                      <c15:f>Frontend!$BR$110</c15:f>
                      <c15:dlblFieldTableCache>
                        <c:ptCount val="1"/>
                      </c15:dlblFieldTableCache>
                    </c15:dlblFTEntry>
                  </c15:dlblFieldTable>
                  <c15:showDataLabelsRange val="0"/>
                </c:ext>
                <c:ext xmlns:c16="http://schemas.microsoft.com/office/drawing/2014/chart" uri="{C3380CC4-5D6E-409C-BE32-E72D297353CC}">
                  <c16:uniqueId val="{00000066-0A6B-4376-88DD-AB3AC92F78D4}"/>
                </c:ext>
              </c:extLst>
            </c:dLbl>
            <c:dLbl>
              <c:idx val="101"/>
              <c:tx>
                <c:strRef>
                  <c:f>Frontend!$BR$111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{71BA5214-18F5-4E59-A435-D40044A6B09C}</c15:txfldGUID>
                      <c15:f>Frontend!$BR$111</c15:f>
                      <c15:dlblFieldTableCache>
                        <c:ptCount val="1"/>
                      </c15:dlblFieldTableCache>
                    </c15:dlblFTEntry>
                  </c15:dlblFieldTable>
                  <c15:showDataLabelsRange val="0"/>
                </c:ext>
                <c:ext xmlns:c16="http://schemas.microsoft.com/office/drawing/2014/chart" uri="{C3380CC4-5D6E-409C-BE32-E72D297353CC}">
                  <c16:uniqueId val="{00000067-0A6B-4376-88DD-AB3AC92F78D4}"/>
                </c:ext>
              </c:extLst>
            </c:dLbl>
            <c:dLbl>
              <c:idx val="102"/>
              <c:tx>
                <c:strRef>
                  <c:f>Frontend!$BR$112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{42020513-8697-471F-B989-A390EA21648A}</c15:txfldGUID>
                      <c15:f>Frontend!$BR$112</c15:f>
                      <c15:dlblFieldTableCache>
                        <c:ptCount val="1"/>
                      </c15:dlblFieldTableCache>
                    </c15:dlblFTEntry>
                  </c15:dlblFieldTable>
                  <c15:showDataLabelsRange val="0"/>
                </c:ext>
                <c:ext xmlns:c16="http://schemas.microsoft.com/office/drawing/2014/chart" uri="{C3380CC4-5D6E-409C-BE32-E72D297353CC}">
                  <c16:uniqueId val="{00000068-0A6B-4376-88DD-AB3AC92F78D4}"/>
                </c:ext>
              </c:extLst>
            </c:dLbl>
            <c:dLbl>
              <c:idx val="103"/>
              <c:tx>
                <c:strRef>
                  <c:f>Frontend!$BR$113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{A406D208-7EBB-4185-8E1B-FE749B4D16DF}</c15:txfldGUID>
                      <c15:f>Frontend!$BR$113</c15:f>
                      <c15:dlblFieldTableCache>
                        <c:ptCount val="1"/>
                      </c15:dlblFieldTableCache>
                    </c15:dlblFTEntry>
                  </c15:dlblFieldTable>
                  <c15:showDataLabelsRange val="0"/>
                </c:ext>
                <c:ext xmlns:c16="http://schemas.microsoft.com/office/drawing/2014/chart" uri="{C3380CC4-5D6E-409C-BE32-E72D297353CC}">
                  <c16:uniqueId val="{00000069-0A6B-4376-88DD-AB3AC92F78D4}"/>
                </c:ext>
              </c:extLst>
            </c:dLbl>
            <c:dLbl>
              <c:idx val="104"/>
              <c:tx>
                <c:strRef>
                  <c:f>Frontend!$BR$114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{AE574F75-41FA-4F8D-AAEF-F0238062F56F}</c15:txfldGUID>
                      <c15:f>Frontend!$BR$114</c15:f>
                      <c15:dlblFieldTableCache>
                        <c:ptCount val="1"/>
                      </c15:dlblFieldTableCache>
                    </c15:dlblFTEntry>
                  </c15:dlblFieldTable>
                  <c15:showDataLabelsRange val="0"/>
                </c:ext>
                <c:ext xmlns:c16="http://schemas.microsoft.com/office/drawing/2014/chart" uri="{C3380CC4-5D6E-409C-BE32-E72D297353CC}">
                  <c16:uniqueId val="{0000006A-0A6B-4376-88DD-AB3AC92F78D4}"/>
                </c:ext>
              </c:extLst>
            </c:dLbl>
            <c:dLbl>
              <c:idx val="105"/>
              <c:tx>
                <c:strRef>
                  <c:f>Frontend!$BR$115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{F50B9028-95F2-41C0-A87A-94B9C73747F0}</c15:txfldGUID>
                      <c15:f>Frontend!$BR$115</c15:f>
                      <c15:dlblFieldTableCache>
                        <c:ptCount val="1"/>
                      </c15:dlblFieldTableCache>
                    </c15:dlblFTEntry>
                  </c15:dlblFieldTable>
                  <c15:showDataLabelsRange val="0"/>
                </c:ext>
                <c:ext xmlns:c16="http://schemas.microsoft.com/office/drawing/2014/chart" uri="{C3380CC4-5D6E-409C-BE32-E72D297353CC}">
                  <c16:uniqueId val="{0000006B-0A6B-4376-88DD-AB3AC92F78D4}"/>
                </c:ext>
              </c:extLst>
            </c:dLbl>
            <c:dLbl>
              <c:idx val="106"/>
              <c:tx>
                <c:strRef>
                  <c:f>Frontend!$BR$116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{1F2C761D-F537-46B1-960D-D7668BA46533}</c15:txfldGUID>
                      <c15:f>Frontend!$BR$116</c15:f>
                      <c15:dlblFieldTableCache>
                        <c:ptCount val="1"/>
                      </c15:dlblFieldTableCache>
                    </c15:dlblFTEntry>
                  </c15:dlblFieldTable>
                  <c15:showDataLabelsRange val="0"/>
                </c:ext>
                <c:ext xmlns:c16="http://schemas.microsoft.com/office/drawing/2014/chart" uri="{C3380CC4-5D6E-409C-BE32-E72D297353CC}">
                  <c16:uniqueId val="{0000006C-0A6B-4376-88DD-AB3AC92F78D4}"/>
                </c:ext>
              </c:extLst>
            </c:dLbl>
            <c:dLbl>
              <c:idx val="107"/>
              <c:tx>
                <c:strRef>
                  <c:f>Frontend!$BR$117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{1A66DA3B-216D-4A9E-B867-78FF92333DCB}</c15:txfldGUID>
                      <c15:f>Frontend!$BR$117</c15:f>
                      <c15:dlblFieldTableCache>
                        <c:ptCount val="1"/>
                      </c15:dlblFieldTableCache>
                    </c15:dlblFTEntry>
                  </c15:dlblFieldTable>
                  <c15:showDataLabelsRange val="0"/>
                </c:ext>
                <c:ext xmlns:c16="http://schemas.microsoft.com/office/drawing/2014/chart" uri="{C3380CC4-5D6E-409C-BE32-E72D297353CC}">
                  <c16:uniqueId val="{0000006D-0A6B-4376-88DD-AB3AC92F78D4}"/>
                </c:ext>
              </c:extLst>
            </c:dLbl>
            <c:dLbl>
              <c:idx val="108"/>
              <c:tx>
                <c:strRef>
                  <c:f>Frontend!$BR$118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{3A08E87F-453E-40A6-95E0-77E6C8BA3AA0}</c15:txfldGUID>
                      <c15:f>Frontend!$BR$118</c15:f>
                      <c15:dlblFieldTableCache>
                        <c:ptCount val="1"/>
                      </c15:dlblFieldTableCache>
                    </c15:dlblFTEntry>
                  </c15:dlblFieldTable>
                  <c15:showDataLabelsRange val="0"/>
                </c:ext>
                <c:ext xmlns:c16="http://schemas.microsoft.com/office/drawing/2014/chart" uri="{C3380CC4-5D6E-409C-BE32-E72D297353CC}">
                  <c16:uniqueId val="{0000006E-0A6B-4376-88DD-AB3AC92F78D4}"/>
                </c:ext>
              </c:extLst>
            </c:dLbl>
            <c:dLbl>
              <c:idx val="109"/>
              <c:tx>
                <c:strRef>
                  <c:f>Frontend!$BR$119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{E4DEEBEA-F7E4-47F5-8F33-DEE2ADAF6307}</c15:txfldGUID>
                      <c15:f>Frontend!$BR$119</c15:f>
                      <c15:dlblFieldTableCache>
                        <c:ptCount val="1"/>
                      </c15:dlblFieldTableCache>
                    </c15:dlblFTEntry>
                  </c15:dlblFieldTable>
                  <c15:showDataLabelsRange val="0"/>
                </c:ext>
                <c:ext xmlns:c16="http://schemas.microsoft.com/office/drawing/2014/chart" uri="{C3380CC4-5D6E-409C-BE32-E72D297353CC}">
                  <c16:uniqueId val="{0000006F-0A6B-4376-88DD-AB3AC92F78D4}"/>
                </c:ext>
              </c:extLst>
            </c:dLbl>
            <c:dLbl>
              <c:idx val="110"/>
              <c:tx>
                <c:strRef>
                  <c:f>Frontend!$BR$120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{AAC81AD7-5C97-4E79-916D-975A9F52C4E4}</c15:txfldGUID>
                      <c15:f>Frontend!$BR$120</c15:f>
                      <c15:dlblFieldTableCache>
                        <c:ptCount val="1"/>
                      </c15:dlblFieldTableCache>
                    </c15:dlblFTEntry>
                  </c15:dlblFieldTable>
                  <c15:showDataLabelsRange val="0"/>
                </c:ext>
                <c:ext xmlns:c16="http://schemas.microsoft.com/office/drawing/2014/chart" uri="{C3380CC4-5D6E-409C-BE32-E72D297353CC}">
                  <c16:uniqueId val="{00000070-0A6B-4376-88DD-AB3AC92F78D4}"/>
                </c:ext>
              </c:extLst>
            </c:dLbl>
            <c:dLbl>
              <c:idx val="111"/>
              <c:tx>
                <c:strRef>
                  <c:f>Frontend!$BR$121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{0CD0B6E7-9D0D-4E02-9156-829AAEE711C4}</c15:txfldGUID>
                      <c15:f>Frontend!$BR$121</c15:f>
                      <c15:dlblFieldTableCache>
                        <c:ptCount val="1"/>
                      </c15:dlblFieldTableCache>
                    </c15:dlblFTEntry>
                  </c15:dlblFieldTable>
                  <c15:showDataLabelsRange val="0"/>
                </c:ext>
                <c:ext xmlns:c16="http://schemas.microsoft.com/office/drawing/2014/chart" uri="{C3380CC4-5D6E-409C-BE32-E72D297353CC}">
                  <c16:uniqueId val="{00000071-0A6B-4376-88DD-AB3AC92F78D4}"/>
                </c:ext>
              </c:extLst>
            </c:dLbl>
            <c:dLbl>
              <c:idx val="112"/>
              <c:tx>
                <c:strRef>
                  <c:f>Frontend!$BR$122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{C3256F95-9356-4559-886D-8AFCB84007E4}</c15:txfldGUID>
                      <c15:f>Frontend!$BR$122</c15:f>
                      <c15:dlblFieldTableCache>
                        <c:ptCount val="1"/>
                      </c15:dlblFieldTableCache>
                    </c15:dlblFTEntry>
                  </c15:dlblFieldTable>
                  <c15:showDataLabelsRange val="0"/>
                </c:ext>
                <c:ext xmlns:c16="http://schemas.microsoft.com/office/drawing/2014/chart" uri="{C3380CC4-5D6E-409C-BE32-E72D297353CC}">
                  <c16:uniqueId val="{00000072-0A6B-4376-88DD-AB3AC92F78D4}"/>
                </c:ext>
              </c:extLst>
            </c:dLbl>
            <c:dLbl>
              <c:idx val="113"/>
              <c:tx>
                <c:strRef>
                  <c:f>Frontend!$BR$123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{4FC444E9-FA92-4F61-9599-BEC385B95C4A}</c15:txfldGUID>
                      <c15:f>Frontend!$BR$123</c15:f>
                      <c15:dlblFieldTableCache>
                        <c:ptCount val="1"/>
                      </c15:dlblFieldTableCache>
                    </c15:dlblFTEntry>
                  </c15:dlblFieldTable>
                  <c15:showDataLabelsRange val="0"/>
                </c:ext>
                <c:ext xmlns:c16="http://schemas.microsoft.com/office/drawing/2014/chart" uri="{C3380CC4-5D6E-409C-BE32-E72D297353CC}">
                  <c16:uniqueId val="{00000073-0A6B-4376-88DD-AB3AC92F78D4}"/>
                </c:ext>
              </c:extLst>
            </c:dLbl>
            <c:dLbl>
              <c:idx val="114"/>
              <c:tx>
                <c:strRef>
                  <c:f>Frontend!$BR$124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{2836D59A-F315-4E79-8749-4ABD079A64EB}</c15:txfldGUID>
                      <c15:f>Frontend!$BR$124</c15:f>
                      <c15:dlblFieldTableCache>
                        <c:ptCount val="1"/>
                      </c15:dlblFieldTableCache>
                    </c15:dlblFTEntry>
                  </c15:dlblFieldTable>
                  <c15:showDataLabelsRange val="0"/>
                </c:ext>
                <c:ext xmlns:c16="http://schemas.microsoft.com/office/drawing/2014/chart" uri="{C3380CC4-5D6E-409C-BE32-E72D297353CC}">
                  <c16:uniqueId val="{00000074-0A6B-4376-88DD-AB3AC92F78D4}"/>
                </c:ext>
              </c:extLst>
            </c:dLbl>
            <c:dLbl>
              <c:idx val="115"/>
              <c:tx>
                <c:strRef>
                  <c:f>Frontend!$BR$125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{F5783D00-0F4B-44B1-A40B-6FDEE8848009}</c15:txfldGUID>
                      <c15:f>Frontend!$BR$125</c15:f>
                      <c15:dlblFieldTableCache>
                        <c:ptCount val="1"/>
                      </c15:dlblFieldTableCache>
                    </c15:dlblFTEntry>
                  </c15:dlblFieldTable>
                  <c15:showDataLabelsRange val="0"/>
                </c:ext>
                <c:ext xmlns:c16="http://schemas.microsoft.com/office/drawing/2014/chart" uri="{C3380CC4-5D6E-409C-BE32-E72D297353CC}">
                  <c16:uniqueId val="{00000075-0A6B-4376-88DD-AB3AC92F78D4}"/>
                </c:ext>
              </c:extLst>
            </c:dLbl>
            <c:dLbl>
              <c:idx val="116"/>
              <c:tx>
                <c:strRef>
                  <c:f>Frontend!$BR$126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{BA44E821-3FD5-447E-824E-00A59CFBA6D7}</c15:txfldGUID>
                      <c15:f>Frontend!$BR$126</c15:f>
                      <c15:dlblFieldTableCache>
                        <c:ptCount val="1"/>
                      </c15:dlblFieldTableCache>
                    </c15:dlblFTEntry>
                  </c15:dlblFieldTable>
                  <c15:showDataLabelsRange val="0"/>
                </c:ext>
                <c:ext xmlns:c16="http://schemas.microsoft.com/office/drawing/2014/chart" uri="{C3380CC4-5D6E-409C-BE32-E72D297353CC}">
                  <c16:uniqueId val="{00000076-0A6B-4376-88DD-AB3AC92F78D4}"/>
                </c:ext>
              </c:extLst>
            </c:dLbl>
            <c:dLbl>
              <c:idx val="117"/>
              <c:tx>
                <c:strRef>
                  <c:f>Frontend!$BR$127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{425B8FB1-20B7-415E-A3C9-77CF2335D83A}</c15:txfldGUID>
                      <c15:f>Frontend!$BR$127</c15:f>
                      <c15:dlblFieldTableCache>
                        <c:ptCount val="1"/>
                      </c15:dlblFieldTableCache>
                    </c15:dlblFTEntry>
                  </c15:dlblFieldTable>
                  <c15:showDataLabelsRange val="0"/>
                </c:ext>
                <c:ext xmlns:c16="http://schemas.microsoft.com/office/drawing/2014/chart" uri="{C3380CC4-5D6E-409C-BE32-E72D297353CC}">
                  <c16:uniqueId val="{00000077-0A6B-4376-88DD-AB3AC92F78D4}"/>
                </c:ext>
              </c:extLst>
            </c:dLbl>
            <c:dLbl>
              <c:idx val="118"/>
              <c:tx>
                <c:strRef>
                  <c:f>Frontend!$BR$128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{CA9D32C8-C6D6-433B-83F8-C72FD249FD7D}</c15:txfldGUID>
                      <c15:f>Frontend!$BR$128</c15:f>
                      <c15:dlblFieldTableCache>
                        <c:ptCount val="1"/>
                      </c15:dlblFieldTableCache>
                    </c15:dlblFTEntry>
                  </c15:dlblFieldTable>
                  <c15:showDataLabelsRange val="0"/>
                </c:ext>
                <c:ext xmlns:c16="http://schemas.microsoft.com/office/drawing/2014/chart" uri="{C3380CC4-5D6E-409C-BE32-E72D297353CC}">
                  <c16:uniqueId val="{00000078-0A6B-4376-88DD-AB3AC92F78D4}"/>
                </c:ext>
              </c:extLst>
            </c:dLbl>
            <c:dLbl>
              <c:idx val="119"/>
              <c:tx>
                <c:strRef>
                  <c:f>Frontend!$BR$129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{28BCBAF4-40DD-4948-ACCA-437E2973F31E}</c15:txfldGUID>
                      <c15:f>Frontend!$BR$129</c15:f>
                      <c15:dlblFieldTableCache>
                        <c:ptCount val="1"/>
                      </c15:dlblFieldTableCache>
                    </c15:dlblFTEntry>
                  </c15:dlblFieldTable>
                  <c15:showDataLabelsRange val="0"/>
                </c:ext>
                <c:ext xmlns:c16="http://schemas.microsoft.com/office/drawing/2014/chart" uri="{C3380CC4-5D6E-409C-BE32-E72D297353CC}">
                  <c16:uniqueId val="{00000079-0A6B-4376-88DD-AB3AC92F78D4}"/>
                </c:ext>
              </c:extLst>
            </c:dLbl>
            <c:dLbl>
              <c:idx val="120"/>
              <c:tx>
                <c:strRef>
                  <c:f>Frontend!$BR$130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{FD7A2E4C-FA27-4BFA-9ABA-CC01A2BF658D}</c15:txfldGUID>
                      <c15:f>Frontend!$BR$130</c15:f>
                      <c15:dlblFieldTableCache>
                        <c:ptCount val="1"/>
                      </c15:dlblFieldTableCache>
                    </c15:dlblFTEntry>
                  </c15:dlblFieldTable>
                  <c15:showDataLabelsRange val="0"/>
                </c:ext>
                <c:ext xmlns:c16="http://schemas.microsoft.com/office/drawing/2014/chart" uri="{C3380CC4-5D6E-409C-BE32-E72D297353CC}">
                  <c16:uniqueId val="{0000007A-0A6B-4376-88DD-AB3AC92F78D4}"/>
                </c:ext>
              </c:extLst>
            </c:dLbl>
            <c:dLbl>
              <c:idx val="121"/>
              <c:tx>
                <c:strRef>
                  <c:f>Frontend!$BR$131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{49B48386-815B-4A89-AFD4-C8A01C798AFF}</c15:txfldGUID>
                      <c15:f>Frontend!$BR$131</c15:f>
                      <c15:dlblFieldTableCache>
                        <c:ptCount val="1"/>
                      </c15:dlblFieldTableCache>
                    </c15:dlblFTEntry>
                  </c15:dlblFieldTable>
                  <c15:showDataLabelsRange val="0"/>
                </c:ext>
                <c:ext xmlns:c16="http://schemas.microsoft.com/office/drawing/2014/chart" uri="{C3380CC4-5D6E-409C-BE32-E72D297353CC}">
                  <c16:uniqueId val="{0000007B-0A6B-4376-88DD-AB3AC92F78D4}"/>
                </c:ext>
              </c:extLst>
            </c:dLbl>
            <c:dLbl>
              <c:idx val="122"/>
              <c:tx>
                <c:strRef>
                  <c:f>Frontend!$BR$132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{F48AE5AA-A7E6-487D-A833-6D336EECB4D4}</c15:txfldGUID>
                      <c15:f>Frontend!$BR$132</c15:f>
                      <c15:dlblFieldTableCache>
                        <c:ptCount val="1"/>
                      </c15:dlblFieldTableCache>
                    </c15:dlblFTEntry>
                  </c15:dlblFieldTable>
                  <c15:showDataLabelsRange val="0"/>
                </c:ext>
                <c:ext xmlns:c16="http://schemas.microsoft.com/office/drawing/2014/chart" uri="{C3380CC4-5D6E-409C-BE32-E72D297353CC}">
                  <c16:uniqueId val="{0000007C-0A6B-4376-88DD-AB3AC92F78D4}"/>
                </c:ext>
              </c:extLst>
            </c:dLbl>
            <c:dLbl>
              <c:idx val="123"/>
              <c:tx>
                <c:strRef>
                  <c:f>Frontend!$BR$133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{57B2623A-A891-458C-B448-BB3DC0004040}</c15:txfldGUID>
                      <c15:f>Frontend!$BR$133</c15:f>
                      <c15:dlblFieldTableCache>
                        <c:ptCount val="1"/>
                      </c15:dlblFieldTableCache>
                    </c15:dlblFTEntry>
                  </c15:dlblFieldTable>
                  <c15:showDataLabelsRange val="0"/>
                </c:ext>
                <c:ext xmlns:c16="http://schemas.microsoft.com/office/drawing/2014/chart" uri="{C3380CC4-5D6E-409C-BE32-E72D297353CC}">
                  <c16:uniqueId val="{0000007D-0A6B-4376-88DD-AB3AC92F78D4}"/>
                </c:ext>
              </c:extLst>
            </c:dLbl>
            <c:dLbl>
              <c:idx val="124"/>
              <c:tx>
                <c:strRef>
                  <c:f>Frontend!$BR$134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{5A4FB947-E458-4AF9-B473-2158F72E2BA7}</c15:txfldGUID>
                      <c15:f>Frontend!$BR$134</c15:f>
                      <c15:dlblFieldTableCache>
                        <c:ptCount val="1"/>
                      </c15:dlblFieldTableCache>
                    </c15:dlblFTEntry>
                  </c15:dlblFieldTable>
                  <c15:showDataLabelsRange val="0"/>
                </c:ext>
                <c:ext xmlns:c16="http://schemas.microsoft.com/office/drawing/2014/chart" uri="{C3380CC4-5D6E-409C-BE32-E72D297353CC}">
                  <c16:uniqueId val="{0000007E-0A6B-4376-88DD-AB3AC92F78D4}"/>
                </c:ext>
              </c:extLst>
            </c:dLbl>
            <c:dLbl>
              <c:idx val="125"/>
              <c:tx>
                <c:strRef>
                  <c:f>Frontend!$BR$135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{7AFA3CE2-42EA-4FC0-A613-F97FDDA96DDE}</c15:txfldGUID>
                      <c15:f>Frontend!$BR$135</c15:f>
                      <c15:dlblFieldTableCache>
                        <c:ptCount val="1"/>
                      </c15:dlblFieldTableCache>
                    </c15:dlblFTEntry>
                  </c15:dlblFieldTable>
                  <c15:showDataLabelsRange val="0"/>
                </c:ext>
                <c:ext xmlns:c16="http://schemas.microsoft.com/office/drawing/2014/chart" uri="{C3380CC4-5D6E-409C-BE32-E72D297353CC}">
                  <c16:uniqueId val="{0000007F-0A6B-4376-88DD-AB3AC92F78D4}"/>
                </c:ext>
              </c:extLst>
            </c:dLbl>
            <c:dLbl>
              <c:idx val="126"/>
              <c:tx>
                <c:strRef>
                  <c:f>Frontend!$BR$136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{374F5ACB-AEC1-4DB2-9924-65DB66D9124E}</c15:txfldGUID>
                      <c15:f>Frontend!$BR$136</c15:f>
                      <c15:dlblFieldTableCache>
                        <c:ptCount val="1"/>
                      </c15:dlblFieldTableCache>
                    </c15:dlblFTEntry>
                  </c15:dlblFieldTable>
                  <c15:showDataLabelsRange val="0"/>
                </c:ext>
                <c:ext xmlns:c16="http://schemas.microsoft.com/office/drawing/2014/chart" uri="{C3380CC4-5D6E-409C-BE32-E72D297353CC}">
                  <c16:uniqueId val="{00000080-0A6B-4376-88DD-AB3AC92F78D4}"/>
                </c:ext>
              </c:extLst>
            </c:dLbl>
            <c:dLbl>
              <c:idx val="127"/>
              <c:tx>
                <c:strRef>
                  <c:f>Frontend!$BR$137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{21D1F5F3-F4A5-4DC1-879C-356A0CDDA015}</c15:txfldGUID>
                      <c15:f>Frontend!$BR$137</c15:f>
                      <c15:dlblFieldTableCache>
                        <c:ptCount val="1"/>
                      </c15:dlblFieldTableCache>
                    </c15:dlblFTEntry>
                  </c15:dlblFieldTable>
                  <c15:showDataLabelsRange val="0"/>
                </c:ext>
                <c:ext xmlns:c16="http://schemas.microsoft.com/office/drawing/2014/chart" uri="{C3380CC4-5D6E-409C-BE32-E72D297353CC}">
                  <c16:uniqueId val="{00000081-0A6B-4376-88DD-AB3AC92F78D4}"/>
                </c:ext>
              </c:extLst>
            </c:dLbl>
            <c:dLbl>
              <c:idx val="128"/>
              <c:tx>
                <c:strRef>
                  <c:f>Frontend!$BR$138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{E281524D-6689-4279-A602-19299E6378B6}</c15:txfldGUID>
                      <c15:f>Frontend!$BR$138</c15:f>
                      <c15:dlblFieldTableCache>
                        <c:ptCount val="1"/>
                      </c15:dlblFieldTableCache>
                    </c15:dlblFTEntry>
                  </c15:dlblFieldTable>
                  <c15:showDataLabelsRange val="0"/>
                </c:ext>
                <c:ext xmlns:c16="http://schemas.microsoft.com/office/drawing/2014/chart" uri="{C3380CC4-5D6E-409C-BE32-E72D297353CC}">
                  <c16:uniqueId val="{00000082-0A6B-4376-88DD-AB3AC92F78D4}"/>
                </c:ext>
              </c:extLst>
            </c:dLbl>
            <c:dLbl>
              <c:idx val="129"/>
              <c:tx>
                <c:strRef>
                  <c:f>Frontend!$BR$139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{24B0FB11-0E70-483B-A6AD-1399EFF7C45C}</c15:txfldGUID>
                      <c15:f>Frontend!$BR$139</c15:f>
                      <c15:dlblFieldTableCache>
                        <c:ptCount val="1"/>
                      </c15:dlblFieldTableCache>
                    </c15:dlblFTEntry>
                  </c15:dlblFieldTable>
                  <c15:showDataLabelsRange val="0"/>
                </c:ext>
                <c:ext xmlns:c16="http://schemas.microsoft.com/office/drawing/2014/chart" uri="{C3380CC4-5D6E-409C-BE32-E72D297353CC}">
                  <c16:uniqueId val="{00000083-0A6B-4376-88DD-AB3AC92F78D4}"/>
                </c:ext>
              </c:extLst>
            </c:dLbl>
            <c:dLbl>
              <c:idx val="130"/>
              <c:tx>
                <c:strRef>
                  <c:f>Frontend!$BR$140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{CE7C8766-D653-4C33-9184-A0E7C23863DE}</c15:txfldGUID>
                      <c15:f>Frontend!$BR$140</c15:f>
                      <c15:dlblFieldTableCache>
                        <c:ptCount val="1"/>
                      </c15:dlblFieldTableCache>
                    </c15:dlblFTEntry>
                  </c15:dlblFieldTable>
                  <c15:showDataLabelsRange val="0"/>
                </c:ext>
                <c:ext xmlns:c16="http://schemas.microsoft.com/office/drawing/2014/chart" uri="{C3380CC4-5D6E-409C-BE32-E72D297353CC}">
                  <c16:uniqueId val="{00000084-0A6B-4376-88DD-AB3AC92F78D4}"/>
                </c:ext>
              </c:extLst>
            </c:dLbl>
            <c:dLbl>
              <c:idx val="131"/>
              <c:tx>
                <c:strRef>
                  <c:f>Frontend!$BR$141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{16647EFD-47BC-45FD-8CCC-9E5ED40E6F25}</c15:txfldGUID>
                      <c15:f>Frontend!$BR$141</c15:f>
                      <c15:dlblFieldTableCache>
                        <c:ptCount val="1"/>
                      </c15:dlblFieldTableCache>
                    </c15:dlblFTEntry>
                  </c15:dlblFieldTable>
                  <c15:showDataLabelsRange val="0"/>
                </c:ext>
                <c:ext xmlns:c16="http://schemas.microsoft.com/office/drawing/2014/chart" uri="{C3380CC4-5D6E-409C-BE32-E72D297353CC}">
                  <c16:uniqueId val="{00000085-0A6B-4376-88DD-AB3AC92F78D4}"/>
                </c:ext>
              </c:extLst>
            </c:dLbl>
            <c:dLbl>
              <c:idx val="132"/>
              <c:tx>
                <c:strRef>
                  <c:f>Frontend!$BR$142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{DB0D8DFF-B6C9-4205-8EB8-1D027ACB323C}</c15:txfldGUID>
                      <c15:f>Frontend!$BR$142</c15:f>
                      <c15:dlblFieldTableCache>
                        <c:ptCount val="1"/>
                      </c15:dlblFieldTableCache>
                    </c15:dlblFTEntry>
                  </c15:dlblFieldTable>
                  <c15:showDataLabelsRange val="0"/>
                </c:ext>
                <c:ext xmlns:c16="http://schemas.microsoft.com/office/drawing/2014/chart" uri="{C3380CC4-5D6E-409C-BE32-E72D297353CC}">
                  <c16:uniqueId val="{00000086-0A6B-4376-88DD-AB3AC92F78D4}"/>
                </c:ext>
              </c:extLst>
            </c:dLbl>
            <c:dLbl>
              <c:idx val="133"/>
              <c:tx>
                <c:strRef>
                  <c:f>Frontend!$BR$143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{9C8B6DAC-5931-4AB5-A905-8982752ADF13}</c15:txfldGUID>
                      <c15:f>Frontend!$BR$143</c15:f>
                      <c15:dlblFieldTableCache>
                        <c:ptCount val="1"/>
                      </c15:dlblFieldTableCache>
                    </c15:dlblFTEntry>
                  </c15:dlblFieldTable>
                  <c15:showDataLabelsRange val="0"/>
                </c:ext>
                <c:ext xmlns:c16="http://schemas.microsoft.com/office/drawing/2014/chart" uri="{C3380CC4-5D6E-409C-BE32-E72D297353CC}">
                  <c16:uniqueId val="{00000087-0A6B-4376-88DD-AB3AC92F78D4}"/>
                </c:ext>
              </c:extLst>
            </c:dLbl>
            <c:dLbl>
              <c:idx val="134"/>
              <c:tx>
                <c:strRef>
                  <c:f>Frontend!$BR$144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{2361019D-3A22-4EFB-BC3A-A84DF6B19ABD}</c15:txfldGUID>
                      <c15:f>Frontend!$BR$144</c15:f>
                      <c15:dlblFieldTableCache>
                        <c:ptCount val="1"/>
                      </c15:dlblFieldTableCache>
                    </c15:dlblFTEntry>
                  </c15:dlblFieldTable>
                  <c15:showDataLabelsRange val="0"/>
                </c:ext>
                <c:ext xmlns:c16="http://schemas.microsoft.com/office/drawing/2014/chart" uri="{C3380CC4-5D6E-409C-BE32-E72D297353CC}">
                  <c16:uniqueId val="{00000088-0A6B-4376-88DD-AB3AC92F78D4}"/>
                </c:ext>
              </c:extLst>
            </c:dLbl>
            <c:dLbl>
              <c:idx val="135"/>
              <c:tx>
                <c:strRef>
                  <c:f>Frontend!$BR$145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{4CA7D62E-E162-48FC-8399-5B927089856F}</c15:txfldGUID>
                      <c15:f>Frontend!$BR$145</c15:f>
                      <c15:dlblFieldTableCache>
                        <c:ptCount val="1"/>
                      </c15:dlblFieldTableCache>
                    </c15:dlblFTEntry>
                  </c15:dlblFieldTable>
                  <c15:showDataLabelsRange val="0"/>
                </c:ext>
                <c:ext xmlns:c16="http://schemas.microsoft.com/office/drawing/2014/chart" uri="{C3380CC4-5D6E-409C-BE32-E72D297353CC}">
                  <c16:uniqueId val="{00000089-0A6B-4376-88DD-AB3AC92F78D4}"/>
                </c:ext>
              </c:extLst>
            </c:dLbl>
            <c:dLbl>
              <c:idx val="136"/>
              <c:tx>
                <c:strRef>
                  <c:f>Frontend!$BR$146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{9A1B1615-8107-40FA-8BA0-3A4EC010080E}</c15:txfldGUID>
                      <c15:f>Frontend!$BR$146</c15:f>
                      <c15:dlblFieldTableCache>
                        <c:ptCount val="1"/>
                      </c15:dlblFieldTableCache>
                    </c15:dlblFTEntry>
                  </c15:dlblFieldTable>
                  <c15:showDataLabelsRange val="0"/>
                </c:ext>
                <c:ext xmlns:c16="http://schemas.microsoft.com/office/drawing/2014/chart" uri="{C3380CC4-5D6E-409C-BE32-E72D297353CC}">
                  <c16:uniqueId val="{0000008A-0A6B-4376-88DD-AB3AC92F78D4}"/>
                </c:ext>
              </c:extLst>
            </c:dLbl>
            <c:dLbl>
              <c:idx val="137"/>
              <c:tx>
                <c:strRef>
                  <c:f>Frontend!$BR$147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{04F433D3-B59D-4E23-B755-875E2BDC469F}</c15:txfldGUID>
                      <c15:f>Frontend!$BR$147</c15:f>
                      <c15:dlblFieldTableCache>
                        <c:ptCount val="1"/>
                      </c15:dlblFieldTableCache>
                    </c15:dlblFTEntry>
                  </c15:dlblFieldTable>
                  <c15:showDataLabelsRange val="0"/>
                </c:ext>
                <c:ext xmlns:c16="http://schemas.microsoft.com/office/drawing/2014/chart" uri="{C3380CC4-5D6E-409C-BE32-E72D297353CC}">
                  <c16:uniqueId val="{0000008B-0A6B-4376-88DD-AB3AC92F78D4}"/>
                </c:ext>
              </c:extLst>
            </c:dLbl>
            <c:dLbl>
              <c:idx val="138"/>
              <c:tx>
                <c:strRef>
                  <c:f>Frontend!$BR$148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{7ABD0734-5D15-46EE-B91E-81376BCC04CC}</c15:txfldGUID>
                      <c15:f>Frontend!$BR$148</c15:f>
                      <c15:dlblFieldTableCache>
                        <c:ptCount val="1"/>
                      </c15:dlblFieldTableCache>
                    </c15:dlblFTEntry>
                  </c15:dlblFieldTable>
                  <c15:showDataLabelsRange val="0"/>
                </c:ext>
                <c:ext xmlns:c16="http://schemas.microsoft.com/office/drawing/2014/chart" uri="{C3380CC4-5D6E-409C-BE32-E72D297353CC}">
                  <c16:uniqueId val="{0000008C-0A6B-4376-88DD-AB3AC92F78D4}"/>
                </c:ext>
              </c:extLst>
            </c:dLbl>
            <c:dLbl>
              <c:idx val="139"/>
              <c:tx>
                <c:strRef>
                  <c:f>Frontend!$BR$149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{9258A361-54FF-45BB-BEBC-C9A973C4B589}</c15:txfldGUID>
                      <c15:f>Frontend!$BR$149</c15:f>
                      <c15:dlblFieldTableCache>
                        <c:ptCount val="1"/>
                      </c15:dlblFieldTableCache>
                    </c15:dlblFTEntry>
                  </c15:dlblFieldTable>
                  <c15:showDataLabelsRange val="0"/>
                </c:ext>
                <c:ext xmlns:c16="http://schemas.microsoft.com/office/drawing/2014/chart" uri="{C3380CC4-5D6E-409C-BE32-E72D297353CC}">
                  <c16:uniqueId val="{0000008D-0A6B-4376-88DD-AB3AC92F78D4}"/>
                </c:ext>
              </c:extLst>
            </c:dLbl>
            <c:dLbl>
              <c:idx val="140"/>
              <c:tx>
                <c:strRef>
                  <c:f>Frontend!$BR$150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{84E06495-E912-4F17-B4B1-91922DAE2C9F}</c15:txfldGUID>
                      <c15:f>Frontend!$BR$150</c15:f>
                      <c15:dlblFieldTableCache>
                        <c:ptCount val="1"/>
                      </c15:dlblFieldTableCache>
                    </c15:dlblFTEntry>
                  </c15:dlblFieldTable>
                  <c15:showDataLabelsRange val="0"/>
                </c:ext>
                <c:ext xmlns:c16="http://schemas.microsoft.com/office/drawing/2014/chart" uri="{C3380CC4-5D6E-409C-BE32-E72D297353CC}">
                  <c16:uniqueId val="{0000008E-0A6B-4376-88DD-AB3AC92F78D4}"/>
                </c:ext>
              </c:extLst>
            </c:dLbl>
            <c:dLbl>
              <c:idx val="141"/>
              <c:tx>
                <c:strRef>
                  <c:f>Frontend!$BR$151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{960CCA38-14B4-48C3-A25C-E2874D6A2CA1}</c15:txfldGUID>
                      <c15:f>Frontend!$BR$151</c15:f>
                      <c15:dlblFieldTableCache>
                        <c:ptCount val="1"/>
                      </c15:dlblFieldTableCache>
                    </c15:dlblFTEntry>
                  </c15:dlblFieldTable>
                  <c15:showDataLabelsRange val="0"/>
                </c:ext>
                <c:ext xmlns:c16="http://schemas.microsoft.com/office/drawing/2014/chart" uri="{C3380CC4-5D6E-409C-BE32-E72D297353CC}">
                  <c16:uniqueId val="{0000008F-0A6B-4376-88DD-AB3AC92F78D4}"/>
                </c:ext>
              </c:extLst>
            </c:dLbl>
            <c:dLbl>
              <c:idx val="142"/>
              <c:tx>
                <c:strRef>
                  <c:f>Frontend!$BR$152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{93F77D84-CC64-4CB9-B475-C5AD7B82F436}</c15:txfldGUID>
                      <c15:f>Frontend!$BR$152</c15:f>
                      <c15:dlblFieldTableCache>
                        <c:ptCount val="1"/>
                      </c15:dlblFieldTableCache>
                    </c15:dlblFTEntry>
                  </c15:dlblFieldTable>
                  <c15:showDataLabelsRange val="0"/>
                </c:ext>
                <c:ext xmlns:c16="http://schemas.microsoft.com/office/drawing/2014/chart" uri="{C3380CC4-5D6E-409C-BE32-E72D297353CC}">
                  <c16:uniqueId val="{00000090-0A6B-4376-88DD-AB3AC92F78D4}"/>
                </c:ext>
              </c:extLst>
            </c:dLbl>
            <c:dLbl>
              <c:idx val="143"/>
              <c:tx>
                <c:strRef>
                  <c:f>Frontend!$BR$153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{4D87757B-15EC-496C-8EE7-C87842F81043}</c15:txfldGUID>
                      <c15:f>Frontend!$BR$153</c15:f>
                      <c15:dlblFieldTableCache>
                        <c:ptCount val="1"/>
                      </c15:dlblFieldTableCache>
                    </c15:dlblFTEntry>
                  </c15:dlblFieldTable>
                  <c15:showDataLabelsRange val="0"/>
                </c:ext>
                <c:ext xmlns:c16="http://schemas.microsoft.com/office/drawing/2014/chart" uri="{C3380CC4-5D6E-409C-BE32-E72D297353CC}">
                  <c16:uniqueId val="{00000091-0A6B-4376-88DD-AB3AC92F78D4}"/>
                </c:ext>
              </c:extLst>
            </c:dLbl>
            <c:dLbl>
              <c:idx val="144"/>
              <c:tx>
                <c:strRef>
                  <c:f>Frontend!$BR$154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{B8C0E8A9-4551-4855-B824-2ABE5AF898A5}</c15:txfldGUID>
                      <c15:f>Frontend!$BR$154</c15:f>
                      <c15:dlblFieldTableCache>
                        <c:ptCount val="1"/>
                      </c15:dlblFieldTableCache>
                    </c15:dlblFTEntry>
                  </c15:dlblFieldTable>
                  <c15:showDataLabelsRange val="0"/>
                </c:ext>
                <c:ext xmlns:c16="http://schemas.microsoft.com/office/drawing/2014/chart" uri="{C3380CC4-5D6E-409C-BE32-E72D297353CC}">
                  <c16:uniqueId val="{00000092-0A6B-4376-88DD-AB3AC92F78D4}"/>
                </c:ext>
              </c:extLst>
            </c:dLbl>
            <c:dLbl>
              <c:idx val="145"/>
              <c:tx>
                <c:strRef>
                  <c:f>Frontend!$BR$155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{35450A0E-3356-41B8-A318-1D0959C00CAB}</c15:txfldGUID>
                      <c15:f>Frontend!$BR$155</c15:f>
                      <c15:dlblFieldTableCache>
                        <c:ptCount val="1"/>
                      </c15:dlblFieldTableCache>
                    </c15:dlblFTEntry>
                  </c15:dlblFieldTable>
                  <c15:showDataLabelsRange val="0"/>
                </c:ext>
                <c:ext xmlns:c16="http://schemas.microsoft.com/office/drawing/2014/chart" uri="{C3380CC4-5D6E-409C-BE32-E72D297353CC}">
                  <c16:uniqueId val="{00000093-0A6B-4376-88DD-AB3AC92F78D4}"/>
                </c:ext>
              </c:extLst>
            </c:dLbl>
            <c:dLbl>
              <c:idx val="146"/>
              <c:tx>
                <c:strRef>
                  <c:f>Frontend!$BR$156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{0DA71239-864A-42A5-A061-B52AED0CB395}</c15:txfldGUID>
                      <c15:f>Frontend!$BR$156</c15:f>
                      <c15:dlblFieldTableCache>
                        <c:ptCount val="1"/>
                      </c15:dlblFieldTableCache>
                    </c15:dlblFTEntry>
                  </c15:dlblFieldTable>
                  <c15:showDataLabelsRange val="0"/>
                </c:ext>
                <c:ext xmlns:c16="http://schemas.microsoft.com/office/drawing/2014/chart" uri="{C3380CC4-5D6E-409C-BE32-E72D297353CC}">
                  <c16:uniqueId val="{00000094-0A6B-4376-88DD-AB3AC92F78D4}"/>
                </c:ext>
              </c:extLst>
            </c:dLbl>
            <c:dLbl>
              <c:idx val="147"/>
              <c:tx>
                <c:strRef>
                  <c:f>Frontend!$BR$157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{66B5F935-F66C-4172-8D55-5DC27D7F7A9C}</c15:txfldGUID>
                      <c15:f>Frontend!$BR$157</c15:f>
                      <c15:dlblFieldTableCache>
                        <c:ptCount val="1"/>
                      </c15:dlblFieldTableCache>
                    </c15:dlblFTEntry>
                  </c15:dlblFieldTable>
                  <c15:showDataLabelsRange val="0"/>
                </c:ext>
                <c:ext xmlns:c16="http://schemas.microsoft.com/office/drawing/2014/chart" uri="{C3380CC4-5D6E-409C-BE32-E72D297353CC}">
                  <c16:uniqueId val="{00000095-0A6B-4376-88DD-AB3AC92F78D4}"/>
                </c:ext>
              </c:extLst>
            </c:dLbl>
            <c:dLbl>
              <c:idx val="148"/>
              <c:tx>
                <c:strRef>
                  <c:f>Frontend!$BR$158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{A927C9A6-8D81-44AE-B1CB-AD800937990C}</c15:txfldGUID>
                      <c15:f>Frontend!$BR$158</c15:f>
                      <c15:dlblFieldTableCache>
                        <c:ptCount val="1"/>
                      </c15:dlblFieldTableCache>
                    </c15:dlblFTEntry>
                  </c15:dlblFieldTable>
                  <c15:showDataLabelsRange val="0"/>
                </c:ext>
                <c:ext xmlns:c16="http://schemas.microsoft.com/office/drawing/2014/chart" uri="{C3380CC4-5D6E-409C-BE32-E72D297353CC}">
                  <c16:uniqueId val="{00000096-0A6B-4376-88DD-AB3AC92F78D4}"/>
                </c:ext>
              </c:extLst>
            </c:dLbl>
            <c:dLbl>
              <c:idx val="149"/>
              <c:tx>
                <c:strRef>
                  <c:f>Frontend!$BR$159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{EAE99334-B81B-4AE9-902D-AC861D95A211}</c15:txfldGUID>
                      <c15:f>Frontend!$BR$159</c15:f>
                      <c15:dlblFieldTableCache>
                        <c:ptCount val="1"/>
                      </c15:dlblFieldTableCache>
                    </c15:dlblFTEntry>
                  </c15:dlblFieldTable>
                  <c15:showDataLabelsRange val="0"/>
                </c:ext>
                <c:ext xmlns:c16="http://schemas.microsoft.com/office/drawing/2014/chart" uri="{C3380CC4-5D6E-409C-BE32-E72D297353CC}">
                  <c16:uniqueId val="{00000097-0A6B-4376-88DD-AB3AC92F78D4}"/>
                </c:ext>
              </c:extLst>
            </c:dLbl>
            <c:dLbl>
              <c:idx val="150"/>
              <c:tx>
                <c:strRef>
                  <c:f>Frontend!$BR$160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{0988B66E-B0EE-4970-9E50-2981BBE0477D}</c15:txfldGUID>
                      <c15:f>Frontend!$BR$160</c15:f>
                      <c15:dlblFieldTableCache>
                        <c:ptCount val="1"/>
                      </c15:dlblFieldTableCache>
                    </c15:dlblFTEntry>
                  </c15:dlblFieldTable>
                  <c15:showDataLabelsRange val="0"/>
                </c:ext>
                <c:ext xmlns:c16="http://schemas.microsoft.com/office/drawing/2014/chart" uri="{C3380CC4-5D6E-409C-BE32-E72D297353CC}">
                  <c16:uniqueId val="{00000098-0A6B-4376-88DD-AB3AC92F78D4}"/>
                </c:ext>
              </c:extLst>
            </c:dLbl>
            <c:dLbl>
              <c:idx val="151"/>
              <c:tx>
                <c:strRef>
                  <c:f>Frontend!$BR$161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{444DB460-6D03-4C0D-B4DC-CAB9B53AF167}</c15:txfldGUID>
                      <c15:f>Frontend!$BR$161</c15:f>
                      <c15:dlblFieldTableCache>
                        <c:ptCount val="1"/>
                      </c15:dlblFieldTableCache>
                    </c15:dlblFTEntry>
                  </c15:dlblFieldTable>
                  <c15:showDataLabelsRange val="0"/>
                </c:ext>
                <c:ext xmlns:c16="http://schemas.microsoft.com/office/drawing/2014/chart" uri="{C3380CC4-5D6E-409C-BE32-E72D297353CC}">
                  <c16:uniqueId val="{00000099-0A6B-4376-88DD-AB3AC92F78D4}"/>
                </c:ext>
              </c:extLst>
            </c:dLbl>
            <c:dLbl>
              <c:idx val="152"/>
              <c:tx>
                <c:strRef>
                  <c:f>Frontend!$BR$162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{2C92832D-24A2-4A60-B5F9-68877F32C43C}</c15:txfldGUID>
                      <c15:f>Frontend!$BR$162</c15:f>
                      <c15:dlblFieldTableCache>
                        <c:ptCount val="1"/>
                      </c15:dlblFieldTableCache>
                    </c15:dlblFTEntry>
                  </c15:dlblFieldTable>
                  <c15:showDataLabelsRange val="0"/>
                </c:ext>
                <c:ext xmlns:c16="http://schemas.microsoft.com/office/drawing/2014/chart" uri="{C3380CC4-5D6E-409C-BE32-E72D297353CC}">
                  <c16:uniqueId val="{0000009A-0A6B-4376-88DD-AB3AC92F78D4}"/>
                </c:ext>
              </c:extLst>
            </c:dLbl>
            <c:dLbl>
              <c:idx val="153"/>
              <c:tx>
                <c:strRef>
                  <c:f>Frontend!$BR$163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{B921A403-920B-4FE6-8BBB-AA172A3BDC51}</c15:txfldGUID>
                      <c15:f>Frontend!$BR$163</c15:f>
                      <c15:dlblFieldTableCache>
                        <c:ptCount val="1"/>
                      </c15:dlblFieldTableCache>
                    </c15:dlblFTEntry>
                  </c15:dlblFieldTable>
                  <c15:showDataLabelsRange val="0"/>
                </c:ext>
                <c:ext xmlns:c16="http://schemas.microsoft.com/office/drawing/2014/chart" uri="{C3380CC4-5D6E-409C-BE32-E72D297353CC}">
                  <c16:uniqueId val="{0000009B-0A6B-4376-88DD-AB3AC92F78D4}"/>
                </c:ext>
              </c:extLst>
            </c:dLbl>
            <c:dLbl>
              <c:idx val="154"/>
              <c:tx>
                <c:strRef>
                  <c:f>Frontend!$BR$164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{46936561-0A40-4555-B2CE-979D1AB7691D}</c15:txfldGUID>
                      <c15:f>Frontend!$BR$164</c15:f>
                      <c15:dlblFieldTableCache>
                        <c:ptCount val="1"/>
                      </c15:dlblFieldTableCache>
                    </c15:dlblFTEntry>
                  </c15:dlblFieldTable>
                  <c15:showDataLabelsRange val="0"/>
                </c:ext>
                <c:ext xmlns:c16="http://schemas.microsoft.com/office/drawing/2014/chart" uri="{C3380CC4-5D6E-409C-BE32-E72D297353CC}">
                  <c16:uniqueId val="{0000009C-0A6B-4376-88DD-AB3AC92F78D4}"/>
                </c:ext>
              </c:extLst>
            </c:dLbl>
            <c:dLbl>
              <c:idx val="155"/>
              <c:tx>
                <c:strRef>
                  <c:f>Frontend!$BR$165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{3781DED7-A140-4C65-BBAC-B8051A23E19E}</c15:txfldGUID>
                      <c15:f>Frontend!$BR$165</c15:f>
                      <c15:dlblFieldTableCache>
                        <c:ptCount val="1"/>
                      </c15:dlblFieldTableCache>
                    </c15:dlblFTEntry>
                  </c15:dlblFieldTable>
                  <c15:showDataLabelsRange val="0"/>
                </c:ext>
                <c:ext xmlns:c16="http://schemas.microsoft.com/office/drawing/2014/chart" uri="{C3380CC4-5D6E-409C-BE32-E72D297353CC}">
                  <c16:uniqueId val="{0000009D-0A6B-4376-88DD-AB3AC92F78D4}"/>
                </c:ext>
              </c:extLst>
            </c:dLbl>
            <c:dLbl>
              <c:idx val="156"/>
              <c:tx>
                <c:strRef>
                  <c:f>Frontend!$BR$166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{C3EF1014-1529-4929-906C-C36F74553B2A}</c15:txfldGUID>
                      <c15:f>Frontend!$BR$166</c15:f>
                      <c15:dlblFieldTableCache>
                        <c:ptCount val="1"/>
                      </c15:dlblFieldTableCache>
                    </c15:dlblFTEntry>
                  </c15:dlblFieldTable>
                  <c15:showDataLabelsRange val="0"/>
                </c:ext>
                <c:ext xmlns:c16="http://schemas.microsoft.com/office/drawing/2014/chart" uri="{C3380CC4-5D6E-409C-BE32-E72D297353CC}">
                  <c16:uniqueId val="{0000009E-0A6B-4376-88DD-AB3AC92F78D4}"/>
                </c:ext>
              </c:extLst>
            </c:dLbl>
            <c:dLbl>
              <c:idx val="157"/>
              <c:tx>
                <c:strRef>
                  <c:f>Frontend!$BR$167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{EDB85BEB-F4A8-4FBA-9149-232BABAAEEC3}</c15:txfldGUID>
                      <c15:f>Frontend!$BR$167</c15:f>
                      <c15:dlblFieldTableCache>
                        <c:ptCount val="1"/>
                      </c15:dlblFieldTableCache>
                    </c15:dlblFTEntry>
                  </c15:dlblFieldTable>
                  <c15:showDataLabelsRange val="0"/>
                </c:ext>
                <c:ext xmlns:c16="http://schemas.microsoft.com/office/drawing/2014/chart" uri="{C3380CC4-5D6E-409C-BE32-E72D297353CC}">
                  <c16:uniqueId val="{0000009F-0A6B-4376-88DD-AB3AC92F78D4}"/>
                </c:ext>
              </c:extLst>
            </c:dLbl>
            <c:dLbl>
              <c:idx val="158"/>
              <c:tx>
                <c:strRef>
                  <c:f>Frontend!$BR$168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{0F01522B-A336-474A-8A58-71C738EFA2C1}</c15:txfldGUID>
                      <c15:f>Frontend!$BR$168</c15:f>
                      <c15:dlblFieldTableCache>
                        <c:ptCount val="1"/>
                      </c15:dlblFieldTableCache>
                    </c15:dlblFTEntry>
                  </c15:dlblFieldTable>
                  <c15:showDataLabelsRange val="0"/>
                </c:ext>
                <c:ext xmlns:c16="http://schemas.microsoft.com/office/drawing/2014/chart" uri="{C3380CC4-5D6E-409C-BE32-E72D297353CC}">
                  <c16:uniqueId val="{000000A0-0A6B-4376-88DD-AB3AC92F78D4}"/>
                </c:ext>
              </c:extLst>
            </c:dLbl>
            <c:dLbl>
              <c:idx val="159"/>
              <c:tx>
                <c:strRef>
                  <c:f>Frontend!$BR$169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{1270308E-ECB6-4B31-8ED7-C2BE31E602B5}</c15:txfldGUID>
                      <c15:f>Frontend!$BR$169</c15:f>
                      <c15:dlblFieldTableCache>
                        <c:ptCount val="1"/>
                      </c15:dlblFieldTableCache>
                    </c15:dlblFTEntry>
                  </c15:dlblFieldTable>
                  <c15:showDataLabelsRange val="0"/>
                </c:ext>
                <c:ext xmlns:c16="http://schemas.microsoft.com/office/drawing/2014/chart" uri="{C3380CC4-5D6E-409C-BE32-E72D297353CC}">
                  <c16:uniqueId val="{000000A1-0A6B-4376-88DD-AB3AC92F78D4}"/>
                </c:ext>
              </c:extLst>
            </c:dLbl>
            <c:dLbl>
              <c:idx val="160"/>
              <c:tx>
                <c:strRef>
                  <c:f>Frontend!$BR$170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{DB1B91AB-A434-4EA0-9D70-65F3C2FC6851}</c15:txfldGUID>
                      <c15:f>Frontend!$BR$170</c15:f>
                      <c15:dlblFieldTableCache>
                        <c:ptCount val="1"/>
                      </c15:dlblFieldTableCache>
                    </c15:dlblFTEntry>
                  </c15:dlblFieldTable>
                  <c15:showDataLabelsRange val="0"/>
                </c:ext>
                <c:ext xmlns:c16="http://schemas.microsoft.com/office/drawing/2014/chart" uri="{C3380CC4-5D6E-409C-BE32-E72D297353CC}">
                  <c16:uniqueId val="{000000A2-0A6B-4376-88DD-AB3AC92F78D4}"/>
                </c:ext>
              </c:extLst>
            </c:dLbl>
            <c:dLbl>
              <c:idx val="161"/>
              <c:tx>
                <c:strRef>
                  <c:f>Frontend!$BR$171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{AC8C861F-8B46-4B4D-B8F2-34F24EA9857B}</c15:txfldGUID>
                      <c15:f>Frontend!$BR$171</c15:f>
                      <c15:dlblFieldTableCache>
                        <c:ptCount val="1"/>
                      </c15:dlblFieldTableCache>
                    </c15:dlblFTEntry>
                  </c15:dlblFieldTable>
                  <c15:showDataLabelsRange val="0"/>
                </c:ext>
                <c:ext xmlns:c16="http://schemas.microsoft.com/office/drawing/2014/chart" uri="{C3380CC4-5D6E-409C-BE32-E72D297353CC}">
                  <c16:uniqueId val="{000000A3-0A6B-4376-88DD-AB3AC92F78D4}"/>
                </c:ext>
              </c:extLst>
            </c:dLbl>
            <c:dLbl>
              <c:idx val="162"/>
              <c:tx>
                <c:strRef>
                  <c:f>Frontend!$BR$172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{D54C8774-07D5-4F5F-840E-2AD3913622B6}</c15:txfldGUID>
                      <c15:f>Frontend!$BR$172</c15:f>
                      <c15:dlblFieldTableCache>
                        <c:ptCount val="1"/>
                      </c15:dlblFieldTableCache>
                    </c15:dlblFTEntry>
                  </c15:dlblFieldTable>
                  <c15:showDataLabelsRange val="0"/>
                </c:ext>
                <c:ext xmlns:c16="http://schemas.microsoft.com/office/drawing/2014/chart" uri="{C3380CC4-5D6E-409C-BE32-E72D297353CC}">
                  <c16:uniqueId val="{000000A4-0A6B-4376-88DD-AB3AC92F78D4}"/>
                </c:ext>
              </c:extLst>
            </c:dLbl>
            <c:dLbl>
              <c:idx val="163"/>
              <c:tx>
                <c:strRef>
                  <c:f>Frontend!$BR$173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{8310C0D7-9F16-4F95-A910-82549BBEC943}</c15:txfldGUID>
                      <c15:f>Frontend!$BR$173</c15:f>
                      <c15:dlblFieldTableCache>
                        <c:ptCount val="1"/>
                      </c15:dlblFieldTableCache>
                    </c15:dlblFTEntry>
                  </c15:dlblFieldTable>
                  <c15:showDataLabelsRange val="0"/>
                </c:ext>
                <c:ext xmlns:c16="http://schemas.microsoft.com/office/drawing/2014/chart" uri="{C3380CC4-5D6E-409C-BE32-E72D297353CC}">
                  <c16:uniqueId val="{000000A5-0A6B-4376-88DD-AB3AC92F78D4}"/>
                </c:ext>
              </c:extLst>
            </c:dLbl>
            <c:dLbl>
              <c:idx val="164"/>
              <c:tx>
                <c:strRef>
                  <c:f>Frontend!$BR$174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{4D0B77BE-3033-496E-BB20-14DF317485FE}</c15:txfldGUID>
                      <c15:f>Frontend!$BR$174</c15:f>
                      <c15:dlblFieldTableCache>
                        <c:ptCount val="1"/>
                      </c15:dlblFieldTableCache>
                    </c15:dlblFTEntry>
                  </c15:dlblFieldTable>
                  <c15:showDataLabelsRange val="0"/>
                </c:ext>
                <c:ext xmlns:c16="http://schemas.microsoft.com/office/drawing/2014/chart" uri="{C3380CC4-5D6E-409C-BE32-E72D297353CC}">
                  <c16:uniqueId val="{000000A6-0A6B-4376-88DD-AB3AC92F78D4}"/>
                </c:ext>
              </c:extLst>
            </c:dLbl>
            <c:dLbl>
              <c:idx val="165"/>
              <c:tx>
                <c:strRef>
                  <c:f>Frontend!$BR$175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{33AD2636-D129-485B-B6D0-8BA15A076D1E}</c15:txfldGUID>
                      <c15:f>Frontend!$BR$175</c15:f>
                      <c15:dlblFieldTableCache>
                        <c:ptCount val="1"/>
                      </c15:dlblFieldTableCache>
                    </c15:dlblFTEntry>
                  </c15:dlblFieldTable>
                  <c15:showDataLabelsRange val="0"/>
                </c:ext>
                <c:ext xmlns:c16="http://schemas.microsoft.com/office/drawing/2014/chart" uri="{C3380CC4-5D6E-409C-BE32-E72D297353CC}">
                  <c16:uniqueId val="{000000A7-0A6B-4376-88DD-AB3AC92F78D4}"/>
                </c:ext>
              </c:extLst>
            </c:dLbl>
            <c:dLbl>
              <c:idx val="166"/>
              <c:tx>
                <c:strRef>
                  <c:f>Frontend!$BR$176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{06CAB5B4-B595-404E-93CB-97551EBB1228}</c15:txfldGUID>
                      <c15:f>Frontend!$BR$176</c15:f>
                      <c15:dlblFieldTableCache>
                        <c:ptCount val="1"/>
                      </c15:dlblFieldTableCache>
                    </c15:dlblFTEntry>
                  </c15:dlblFieldTable>
                  <c15:showDataLabelsRange val="0"/>
                </c:ext>
                <c:ext xmlns:c16="http://schemas.microsoft.com/office/drawing/2014/chart" uri="{C3380CC4-5D6E-409C-BE32-E72D297353CC}">
                  <c16:uniqueId val="{000000A8-0A6B-4376-88DD-AB3AC92F78D4}"/>
                </c:ext>
              </c:extLst>
            </c:dLbl>
            <c:dLbl>
              <c:idx val="167"/>
              <c:tx>
                <c:strRef>
                  <c:f>Frontend!$BR$177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{3EC95161-35C0-4D90-82CB-F27CC249F970}</c15:txfldGUID>
                      <c15:f>Frontend!$BR$177</c15:f>
                      <c15:dlblFieldTableCache>
                        <c:ptCount val="1"/>
                      </c15:dlblFieldTableCache>
                    </c15:dlblFTEntry>
                  </c15:dlblFieldTable>
                  <c15:showDataLabelsRange val="0"/>
                </c:ext>
                <c:ext xmlns:c16="http://schemas.microsoft.com/office/drawing/2014/chart" uri="{C3380CC4-5D6E-409C-BE32-E72D297353CC}">
                  <c16:uniqueId val="{000000A9-0A6B-4376-88DD-AB3AC92F78D4}"/>
                </c:ext>
              </c:extLst>
            </c:dLbl>
            <c:dLbl>
              <c:idx val="168"/>
              <c:tx>
                <c:strRef>
                  <c:f>Frontend!$BR$178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{BDC8DFC9-0C93-4D46-A3BD-32807AA1A7D4}</c15:txfldGUID>
                      <c15:f>Frontend!$BR$178</c15:f>
                      <c15:dlblFieldTableCache>
                        <c:ptCount val="1"/>
                      </c15:dlblFieldTableCache>
                    </c15:dlblFTEntry>
                  </c15:dlblFieldTable>
                  <c15:showDataLabelsRange val="0"/>
                </c:ext>
                <c:ext xmlns:c16="http://schemas.microsoft.com/office/drawing/2014/chart" uri="{C3380CC4-5D6E-409C-BE32-E72D297353CC}">
                  <c16:uniqueId val="{000000AA-0A6B-4376-88DD-AB3AC92F78D4}"/>
                </c:ext>
              </c:extLst>
            </c:dLbl>
            <c:dLbl>
              <c:idx val="169"/>
              <c:tx>
                <c:strRef>
                  <c:f>Frontend!$BR$179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{9BADE671-6B43-43BD-B33B-6A7046E70E5A}</c15:txfldGUID>
                      <c15:f>Frontend!$BR$179</c15:f>
                      <c15:dlblFieldTableCache>
                        <c:ptCount val="1"/>
                      </c15:dlblFieldTableCache>
                    </c15:dlblFTEntry>
                  </c15:dlblFieldTable>
                  <c15:showDataLabelsRange val="0"/>
                </c:ext>
                <c:ext xmlns:c16="http://schemas.microsoft.com/office/drawing/2014/chart" uri="{C3380CC4-5D6E-409C-BE32-E72D297353CC}">
                  <c16:uniqueId val="{000000AB-0A6B-4376-88DD-AB3AC92F78D4}"/>
                </c:ext>
              </c:extLst>
            </c:dLbl>
            <c:dLbl>
              <c:idx val="170"/>
              <c:tx>
                <c:strRef>
                  <c:f>Frontend!$BR$180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{F952C15E-F552-4273-AAE7-40D5A0F8604A}</c15:txfldGUID>
                      <c15:f>Frontend!$BR$180</c15:f>
                      <c15:dlblFieldTableCache>
                        <c:ptCount val="1"/>
                      </c15:dlblFieldTableCache>
                    </c15:dlblFTEntry>
                  </c15:dlblFieldTable>
                  <c15:showDataLabelsRange val="0"/>
                </c:ext>
                <c:ext xmlns:c16="http://schemas.microsoft.com/office/drawing/2014/chart" uri="{C3380CC4-5D6E-409C-BE32-E72D297353CC}">
                  <c16:uniqueId val="{000000AC-0A6B-4376-88DD-AB3AC92F78D4}"/>
                </c:ext>
              </c:extLst>
            </c:dLbl>
            <c:dLbl>
              <c:idx val="171"/>
              <c:tx>
                <c:strRef>
                  <c:f>Frontend!$BR$181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{6E64DE1F-6DD8-4ADA-8C3D-679EAF649A6A}</c15:txfldGUID>
                      <c15:f>Frontend!$BR$181</c15:f>
                      <c15:dlblFieldTableCache>
                        <c:ptCount val="1"/>
                      </c15:dlblFieldTableCache>
                    </c15:dlblFTEntry>
                  </c15:dlblFieldTable>
                  <c15:showDataLabelsRange val="0"/>
                </c:ext>
                <c:ext xmlns:c16="http://schemas.microsoft.com/office/drawing/2014/chart" uri="{C3380CC4-5D6E-409C-BE32-E72D297353CC}">
                  <c16:uniqueId val="{000000AD-0A6B-4376-88DD-AB3AC92F78D4}"/>
                </c:ext>
              </c:extLst>
            </c:dLbl>
            <c:dLbl>
              <c:idx val="172"/>
              <c:tx>
                <c:strRef>
                  <c:f>Frontend!$BR$182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{E7BF31D1-4B1F-4A5A-B91E-196F43C8DBDB}</c15:txfldGUID>
                      <c15:f>Frontend!$BR$182</c15:f>
                      <c15:dlblFieldTableCache>
                        <c:ptCount val="1"/>
                      </c15:dlblFieldTableCache>
                    </c15:dlblFTEntry>
                  </c15:dlblFieldTable>
                  <c15:showDataLabelsRange val="0"/>
                </c:ext>
                <c:ext xmlns:c16="http://schemas.microsoft.com/office/drawing/2014/chart" uri="{C3380CC4-5D6E-409C-BE32-E72D297353CC}">
                  <c16:uniqueId val="{000000AE-0A6B-4376-88DD-AB3AC92F78D4}"/>
                </c:ext>
              </c:extLst>
            </c:dLbl>
            <c:dLbl>
              <c:idx val="173"/>
              <c:tx>
                <c:strRef>
                  <c:f>Frontend!$BR$183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{9599B851-4331-4BE7-AF27-E37FEFECE4C7}</c15:txfldGUID>
                      <c15:f>Frontend!$BR$183</c15:f>
                      <c15:dlblFieldTableCache>
                        <c:ptCount val="1"/>
                      </c15:dlblFieldTableCache>
                    </c15:dlblFTEntry>
                  </c15:dlblFieldTable>
                  <c15:showDataLabelsRange val="0"/>
                </c:ext>
                <c:ext xmlns:c16="http://schemas.microsoft.com/office/drawing/2014/chart" uri="{C3380CC4-5D6E-409C-BE32-E72D297353CC}">
                  <c16:uniqueId val="{000000AF-0A6B-4376-88DD-AB3AC92F78D4}"/>
                </c:ext>
              </c:extLst>
            </c:dLbl>
            <c:dLbl>
              <c:idx val="174"/>
              <c:tx>
                <c:strRef>
                  <c:f>Frontend!$BR$184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{9687D072-1288-4411-84A1-71D9B76F7BDC}</c15:txfldGUID>
                      <c15:f>Frontend!$BR$184</c15:f>
                      <c15:dlblFieldTableCache>
                        <c:ptCount val="1"/>
                      </c15:dlblFieldTableCache>
                    </c15:dlblFTEntry>
                  </c15:dlblFieldTable>
                  <c15:showDataLabelsRange val="0"/>
                </c:ext>
                <c:ext xmlns:c16="http://schemas.microsoft.com/office/drawing/2014/chart" uri="{C3380CC4-5D6E-409C-BE32-E72D297353CC}">
                  <c16:uniqueId val="{000000B0-0A6B-4376-88DD-AB3AC92F78D4}"/>
                </c:ext>
              </c:extLst>
            </c:dLbl>
            <c:dLbl>
              <c:idx val="175"/>
              <c:tx>
                <c:strRef>
                  <c:f>Frontend!$BR$185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{596B7441-4840-4CA0-9547-A6DF9FD89271}</c15:txfldGUID>
                      <c15:f>Frontend!$BR$185</c15:f>
                      <c15:dlblFieldTableCache>
                        <c:ptCount val="1"/>
                      </c15:dlblFieldTableCache>
                    </c15:dlblFTEntry>
                  </c15:dlblFieldTable>
                  <c15:showDataLabelsRange val="0"/>
                </c:ext>
                <c:ext xmlns:c16="http://schemas.microsoft.com/office/drawing/2014/chart" uri="{C3380CC4-5D6E-409C-BE32-E72D297353CC}">
                  <c16:uniqueId val="{000000B1-0A6B-4376-88DD-AB3AC92F78D4}"/>
                </c:ext>
              </c:extLst>
            </c:dLbl>
            <c:dLbl>
              <c:idx val="176"/>
              <c:tx>
                <c:strRef>
                  <c:f>Frontend!$BR$186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{36641A2A-E80D-4EAF-B8A1-B6C182892D04}</c15:txfldGUID>
                      <c15:f>Frontend!$BR$186</c15:f>
                      <c15:dlblFieldTableCache>
                        <c:ptCount val="1"/>
                      </c15:dlblFieldTableCache>
                    </c15:dlblFTEntry>
                  </c15:dlblFieldTable>
                  <c15:showDataLabelsRange val="0"/>
                </c:ext>
                <c:ext xmlns:c16="http://schemas.microsoft.com/office/drawing/2014/chart" uri="{C3380CC4-5D6E-409C-BE32-E72D297353CC}">
                  <c16:uniqueId val="{000000B2-0A6B-4376-88DD-AB3AC92F78D4}"/>
                </c:ext>
              </c:extLst>
            </c:dLbl>
            <c:dLbl>
              <c:idx val="177"/>
              <c:tx>
                <c:strRef>
                  <c:f>Frontend!$BR$187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{00972447-FBCA-4814-BD42-5369CF9C03FB}</c15:txfldGUID>
                      <c15:f>Frontend!$BR$187</c15:f>
                      <c15:dlblFieldTableCache>
                        <c:ptCount val="1"/>
                      </c15:dlblFieldTableCache>
                    </c15:dlblFTEntry>
                  </c15:dlblFieldTable>
                  <c15:showDataLabelsRange val="0"/>
                </c:ext>
                <c:ext xmlns:c16="http://schemas.microsoft.com/office/drawing/2014/chart" uri="{C3380CC4-5D6E-409C-BE32-E72D297353CC}">
                  <c16:uniqueId val="{000000B3-0A6B-4376-88DD-AB3AC92F78D4}"/>
                </c:ext>
              </c:extLst>
            </c:dLbl>
            <c:dLbl>
              <c:idx val="178"/>
              <c:tx>
                <c:strRef>
                  <c:f>Frontend!$BR$188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{BBB69E2E-EA88-4E87-BED8-BB24D17A8AC7}</c15:txfldGUID>
                      <c15:f>Frontend!$BR$188</c15:f>
                      <c15:dlblFieldTableCache>
                        <c:ptCount val="1"/>
                      </c15:dlblFieldTableCache>
                    </c15:dlblFTEntry>
                  </c15:dlblFieldTable>
                  <c15:showDataLabelsRange val="0"/>
                </c:ext>
                <c:ext xmlns:c16="http://schemas.microsoft.com/office/drawing/2014/chart" uri="{C3380CC4-5D6E-409C-BE32-E72D297353CC}">
                  <c16:uniqueId val="{000000B4-0A6B-4376-88DD-AB3AC92F78D4}"/>
                </c:ext>
              </c:extLst>
            </c:dLbl>
            <c:dLbl>
              <c:idx val="179"/>
              <c:tx>
                <c:strRef>
                  <c:f>Frontend!$BR$189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{67560F23-EA40-45AF-B99D-699AD48BB2F2}</c15:txfldGUID>
                      <c15:f>Frontend!$BR$189</c15:f>
                      <c15:dlblFieldTableCache>
                        <c:ptCount val="1"/>
                      </c15:dlblFieldTableCache>
                    </c15:dlblFTEntry>
                  </c15:dlblFieldTable>
                  <c15:showDataLabelsRange val="0"/>
                </c:ext>
                <c:ext xmlns:c16="http://schemas.microsoft.com/office/drawing/2014/chart" uri="{C3380CC4-5D6E-409C-BE32-E72D297353CC}">
                  <c16:uniqueId val="{000000B5-0A6B-4376-88DD-AB3AC92F78D4}"/>
                </c:ext>
              </c:extLst>
            </c:dLbl>
            <c:dLbl>
              <c:idx val="180"/>
              <c:tx>
                <c:strRef>
                  <c:f>Frontend!$BR$190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{CD3DB1F2-8D54-45D1-8C39-6AF55AFB949F}</c15:txfldGUID>
                      <c15:f>Frontend!$BR$190</c15:f>
                      <c15:dlblFieldTableCache>
                        <c:ptCount val="1"/>
                      </c15:dlblFieldTableCache>
                    </c15:dlblFTEntry>
                  </c15:dlblFieldTable>
                  <c15:showDataLabelsRange val="0"/>
                </c:ext>
                <c:ext xmlns:c16="http://schemas.microsoft.com/office/drawing/2014/chart" uri="{C3380CC4-5D6E-409C-BE32-E72D297353CC}">
                  <c16:uniqueId val="{000000B6-0A6B-4376-88DD-AB3AC92F78D4}"/>
                </c:ext>
              </c:extLst>
            </c:dLbl>
            <c:dLbl>
              <c:idx val="181"/>
              <c:tx>
                <c:strRef>
                  <c:f>Frontend!$BR$191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{BC055A9A-283C-4872-BBAE-3F26A5A2E407}</c15:txfldGUID>
                      <c15:f>Frontend!$BR$191</c15:f>
                      <c15:dlblFieldTableCache>
                        <c:ptCount val="1"/>
                      </c15:dlblFieldTableCache>
                    </c15:dlblFTEntry>
                  </c15:dlblFieldTable>
                  <c15:showDataLabelsRange val="0"/>
                </c:ext>
                <c:ext xmlns:c16="http://schemas.microsoft.com/office/drawing/2014/chart" uri="{C3380CC4-5D6E-409C-BE32-E72D297353CC}">
                  <c16:uniqueId val="{000000B7-0A6B-4376-88DD-AB3AC92F78D4}"/>
                </c:ext>
              </c:extLst>
            </c:dLbl>
            <c:dLbl>
              <c:idx val="182"/>
              <c:tx>
                <c:strRef>
                  <c:f>Frontend!$BR$192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{5115ABF2-0E44-448D-A639-3EDE2D45ECB0}</c15:txfldGUID>
                      <c15:f>Frontend!$BR$192</c15:f>
                      <c15:dlblFieldTableCache>
                        <c:ptCount val="1"/>
                      </c15:dlblFieldTableCache>
                    </c15:dlblFTEntry>
                  </c15:dlblFieldTable>
                  <c15:showDataLabelsRange val="0"/>
                </c:ext>
                <c:ext xmlns:c16="http://schemas.microsoft.com/office/drawing/2014/chart" uri="{C3380CC4-5D6E-409C-BE32-E72D297353CC}">
                  <c16:uniqueId val="{000000B8-0A6B-4376-88DD-AB3AC92F78D4}"/>
                </c:ext>
              </c:extLst>
            </c:dLbl>
            <c:dLbl>
              <c:idx val="183"/>
              <c:tx>
                <c:strRef>
                  <c:f>Frontend!$BR$193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{DE1CBFF7-676D-45CC-9CEF-6CC63E796D13}</c15:txfldGUID>
                      <c15:f>Frontend!$BR$193</c15:f>
                      <c15:dlblFieldTableCache>
                        <c:ptCount val="1"/>
                      </c15:dlblFieldTableCache>
                    </c15:dlblFTEntry>
                  </c15:dlblFieldTable>
                  <c15:showDataLabelsRange val="0"/>
                </c:ext>
                <c:ext xmlns:c16="http://schemas.microsoft.com/office/drawing/2014/chart" uri="{C3380CC4-5D6E-409C-BE32-E72D297353CC}">
                  <c16:uniqueId val="{000000B9-0A6B-4376-88DD-AB3AC92F78D4}"/>
                </c:ext>
              </c:extLst>
            </c:dLbl>
            <c:dLbl>
              <c:idx val="184"/>
              <c:tx>
                <c:strRef>
                  <c:f>Frontend!$BR$194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{F7AC4175-511F-4E8C-AA74-E53564C41BDF}</c15:txfldGUID>
                      <c15:f>Frontend!$BR$194</c15:f>
                      <c15:dlblFieldTableCache>
                        <c:ptCount val="1"/>
                      </c15:dlblFieldTableCache>
                    </c15:dlblFTEntry>
                  </c15:dlblFieldTable>
                  <c15:showDataLabelsRange val="0"/>
                </c:ext>
                <c:ext xmlns:c16="http://schemas.microsoft.com/office/drawing/2014/chart" uri="{C3380CC4-5D6E-409C-BE32-E72D297353CC}">
                  <c16:uniqueId val="{000000BA-0A6B-4376-88DD-AB3AC92F78D4}"/>
                </c:ext>
              </c:extLst>
            </c:dLbl>
            <c:dLbl>
              <c:idx val="185"/>
              <c:tx>
                <c:strRef>
                  <c:f>Frontend!$BR$195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{D906CF3C-D287-4CD7-B806-84351B00B2A0}</c15:txfldGUID>
                      <c15:f>Frontend!$BR$195</c15:f>
                      <c15:dlblFieldTableCache>
                        <c:ptCount val="1"/>
                      </c15:dlblFieldTableCache>
                    </c15:dlblFTEntry>
                  </c15:dlblFieldTable>
                  <c15:showDataLabelsRange val="0"/>
                </c:ext>
                <c:ext xmlns:c16="http://schemas.microsoft.com/office/drawing/2014/chart" uri="{C3380CC4-5D6E-409C-BE32-E72D297353CC}">
                  <c16:uniqueId val="{000000BB-0A6B-4376-88DD-AB3AC92F78D4}"/>
                </c:ext>
              </c:extLst>
            </c:dLbl>
            <c:dLbl>
              <c:idx val="186"/>
              <c:tx>
                <c:strRef>
                  <c:f>Frontend!$BR$196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{900BE033-4563-4ADA-BBFE-1494CF3C5D29}</c15:txfldGUID>
                      <c15:f>Frontend!$BR$196</c15:f>
                      <c15:dlblFieldTableCache>
                        <c:ptCount val="1"/>
                      </c15:dlblFieldTableCache>
                    </c15:dlblFTEntry>
                  </c15:dlblFieldTable>
                  <c15:showDataLabelsRange val="0"/>
                </c:ext>
                <c:ext xmlns:c16="http://schemas.microsoft.com/office/drawing/2014/chart" uri="{C3380CC4-5D6E-409C-BE32-E72D297353CC}">
                  <c16:uniqueId val="{000000BC-0A6B-4376-88DD-AB3AC92F78D4}"/>
                </c:ext>
              </c:extLst>
            </c:dLbl>
            <c:dLbl>
              <c:idx val="187"/>
              <c:tx>
                <c:strRef>
                  <c:f>Frontend!$BR$197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{23DCC03D-F373-4C48-9411-9A18F364170F}</c15:txfldGUID>
                      <c15:f>Frontend!$BR$197</c15:f>
                      <c15:dlblFieldTableCache>
                        <c:ptCount val="1"/>
                      </c15:dlblFieldTableCache>
                    </c15:dlblFTEntry>
                  </c15:dlblFieldTable>
                  <c15:showDataLabelsRange val="0"/>
                </c:ext>
                <c:ext xmlns:c16="http://schemas.microsoft.com/office/drawing/2014/chart" uri="{C3380CC4-5D6E-409C-BE32-E72D297353CC}">
                  <c16:uniqueId val="{000000BD-0A6B-4376-88DD-AB3AC92F78D4}"/>
                </c:ext>
              </c:extLst>
            </c:dLbl>
            <c:dLbl>
              <c:idx val="188"/>
              <c:tx>
                <c:strRef>
                  <c:f>Frontend!$BR$198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{3A4228BB-1AF2-4943-A5CC-D105CA5E20E6}</c15:txfldGUID>
                      <c15:f>Frontend!$BR$198</c15:f>
                      <c15:dlblFieldTableCache>
                        <c:ptCount val="1"/>
                      </c15:dlblFieldTableCache>
                    </c15:dlblFTEntry>
                  </c15:dlblFieldTable>
                  <c15:showDataLabelsRange val="0"/>
                </c:ext>
                <c:ext xmlns:c16="http://schemas.microsoft.com/office/drawing/2014/chart" uri="{C3380CC4-5D6E-409C-BE32-E72D297353CC}">
                  <c16:uniqueId val="{000000BE-0A6B-4376-88DD-AB3AC92F78D4}"/>
                </c:ext>
              </c:extLst>
            </c:dLbl>
            <c:dLbl>
              <c:idx val="189"/>
              <c:tx>
                <c:strRef>
                  <c:f>Frontend!$BR$199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{B627C194-E1C2-4510-9172-649E1E60CBB4}</c15:txfldGUID>
                      <c15:f>Frontend!$BR$199</c15:f>
                      <c15:dlblFieldTableCache>
                        <c:ptCount val="1"/>
                      </c15:dlblFieldTableCache>
                    </c15:dlblFTEntry>
                  </c15:dlblFieldTable>
                  <c15:showDataLabelsRange val="0"/>
                </c:ext>
                <c:ext xmlns:c16="http://schemas.microsoft.com/office/drawing/2014/chart" uri="{C3380CC4-5D6E-409C-BE32-E72D297353CC}">
                  <c16:uniqueId val="{000000BF-0A6B-4376-88DD-AB3AC92F78D4}"/>
                </c:ext>
              </c:extLst>
            </c:dLbl>
            <c:dLbl>
              <c:idx val="190"/>
              <c:tx>
                <c:strRef>
                  <c:f>Frontend!$BR$200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{FE22BA23-9926-445B-99D0-92D7AE368153}</c15:txfldGUID>
                      <c15:f>Frontend!$BR$200</c15:f>
                      <c15:dlblFieldTableCache>
                        <c:ptCount val="1"/>
                      </c15:dlblFieldTableCache>
                    </c15:dlblFTEntry>
                  </c15:dlblFieldTable>
                  <c15:showDataLabelsRange val="0"/>
                </c:ext>
                <c:ext xmlns:c16="http://schemas.microsoft.com/office/drawing/2014/chart" uri="{C3380CC4-5D6E-409C-BE32-E72D297353CC}">
                  <c16:uniqueId val="{000000C0-0A6B-4376-88DD-AB3AC92F78D4}"/>
                </c:ext>
              </c:extLst>
            </c:dLbl>
            <c:dLbl>
              <c:idx val="191"/>
              <c:tx>
                <c:strRef>
                  <c:f>Frontend!$BR$201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{1330C102-700C-4DBA-9DF6-28E23D34A963}</c15:txfldGUID>
                      <c15:f>Frontend!$BR$201</c15:f>
                      <c15:dlblFieldTableCache>
                        <c:ptCount val="1"/>
                      </c15:dlblFieldTableCache>
                    </c15:dlblFTEntry>
                  </c15:dlblFieldTable>
                  <c15:showDataLabelsRange val="0"/>
                </c:ext>
                <c:ext xmlns:c16="http://schemas.microsoft.com/office/drawing/2014/chart" uri="{C3380CC4-5D6E-409C-BE32-E72D297353CC}">
                  <c16:uniqueId val="{000000C1-0A6B-4376-88DD-AB3AC92F78D4}"/>
                </c:ext>
              </c:extLst>
            </c:dLbl>
            <c:dLbl>
              <c:idx val="192"/>
              <c:tx>
                <c:strRef>
                  <c:f>Frontend!$BR$202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{787071C5-66AF-429B-895D-E1DCB96B479B}</c15:txfldGUID>
                      <c15:f>Frontend!$BR$202</c15:f>
                      <c15:dlblFieldTableCache>
                        <c:ptCount val="1"/>
                      </c15:dlblFieldTableCache>
                    </c15:dlblFTEntry>
                  </c15:dlblFieldTable>
                  <c15:showDataLabelsRange val="0"/>
                </c:ext>
                <c:ext xmlns:c16="http://schemas.microsoft.com/office/drawing/2014/chart" uri="{C3380CC4-5D6E-409C-BE32-E72D297353CC}">
                  <c16:uniqueId val="{000000C2-0A6B-4376-88DD-AB3AC92F78D4}"/>
                </c:ext>
              </c:extLst>
            </c:dLbl>
            <c:dLbl>
              <c:idx val="193"/>
              <c:tx>
                <c:strRef>
                  <c:f>Frontend!$BR$203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{B017AF10-E34B-4BD3-ACDA-29E911F97748}</c15:txfldGUID>
                      <c15:f>Frontend!$BR$203</c15:f>
                      <c15:dlblFieldTableCache>
                        <c:ptCount val="1"/>
                      </c15:dlblFieldTableCache>
                    </c15:dlblFTEntry>
                  </c15:dlblFieldTable>
                  <c15:showDataLabelsRange val="0"/>
                </c:ext>
                <c:ext xmlns:c16="http://schemas.microsoft.com/office/drawing/2014/chart" uri="{C3380CC4-5D6E-409C-BE32-E72D297353CC}">
                  <c16:uniqueId val="{000000C3-0A6B-4376-88DD-AB3AC92F78D4}"/>
                </c:ext>
              </c:extLst>
            </c:dLbl>
            <c:dLbl>
              <c:idx val="194"/>
              <c:tx>
                <c:strRef>
                  <c:f>Frontend!$BR$204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{4394AF71-BE56-4865-98CD-1724085C6B96}</c15:txfldGUID>
                      <c15:f>Frontend!$BR$204</c15:f>
                      <c15:dlblFieldTableCache>
                        <c:ptCount val="1"/>
                      </c15:dlblFieldTableCache>
                    </c15:dlblFTEntry>
                  </c15:dlblFieldTable>
                  <c15:showDataLabelsRange val="0"/>
                </c:ext>
                <c:ext xmlns:c16="http://schemas.microsoft.com/office/drawing/2014/chart" uri="{C3380CC4-5D6E-409C-BE32-E72D297353CC}">
                  <c16:uniqueId val="{000000C4-0A6B-4376-88DD-AB3AC92F78D4}"/>
                </c:ext>
              </c:extLst>
            </c:dLbl>
            <c:dLbl>
              <c:idx val="195"/>
              <c:tx>
                <c:strRef>
                  <c:f>Frontend!$BR$205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{5883775B-2390-4B02-9A30-FE19AB4D1277}</c15:txfldGUID>
                      <c15:f>Frontend!$BR$205</c15:f>
                      <c15:dlblFieldTableCache>
                        <c:ptCount val="1"/>
                      </c15:dlblFieldTableCache>
                    </c15:dlblFTEntry>
                  </c15:dlblFieldTable>
                  <c15:showDataLabelsRange val="0"/>
                </c:ext>
                <c:ext xmlns:c16="http://schemas.microsoft.com/office/drawing/2014/chart" uri="{C3380CC4-5D6E-409C-BE32-E72D297353CC}">
                  <c16:uniqueId val="{000000C5-0A6B-4376-88DD-AB3AC92F78D4}"/>
                </c:ext>
              </c:extLst>
            </c:dLbl>
            <c:dLbl>
              <c:idx val="196"/>
              <c:tx>
                <c:strRef>
                  <c:f>Frontend!$BR$206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{BDF57A92-B8DB-4C1F-9EA0-516F3EDFC2E0}</c15:txfldGUID>
                      <c15:f>Frontend!$BR$206</c15:f>
                      <c15:dlblFieldTableCache>
                        <c:ptCount val="1"/>
                      </c15:dlblFieldTableCache>
                    </c15:dlblFTEntry>
                  </c15:dlblFieldTable>
                  <c15:showDataLabelsRange val="0"/>
                </c:ext>
                <c:ext xmlns:c16="http://schemas.microsoft.com/office/drawing/2014/chart" uri="{C3380CC4-5D6E-409C-BE32-E72D297353CC}">
                  <c16:uniqueId val="{000000C6-0A6B-4376-88DD-AB3AC92F78D4}"/>
                </c:ext>
              </c:extLst>
            </c:dLbl>
            <c:dLbl>
              <c:idx val="197"/>
              <c:tx>
                <c:strRef>
                  <c:f>Frontend!$BR$207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{BABD737F-01BA-46DE-A8A9-761DE97E209C}</c15:txfldGUID>
                      <c15:f>Frontend!$BR$207</c15:f>
                      <c15:dlblFieldTableCache>
                        <c:ptCount val="1"/>
                      </c15:dlblFieldTableCache>
                    </c15:dlblFTEntry>
                  </c15:dlblFieldTable>
                  <c15:showDataLabelsRange val="0"/>
                </c:ext>
                <c:ext xmlns:c16="http://schemas.microsoft.com/office/drawing/2014/chart" uri="{C3380CC4-5D6E-409C-BE32-E72D297353CC}">
                  <c16:uniqueId val="{000000C7-0A6B-4376-88DD-AB3AC92F78D4}"/>
                </c:ext>
              </c:extLst>
            </c:dLbl>
            <c:dLbl>
              <c:idx val="198"/>
              <c:tx>
                <c:strRef>
                  <c:f>Frontend!$BR$208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{20186491-60E4-483E-933B-87E0D36FB6D2}</c15:txfldGUID>
                      <c15:f>Frontend!$BR$208</c15:f>
                      <c15:dlblFieldTableCache>
                        <c:ptCount val="1"/>
                      </c15:dlblFieldTableCache>
                    </c15:dlblFTEntry>
                  </c15:dlblFieldTable>
                  <c15:showDataLabelsRange val="0"/>
                </c:ext>
                <c:ext xmlns:c16="http://schemas.microsoft.com/office/drawing/2014/chart" uri="{C3380CC4-5D6E-409C-BE32-E72D297353CC}">
                  <c16:uniqueId val="{000000C8-0A6B-4376-88DD-AB3AC92F78D4}"/>
                </c:ext>
              </c:extLst>
            </c:dLbl>
            <c:dLbl>
              <c:idx val="199"/>
              <c:tx>
                <c:strRef>
                  <c:f>Frontend!$BR$209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{D84B1760-FF63-4603-9A06-1AD7EEF184B2}</c15:txfldGUID>
                      <c15:f>Frontend!$BR$209</c15:f>
                      <c15:dlblFieldTableCache>
                        <c:ptCount val="1"/>
                      </c15:dlblFieldTableCache>
                    </c15:dlblFTEntry>
                  </c15:dlblFieldTable>
                  <c15:showDataLabelsRange val="0"/>
                </c:ext>
                <c:ext xmlns:c16="http://schemas.microsoft.com/office/drawing/2014/chart" uri="{C3380CC4-5D6E-409C-BE32-E72D297353CC}">
                  <c16:uniqueId val="{000000C9-0A6B-4376-88DD-AB3AC92F78D4}"/>
                </c:ext>
              </c:extLst>
            </c:dLbl>
            <c:dLbl>
              <c:idx val="200"/>
              <c:tx>
                <c:strRef>
                  <c:f>Frontend!$BR$210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{1BBB1A31-5CCB-4FD2-A982-0B045C59FB92}</c15:txfldGUID>
                      <c15:f>Frontend!$BR$210</c15:f>
                      <c15:dlblFieldTableCache>
                        <c:ptCount val="1"/>
                      </c15:dlblFieldTableCache>
                    </c15:dlblFTEntry>
                  </c15:dlblFieldTable>
                  <c15:showDataLabelsRange val="0"/>
                </c:ext>
                <c:ext xmlns:c16="http://schemas.microsoft.com/office/drawing/2014/chart" uri="{C3380CC4-5D6E-409C-BE32-E72D297353CC}">
                  <c16:uniqueId val="{000000CA-0A6B-4376-88DD-AB3AC92F78D4}"/>
                </c:ext>
              </c:extLst>
            </c:dLbl>
            <c:dLbl>
              <c:idx val="201"/>
              <c:tx>
                <c:strRef>
                  <c:f>Frontend!$BR$211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{BA5178FA-ADA1-4EF3-95EE-06996AFEE977}</c15:txfldGUID>
                      <c15:f>Frontend!$BR$211</c15:f>
                      <c15:dlblFieldTableCache>
                        <c:ptCount val="1"/>
                      </c15:dlblFieldTableCache>
                    </c15:dlblFTEntry>
                  </c15:dlblFieldTable>
                  <c15:showDataLabelsRange val="0"/>
                </c:ext>
                <c:ext xmlns:c16="http://schemas.microsoft.com/office/drawing/2014/chart" uri="{C3380CC4-5D6E-409C-BE32-E72D297353CC}">
                  <c16:uniqueId val="{000000CB-0A6B-4376-88DD-AB3AC92F78D4}"/>
                </c:ext>
              </c:extLst>
            </c:dLbl>
            <c:dLbl>
              <c:idx val="202"/>
              <c:tx>
                <c:strRef>
                  <c:f>Frontend!$BR$212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{9E5ACDAF-AB48-462B-8E42-4CBBECD18A44}</c15:txfldGUID>
                      <c15:f>Frontend!$BR$212</c15:f>
                      <c15:dlblFieldTableCache>
                        <c:ptCount val="1"/>
                      </c15:dlblFieldTableCache>
                    </c15:dlblFTEntry>
                  </c15:dlblFieldTable>
                  <c15:showDataLabelsRange val="0"/>
                </c:ext>
                <c:ext xmlns:c16="http://schemas.microsoft.com/office/drawing/2014/chart" uri="{C3380CC4-5D6E-409C-BE32-E72D297353CC}">
                  <c16:uniqueId val="{000000CC-0A6B-4376-88DD-AB3AC92F78D4}"/>
                </c:ext>
              </c:extLst>
            </c:dLbl>
            <c:dLbl>
              <c:idx val="203"/>
              <c:tx>
                <c:strRef>
                  <c:f>Frontend!$BR$213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{E9D19727-E0CC-4533-BC3E-D9FE5A009092}</c15:txfldGUID>
                      <c15:f>Frontend!$BR$213</c15:f>
                      <c15:dlblFieldTableCache>
                        <c:ptCount val="1"/>
                      </c15:dlblFieldTableCache>
                    </c15:dlblFTEntry>
                  </c15:dlblFieldTable>
                  <c15:showDataLabelsRange val="0"/>
                </c:ext>
                <c:ext xmlns:c16="http://schemas.microsoft.com/office/drawing/2014/chart" uri="{C3380CC4-5D6E-409C-BE32-E72D297353CC}">
                  <c16:uniqueId val="{000000CD-0A6B-4376-88DD-AB3AC92F78D4}"/>
                </c:ext>
              </c:extLst>
            </c:dLbl>
            <c:dLbl>
              <c:idx val="204"/>
              <c:tx>
                <c:strRef>
                  <c:f>Frontend!$BR$214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{CD4B0FEE-45EF-4CDA-9163-F6A3B2D2EAE1}</c15:txfldGUID>
                      <c15:f>Frontend!$BR$214</c15:f>
                      <c15:dlblFieldTableCache>
                        <c:ptCount val="1"/>
                      </c15:dlblFieldTableCache>
                    </c15:dlblFTEntry>
                  </c15:dlblFieldTable>
                  <c15:showDataLabelsRange val="0"/>
                </c:ext>
                <c:ext xmlns:c16="http://schemas.microsoft.com/office/drawing/2014/chart" uri="{C3380CC4-5D6E-409C-BE32-E72D297353CC}">
                  <c16:uniqueId val="{000000CE-0A6B-4376-88DD-AB3AC92F78D4}"/>
                </c:ext>
              </c:extLst>
            </c:dLbl>
            <c:dLbl>
              <c:idx val="205"/>
              <c:tx>
                <c:strRef>
                  <c:f>Frontend!$BR$215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{0BF7231D-45A5-4794-97A5-1318000D634A}</c15:txfldGUID>
                      <c15:f>Frontend!$BR$215</c15:f>
                      <c15:dlblFieldTableCache>
                        <c:ptCount val="1"/>
                      </c15:dlblFieldTableCache>
                    </c15:dlblFTEntry>
                  </c15:dlblFieldTable>
                  <c15:showDataLabelsRange val="0"/>
                </c:ext>
                <c:ext xmlns:c16="http://schemas.microsoft.com/office/drawing/2014/chart" uri="{C3380CC4-5D6E-409C-BE32-E72D297353CC}">
                  <c16:uniqueId val="{000000CF-0A6B-4376-88DD-AB3AC92F78D4}"/>
                </c:ext>
              </c:extLst>
            </c:dLbl>
            <c:dLbl>
              <c:idx val="206"/>
              <c:tx>
                <c:strRef>
                  <c:f>Frontend!$BR$216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{E8AF56A2-0682-4D97-8901-CE051245C5B5}</c15:txfldGUID>
                      <c15:f>Frontend!$BR$216</c15:f>
                      <c15:dlblFieldTableCache>
                        <c:ptCount val="1"/>
                      </c15:dlblFieldTableCache>
                    </c15:dlblFTEntry>
                  </c15:dlblFieldTable>
                  <c15:showDataLabelsRange val="0"/>
                </c:ext>
                <c:ext xmlns:c16="http://schemas.microsoft.com/office/drawing/2014/chart" uri="{C3380CC4-5D6E-409C-BE32-E72D297353CC}">
                  <c16:uniqueId val="{000000D0-0A6B-4376-88DD-AB3AC92F78D4}"/>
                </c:ext>
              </c:extLst>
            </c:dLbl>
            <c:dLbl>
              <c:idx val="207"/>
              <c:tx>
                <c:strRef>
                  <c:f>Frontend!$BR$217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{EBC7E682-ED29-46DF-B457-D5BC075BA8D3}</c15:txfldGUID>
                      <c15:f>Frontend!$BR$217</c15:f>
                      <c15:dlblFieldTableCache>
                        <c:ptCount val="1"/>
                      </c15:dlblFieldTableCache>
                    </c15:dlblFTEntry>
                  </c15:dlblFieldTable>
                  <c15:showDataLabelsRange val="0"/>
                </c:ext>
                <c:ext xmlns:c16="http://schemas.microsoft.com/office/drawing/2014/chart" uri="{C3380CC4-5D6E-409C-BE32-E72D297353CC}">
                  <c16:uniqueId val="{000000D1-0A6B-4376-88DD-AB3AC92F78D4}"/>
                </c:ext>
              </c:extLst>
            </c:dLbl>
            <c:dLbl>
              <c:idx val="208"/>
              <c:tx>
                <c:strRef>
                  <c:f>Frontend!$BR$218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{E01FEF76-471E-4CD8-BE96-9B0FDDBBCA7D}</c15:txfldGUID>
                      <c15:f>Frontend!$BR$218</c15:f>
                      <c15:dlblFieldTableCache>
                        <c:ptCount val="1"/>
                      </c15:dlblFieldTableCache>
                    </c15:dlblFTEntry>
                  </c15:dlblFieldTable>
                  <c15:showDataLabelsRange val="0"/>
                </c:ext>
                <c:ext xmlns:c16="http://schemas.microsoft.com/office/drawing/2014/chart" uri="{C3380CC4-5D6E-409C-BE32-E72D297353CC}">
                  <c16:uniqueId val="{000000D2-0A6B-4376-88DD-AB3AC92F78D4}"/>
                </c:ext>
              </c:extLst>
            </c:dLbl>
            <c:dLbl>
              <c:idx val="209"/>
              <c:tx>
                <c:strRef>
                  <c:f>Frontend!$BR$219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{C426EE86-62BE-432D-B111-F08500D8FEA4}</c15:txfldGUID>
                      <c15:f>Frontend!$BR$219</c15:f>
                      <c15:dlblFieldTableCache>
                        <c:ptCount val="1"/>
                      </c15:dlblFieldTableCache>
                    </c15:dlblFTEntry>
                  </c15:dlblFieldTable>
                  <c15:showDataLabelsRange val="0"/>
                </c:ext>
                <c:ext xmlns:c16="http://schemas.microsoft.com/office/drawing/2014/chart" uri="{C3380CC4-5D6E-409C-BE32-E72D297353CC}">
                  <c16:uniqueId val="{000000D3-0A6B-4376-88DD-AB3AC92F78D4}"/>
                </c:ext>
              </c:extLst>
            </c:dLbl>
            <c:dLbl>
              <c:idx val="210"/>
              <c:tx>
                <c:strRef>
                  <c:f>Frontend!$BR$220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{98A6A696-EFFC-4154-9527-29A025A78D3A}</c15:txfldGUID>
                      <c15:f>Frontend!$BR$220</c15:f>
                      <c15:dlblFieldTableCache>
                        <c:ptCount val="1"/>
                      </c15:dlblFieldTableCache>
                    </c15:dlblFTEntry>
                  </c15:dlblFieldTable>
                  <c15:showDataLabelsRange val="0"/>
                </c:ext>
                <c:ext xmlns:c16="http://schemas.microsoft.com/office/drawing/2014/chart" uri="{C3380CC4-5D6E-409C-BE32-E72D297353CC}">
                  <c16:uniqueId val="{000000D4-0A6B-4376-88DD-AB3AC92F78D4}"/>
                </c:ext>
              </c:extLst>
            </c:dLbl>
            <c:dLbl>
              <c:idx val="211"/>
              <c:tx>
                <c:strRef>
                  <c:f>Frontend!$BR$221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{AEE62F20-E0DE-4F28-9ECF-FB450EA18837}</c15:txfldGUID>
                      <c15:f>Frontend!$BR$221</c15:f>
                      <c15:dlblFieldTableCache>
                        <c:ptCount val="1"/>
                      </c15:dlblFieldTableCache>
                    </c15:dlblFTEntry>
                  </c15:dlblFieldTable>
                  <c15:showDataLabelsRange val="0"/>
                </c:ext>
                <c:ext xmlns:c16="http://schemas.microsoft.com/office/drawing/2014/chart" uri="{C3380CC4-5D6E-409C-BE32-E72D297353CC}">
                  <c16:uniqueId val="{000000D5-0A6B-4376-88DD-AB3AC92F78D4}"/>
                </c:ext>
              </c:extLst>
            </c:dLbl>
            <c:dLbl>
              <c:idx val="212"/>
              <c:tx>
                <c:strRef>
                  <c:f>Frontend!$BR$222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{50B1352D-0243-44E2-84BA-D9A32AC5F69E}</c15:txfldGUID>
                      <c15:f>Frontend!$BR$222</c15:f>
                      <c15:dlblFieldTableCache>
                        <c:ptCount val="1"/>
                      </c15:dlblFieldTableCache>
                    </c15:dlblFTEntry>
                  </c15:dlblFieldTable>
                  <c15:showDataLabelsRange val="0"/>
                </c:ext>
                <c:ext xmlns:c16="http://schemas.microsoft.com/office/drawing/2014/chart" uri="{C3380CC4-5D6E-409C-BE32-E72D297353CC}">
                  <c16:uniqueId val="{000000D6-0A6B-4376-88DD-AB3AC92F78D4}"/>
                </c:ext>
              </c:extLst>
            </c:dLbl>
            <c:dLbl>
              <c:idx val="213"/>
              <c:tx>
                <c:strRef>
                  <c:f>Frontend!$BR$223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{5C501A6C-CAB8-4CBD-A983-DF2A165383C2}</c15:txfldGUID>
                      <c15:f>Frontend!$BR$223</c15:f>
                      <c15:dlblFieldTableCache>
                        <c:ptCount val="1"/>
                      </c15:dlblFieldTableCache>
                    </c15:dlblFTEntry>
                  </c15:dlblFieldTable>
                  <c15:showDataLabelsRange val="0"/>
                </c:ext>
                <c:ext xmlns:c16="http://schemas.microsoft.com/office/drawing/2014/chart" uri="{C3380CC4-5D6E-409C-BE32-E72D297353CC}">
                  <c16:uniqueId val="{000000D7-0A6B-4376-88DD-AB3AC92F78D4}"/>
                </c:ext>
              </c:extLst>
            </c:dLbl>
            <c:dLbl>
              <c:idx val="214"/>
              <c:tx>
                <c:strRef>
                  <c:f>Frontend!$BR$224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{579AE78B-602E-47FE-8F3D-7581149BF2A8}</c15:txfldGUID>
                      <c15:f>Frontend!$BR$224</c15:f>
                      <c15:dlblFieldTableCache>
                        <c:ptCount val="1"/>
                      </c15:dlblFieldTableCache>
                    </c15:dlblFTEntry>
                  </c15:dlblFieldTable>
                  <c15:showDataLabelsRange val="0"/>
                </c:ext>
                <c:ext xmlns:c16="http://schemas.microsoft.com/office/drawing/2014/chart" uri="{C3380CC4-5D6E-409C-BE32-E72D297353CC}">
                  <c16:uniqueId val="{000000D8-0A6B-4376-88DD-AB3AC92F78D4}"/>
                </c:ext>
              </c:extLst>
            </c:dLbl>
            <c:dLbl>
              <c:idx val="215"/>
              <c:tx>
                <c:strRef>
                  <c:f>Frontend!$BR$225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{07803D67-A700-44EF-9A49-3D351B200966}</c15:txfldGUID>
                      <c15:f>Frontend!$BR$225</c15:f>
                      <c15:dlblFieldTableCache>
                        <c:ptCount val="1"/>
                      </c15:dlblFieldTableCache>
                    </c15:dlblFTEntry>
                  </c15:dlblFieldTable>
                  <c15:showDataLabelsRange val="0"/>
                </c:ext>
                <c:ext xmlns:c16="http://schemas.microsoft.com/office/drawing/2014/chart" uri="{C3380CC4-5D6E-409C-BE32-E72D297353CC}">
                  <c16:uniqueId val="{000000D9-0A6B-4376-88DD-AB3AC92F78D4}"/>
                </c:ext>
              </c:extLst>
            </c:dLbl>
            <c:dLbl>
              <c:idx val="216"/>
              <c:tx>
                <c:strRef>
                  <c:f>Frontend!$BR$226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{ADB5313E-C776-4F98-A7CA-36A7332EB4E0}</c15:txfldGUID>
                      <c15:f>Frontend!$BR$226</c15:f>
                      <c15:dlblFieldTableCache>
                        <c:ptCount val="1"/>
                      </c15:dlblFieldTableCache>
                    </c15:dlblFTEntry>
                  </c15:dlblFieldTable>
                  <c15:showDataLabelsRange val="0"/>
                </c:ext>
                <c:ext xmlns:c16="http://schemas.microsoft.com/office/drawing/2014/chart" uri="{C3380CC4-5D6E-409C-BE32-E72D297353CC}">
                  <c16:uniqueId val="{000000DA-0A6B-4376-88DD-AB3AC92F78D4}"/>
                </c:ext>
              </c:extLst>
            </c:dLbl>
            <c:dLbl>
              <c:idx val="217"/>
              <c:tx>
                <c:strRef>
                  <c:f>Frontend!$BR$227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{6F4CC786-81BF-4199-85C0-52368FEE0E0E}</c15:txfldGUID>
                      <c15:f>Frontend!$BR$227</c15:f>
                      <c15:dlblFieldTableCache>
                        <c:ptCount val="1"/>
                      </c15:dlblFieldTableCache>
                    </c15:dlblFTEntry>
                  </c15:dlblFieldTable>
                  <c15:showDataLabelsRange val="0"/>
                </c:ext>
                <c:ext xmlns:c16="http://schemas.microsoft.com/office/drawing/2014/chart" uri="{C3380CC4-5D6E-409C-BE32-E72D297353CC}">
                  <c16:uniqueId val="{000000DB-0A6B-4376-88DD-AB3AC92F78D4}"/>
                </c:ext>
              </c:extLst>
            </c:dLbl>
            <c:dLbl>
              <c:idx val="218"/>
              <c:tx>
                <c:strRef>
                  <c:f>Frontend!$BR$228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{0054658F-78A0-4238-8C16-ED4BD1283D30}</c15:txfldGUID>
                      <c15:f>Frontend!$BR$228</c15:f>
                      <c15:dlblFieldTableCache>
                        <c:ptCount val="1"/>
                      </c15:dlblFieldTableCache>
                    </c15:dlblFTEntry>
                  </c15:dlblFieldTable>
                  <c15:showDataLabelsRange val="0"/>
                </c:ext>
                <c:ext xmlns:c16="http://schemas.microsoft.com/office/drawing/2014/chart" uri="{C3380CC4-5D6E-409C-BE32-E72D297353CC}">
                  <c16:uniqueId val="{000000DC-0A6B-4376-88DD-AB3AC92F78D4}"/>
                </c:ext>
              </c:extLst>
            </c:dLbl>
            <c:dLbl>
              <c:idx val="219"/>
              <c:tx>
                <c:strRef>
                  <c:f>Frontend!$BR$229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{A9F5C24E-29B1-4897-8FF4-90CD66D4C197}</c15:txfldGUID>
                      <c15:f>Frontend!$BR$229</c15:f>
                      <c15:dlblFieldTableCache>
                        <c:ptCount val="1"/>
                      </c15:dlblFieldTableCache>
                    </c15:dlblFTEntry>
                  </c15:dlblFieldTable>
                  <c15:showDataLabelsRange val="0"/>
                </c:ext>
                <c:ext xmlns:c16="http://schemas.microsoft.com/office/drawing/2014/chart" uri="{C3380CC4-5D6E-409C-BE32-E72D297353CC}">
                  <c16:uniqueId val="{000000DD-0A6B-4376-88DD-AB3AC92F78D4}"/>
                </c:ext>
              </c:extLst>
            </c:dLbl>
            <c:dLbl>
              <c:idx val="220"/>
              <c:tx>
                <c:strRef>
                  <c:f>Frontend!$BR$230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{FEB14931-B230-4CA3-B8DD-5672EFFE17C6}</c15:txfldGUID>
                      <c15:f>Frontend!$BR$230</c15:f>
                      <c15:dlblFieldTableCache>
                        <c:ptCount val="1"/>
                      </c15:dlblFieldTableCache>
                    </c15:dlblFTEntry>
                  </c15:dlblFieldTable>
                  <c15:showDataLabelsRange val="0"/>
                </c:ext>
                <c:ext xmlns:c16="http://schemas.microsoft.com/office/drawing/2014/chart" uri="{C3380CC4-5D6E-409C-BE32-E72D297353CC}">
                  <c16:uniqueId val="{000000DE-0A6B-4376-88DD-AB3AC92F78D4}"/>
                </c:ext>
              </c:extLst>
            </c:dLbl>
            <c:dLbl>
              <c:idx val="221"/>
              <c:tx>
                <c:strRef>
                  <c:f>Frontend!$BR$231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{A0C15314-A7C5-441D-8EDC-F3B8ABE8EE7B}</c15:txfldGUID>
                      <c15:f>Frontend!$BR$231</c15:f>
                      <c15:dlblFieldTableCache>
                        <c:ptCount val="1"/>
                      </c15:dlblFieldTableCache>
                    </c15:dlblFTEntry>
                  </c15:dlblFieldTable>
                  <c15:showDataLabelsRange val="0"/>
                </c:ext>
                <c:ext xmlns:c16="http://schemas.microsoft.com/office/drawing/2014/chart" uri="{C3380CC4-5D6E-409C-BE32-E72D297353CC}">
                  <c16:uniqueId val="{000000DF-0A6B-4376-88DD-AB3AC92F78D4}"/>
                </c:ext>
              </c:extLst>
            </c:dLbl>
            <c:dLbl>
              <c:idx val="222"/>
              <c:tx>
                <c:strRef>
                  <c:f>Frontend!$BR$232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{586570BA-E325-49BA-BDAE-AB6C3BD50462}</c15:txfldGUID>
                      <c15:f>Frontend!$BR$232</c15:f>
                      <c15:dlblFieldTableCache>
                        <c:ptCount val="1"/>
                      </c15:dlblFieldTableCache>
                    </c15:dlblFTEntry>
                  </c15:dlblFieldTable>
                  <c15:showDataLabelsRange val="0"/>
                </c:ext>
                <c:ext xmlns:c16="http://schemas.microsoft.com/office/drawing/2014/chart" uri="{C3380CC4-5D6E-409C-BE32-E72D297353CC}">
                  <c16:uniqueId val="{000000E0-0A6B-4376-88DD-AB3AC92F78D4}"/>
                </c:ext>
              </c:extLst>
            </c:dLbl>
            <c:dLbl>
              <c:idx val="223"/>
              <c:tx>
                <c:strRef>
                  <c:f>Frontend!$BR$233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{6A0C0C09-B747-488A-B9A4-7D3FB9480A57}</c15:txfldGUID>
                      <c15:f>Frontend!$BR$233</c15:f>
                      <c15:dlblFieldTableCache>
                        <c:ptCount val="1"/>
                      </c15:dlblFieldTableCache>
                    </c15:dlblFTEntry>
                  </c15:dlblFieldTable>
                  <c15:showDataLabelsRange val="0"/>
                </c:ext>
                <c:ext xmlns:c16="http://schemas.microsoft.com/office/drawing/2014/chart" uri="{C3380CC4-5D6E-409C-BE32-E72D297353CC}">
                  <c16:uniqueId val="{000000E1-0A6B-4376-88DD-AB3AC92F78D4}"/>
                </c:ext>
              </c:extLst>
            </c:dLbl>
            <c:dLbl>
              <c:idx val="224"/>
              <c:tx>
                <c:strRef>
                  <c:f>Frontend!$BR$234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{70F2768A-5ADC-4B30-82B3-4CA907B44C2E}</c15:txfldGUID>
                      <c15:f>Frontend!$BR$234</c15:f>
                      <c15:dlblFieldTableCache>
                        <c:ptCount val="1"/>
                      </c15:dlblFieldTableCache>
                    </c15:dlblFTEntry>
                  </c15:dlblFieldTable>
                  <c15:showDataLabelsRange val="0"/>
                </c:ext>
                <c:ext xmlns:c16="http://schemas.microsoft.com/office/drawing/2014/chart" uri="{C3380CC4-5D6E-409C-BE32-E72D297353CC}">
                  <c16:uniqueId val="{000000E2-0A6B-4376-88DD-AB3AC92F78D4}"/>
                </c:ext>
              </c:extLst>
            </c:dLbl>
            <c:dLbl>
              <c:idx val="225"/>
              <c:tx>
                <c:strRef>
                  <c:f>Frontend!$BR$235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{9168C8A7-4DC8-4E63-880A-1EC2AD44A6BA}</c15:txfldGUID>
                      <c15:f>Frontend!$BR$235</c15:f>
                      <c15:dlblFieldTableCache>
                        <c:ptCount val="1"/>
                      </c15:dlblFieldTableCache>
                    </c15:dlblFTEntry>
                  </c15:dlblFieldTable>
                  <c15:showDataLabelsRange val="0"/>
                </c:ext>
                <c:ext xmlns:c16="http://schemas.microsoft.com/office/drawing/2014/chart" uri="{C3380CC4-5D6E-409C-BE32-E72D297353CC}">
                  <c16:uniqueId val="{000000E3-0A6B-4376-88DD-AB3AC92F78D4}"/>
                </c:ext>
              </c:extLst>
            </c:dLbl>
            <c:dLbl>
              <c:idx val="226"/>
              <c:tx>
                <c:strRef>
                  <c:f>Frontend!$BR$236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{93A579D6-625F-46CD-80F7-E67F0F47FDD1}</c15:txfldGUID>
                      <c15:f>Frontend!$BR$236</c15:f>
                      <c15:dlblFieldTableCache>
                        <c:ptCount val="1"/>
                      </c15:dlblFieldTableCache>
                    </c15:dlblFTEntry>
                  </c15:dlblFieldTable>
                  <c15:showDataLabelsRange val="0"/>
                </c:ext>
                <c:ext xmlns:c16="http://schemas.microsoft.com/office/drawing/2014/chart" uri="{C3380CC4-5D6E-409C-BE32-E72D297353CC}">
                  <c16:uniqueId val="{000000E4-0A6B-4376-88DD-AB3AC92F78D4}"/>
                </c:ext>
              </c:extLst>
            </c:dLbl>
            <c:dLbl>
              <c:idx val="227"/>
              <c:tx>
                <c:strRef>
                  <c:f>Frontend!$BR$237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{1A224607-D621-46C0-B1E2-B99B70A2BB31}</c15:txfldGUID>
                      <c15:f>Frontend!$BR$237</c15:f>
                      <c15:dlblFieldTableCache>
                        <c:ptCount val="1"/>
                      </c15:dlblFieldTableCache>
                    </c15:dlblFTEntry>
                  </c15:dlblFieldTable>
                  <c15:showDataLabelsRange val="0"/>
                </c:ext>
                <c:ext xmlns:c16="http://schemas.microsoft.com/office/drawing/2014/chart" uri="{C3380CC4-5D6E-409C-BE32-E72D297353CC}">
                  <c16:uniqueId val="{000000E5-0A6B-4376-88DD-AB3AC92F78D4}"/>
                </c:ext>
              </c:extLst>
            </c:dLbl>
            <c:dLbl>
              <c:idx val="228"/>
              <c:tx>
                <c:strRef>
                  <c:f>Frontend!$BR$238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{C83396FD-91ED-4F3F-9F89-2437AD7FB8B9}</c15:txfldGUID>
                      <c15:f>Frontend!$BR$238</c15:f>
                      <c15:dlblFieldTableCache>
                        <c:ptCount val="1"/>
                      </c15:dlblFieldTableCache>
                    </c15:dlblFTEntry>
                  </c15:dlblFieldTable>
                  <c15:showDataLabelsRange val="0"/>
                </c:ext>
                <c:ext xmlns:c16="http://schemas.microsoft.com/office/drawing/2014/chart" uri="{C3380CC4-5D6E-409C-BE32-E72D297353CC}">
                  <c16:uniqueId val="{000000E6-0A6B-4376-88DD-AB3AC92F78D4}"/>
                </c:ext>
              </c:extLst>
            </c:dLbl>
            <c:dLbl>
              <c:idx val="229"/>
              <c:tx>
                <c:strRef>
                  <c:f>Frontend!$BR$239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{95899CA0-49B6-4467-B334-AB8BAFC118F8}</c15:txfldGUID>
                      <c15:f>Frontend!$BR$239</c15:f>
                      <c15:dlblFieldTableCache>
                        <c:ptCount val="1"/>
                      </c15:dlblFieldTableCache>
                    </c15:dlblFTEntry>
                  </c15:dlblFieldTable>
                  <c15:showDataLabelsRange val="0"/>
                </c:ext>
                <c:ext xmlns:c16="http://schemas.microsoft.com/office/drawing/2014/chart" uri="{C3380CC4-5D6E-409C-BE32-E72D297353CC}">
                  <c16:uniqueId val="{000000E7-0A6B-4376-88DD-AB3AC92F78D4}"/>
                </c:ext>
              </c:extLst>
            </c:dLbl>
            <c:dLbl>
              <c:idx val="230"/>
              <c:tx>
                <c:strRef>
                  <c:f>Frontend!$BR$240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{4C04037C-70AA-4047-94E2-7072D1FF06E1}</c15:txfldGUID>
                      <c15:f>Frontend!$BR$240</c15:f>
                      <c15:dlblFieldTableCache>
                        <c:ptCount val="1"/>
                      </c15:dlblFieldTableCache>
                    </c15:dlblFTEntry>
                  </c15:dlblFieldTable>
                  <c15:showDataLabelsRange val="0"/>
                </c:ext>
                <c:ext xmlns:c16="http://schemas.microsoft.com/office/drawing/2014/chart" uri="{C3380CC4-5D6E-409C-BE32-E72D297353CC}">
                  <c16:uniqueId val="{000000E8-0A6B-4376-88DD-AB3AC92F78D4}"/>
                </c:ext>
              </c:extLst>
            </c:dLbl>
            <c:dLbl>
              <c:idx val="231"/>
              <c:tx>
                <c:strRef>
                  <c:f>Frontend!$BR$241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{1547A6CA-A852-48D9-B61D-1DE1A8886A24}</c15:txfldGUID>
                      <c15:f>Frontend!$BR$241</c15:f>
                      <c15:dlblFieldTableCache>
                        <c:ptCount val="1"/>
                      </c15:dlblFieldTableCache>
                    </c15:dlblFTEntry>
                  </c15:dlblFieldTable>
                  <c15:showDataLabelsRange val="0"/>
                </c:ext>
                <c:ext xmlns:c16="http://schemas.microsoft.com/office/drawing/2014/chart" uri="{C3380CC4-5D6E-409C-BE32-E72D297353CC}">
                  <c16:uniqueId val="{000000E9-0A6B-4376-88DD-AB3AC92F78D4}"/>
                </c:ext>
              </c:extLst>
            </c:dLbl>
            <c:dLbl>
              <c:idx val="232"/>
              <c:tx>
                <c:strRef>
                  <c:f>Frontend!$BR$242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{11724FA8-7899-4BE1-8D55-28C73EBA1F79}</c15:txfldGUID>
                      <c15:f>Frontend!$BR$242</c15:f>
                      <c15:dlblFieldTableCache>
                        <c:ptCount val="1"/>
                      </c15:dlblFieldTableCache>
                    </c15:dlblFTEntry>
                  </c15:dlblFieldTable>
                  <c15:showDataLabelsRange val="0"/>
                </c:ext>
                <c:ext xmlns:c16="http://schemas.microsoft.com/office/drawing/2014/chart" uri="{C3380CC4-5D6E-409C-BE32-E72D297353CC}">
                  <c16:uniqueId val="{000000EA-0A6B-4376-88DD-AB3AC92F78D4}"/>
                </c:ext>
              </c:extLst>
            </c:dLbl>
            <c:dLbl>
              <c:idx val="233"/>
              <c:tx>
                <c:strRef>
                  <c:f>Frontend!$BR$243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{EBB4B052-D468-49D4-859C-2F7DB21B98FB}</c15:txfldGUID>
                      <c15:f>Frontend!$BR$243</c15:f>
                      <c15:dlblFieldTableCache>
                        <c:ptCount val="1"/>
                      </c15:dlblFieldTableCache>
                    </c15:dlblFTEntry>
                  </c15:dlblFieldTable>
                  <c15:showDataLabelsRange val="0"/>
                </c:ext>
                <c:ext xmlns:c16="http://schemas.microsoft.com/office/drawing/2014/chart" uri="{C3380CC4-5D6E-409C-BE32-E72D297353CC}">
                  <c16:uniqueId val="{000000EB-0A6B-4376-88DD-AB3AC92F78D4}"/>
                </c:ext>
              </c:extLst>
            </c:dLbl>
            <c:dLbl>
              <c:idx val="234"/>
              <c:tx>
                <c:strRef>
                  <c:f>Frontend!$BR$244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{48596D4E-72D7-43F6-B949-27EEE101B6D7}</c15:txfldGUID>
                      <c15:f>Frontend!$BR$244</c15:f>
                      <c15:dlblFieldTableCache>
                        <c:ptCount val="1"/>
                      </c15:dlblFieldTableCache>
                    </c15:dlblFTEntry>
                  </c15:dlblFieldTable>
                  <c15:showDataLabelsRange val="0"/>
                </c:ext>
                <c:ext xmlns:c16="http://schemas.microsoft.com/office/drawing/2014/chart" uri="{C3380CC4-5D6E-409C-BE32-E72D297353CC}">
                  <c16:uniqueId val="{000000EC-0A6B-4376-88DD-AB3AC92F78D4}"/>
                </c:ext>
              </c:extLst>
            </c:dLbl>
            <c:dLbl>
              <c:idx val="235"/>
              <c:tx>
                <c:strRef>
                  <c:f>Frontend!$BR$245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{BF45006B-57D8-4B37-BB92-CB9999C213F9}</c15:txfldGUID>
                      <c15:f>Frontend!$BR$245</c15:f>
                      <c15:dlblFieldTableCache>
                        <c:ptCount val="1"/>
                      </c15:dlblFieldTableCache>
                    </c15:dlblFTEntry>
                  </c15:dlblFieldTable>
                  <c15:showDataLabelsRange val="0"/>
                </c:ext>
                <c:ext xmlns:c16="http://schemas.microsoft.com/office/drawing/2014/chart" uri="{C3380CC4-5D6E-409C-BE32-E72D297353CC}">
                  <c16:uniqueId val="{000000ED-0A6B-4376-88DD-AB3AC92F78D4}"/>
                </c:ext>
              </c:extLst>
            </c:dLbl>
            <c:dLbl>
              <c:idx val="236"/>
              <c:tx>
                <c:strRef>
                  <c:f>Frontend!$BR$246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{DFDC358E-0ED6-48E9-9254-ECCFD8ECAFEF}</c15:txfldGUID>
                      <c15:f>Frontend!$BR$246</c15:f>
                      <c15:dlblFieldTableCache>
                        <c:ptCount val="1"/>
                      </c15:dlblFieldTableCache>
                    </c15:dlblFTEntry>
                  </c15:dlblFieldTable>
                  <c15:showDataLabelsRange val="0"/>
                </c:ext>
                <c:ext xmlns:c16="http://schemas.microsoft.com/office/drawing/2014/chart" uri="{C3380CC4-5D6E-409C-BE32-E72D297353CC}">
                  <c16:uniqueId val="{000000EE-0A6B-4376-88DD-AB3AC92F78D4}"/>
                </c:ext>
              </c:extLst>
            </c:dLbl>
            <c:dLbl>
              <c:idx val="237"/>
              <c:tx>
                <c:strRef>
                  <c:f>Frontend!$BR$247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{23F74E0F-7655-4C35-B9C1-89E6C76923FE}</c15:txfldGUID>
                      <c15:f>Frontend!$BR$247</c15:f>
                      <c15:dlblFieldTableCache>
                        <c:ptCount val="1"/>
                      </c15:dlblFieldTableCache>
                    </c15:dlblFTEntry>
                  </c15:dlblFieldTable>
                  <c15:showDataLabelsRange val="0"/>
                </c:ext>
                <c:ext xmlns:c16="http://schemas.microsoft.com/office/drawing/2014/chart" uri="{C3380CC4-5D6E-409C-BE32-E72D297353CC}">
                  <c16:uniqueId val="{000000EF-0A6B-4376-88DD-AB3AC92F78D4}"/>
                </c:ext>
              </c:extLst>
            </c:dLbl>
            <c:dLbl>
              <c:idx val="238"/>
              <c:tx>
                <c:strRef>
                  <c:f>Frontend!$BR$248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{83143273-DF06-4D7B-AA31-31CF6C58BCA9}</c15:txfldGUID>
                      <c15:f>Frontend!$BR$248</c15:f>
                      <c15:dlblFieldTableCache>
                        <c:ptCount val="1"/>
                      </c15:dlblFieldTableCache>
                    </c15:dlblFTEntry>
                  </c15:dlblFieldTable>
                  <c15:showDataLabelsRange val="0"/>
                </c:ext>
                <c:ext xmlns:c16="http://schemas.microsoft.com/office/drawing/2014/chart" uri="{C3380CC4-5D6E-409C-BE32-E72D297353CC}">
                  <c16:uniqueId val="{000000F0-0A6B-4376-88DD-AB3AC92F78D4}"/>
                </c:ext>
              </c:extLst>
            </c:dLbl>
            <c:dLbl>
              <c:idx val="239"/>
              <c:tx>
                <c:strRef>
                  <c:f>Frontend!$BR$249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{68ED1BAA-88CC-4D85-A90E-24E82FBF5529}</c15:txfldGUID>
                      <c15:f>Frontend!$BR$249</c15:f>
                      <c15:dlblFieldTableCache>
                        <c:ptCount val="1"/>
                      </c15:dlblFieldTableCache>
                    </c15:dlblFTEntry>
                  </c15:dlblFieldTable>
                  <c15:showDataLabelsRange val="0"/>
                </c:ext>
                <c:ext xmlns:c16="http://schemas.microsoft.com/office/drawing/2014/chart" uri="{C3380CC4-5D6E-409C-BE32-E72D297353CC}">
                  <c16:uniqueId val="{000000F1-0A6B-4376-88DD-AB3AC92F78D4}"/>
                </c:ext>
              </c:extLst>
            </c:dLbl>
            <c:dLbl>
              <c:idx val="240"/>
              <c:tx>
                <c:strRef>
                  <c:f>Frontend!$BR$250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{72D911AF-F2C7-41D2-8B59-CF3B7D41B55E}</c15:txfldGUID>
                      <c15:f>Frontend!$BR$250</c15:f>
                      <c15:dlblFieldTableCache>
                        <c:ptCount val="1"/>
                      </c15:dlblFieldTableCache>
                    </c15:dlblFTEntry>
                  </c15:dlblFieldTable>
                  <c15:showDataLabelsRange val="0"/>
                </c:ext>
                <c:ext xmlns:c16="http://schemas.microsoft.com/office/drawing/2014/chart" uri="{C3380CC4-5D6E-409C-BE32-E72D297353CC}">
                  <c16:uniqueId val="{000000F2-0A6B-4376-88DD-AB3AC92F78D4}"/>
                </c:ext>
              </c:extLst>
            </c:dLbl>
            <c:dLbl>
              <c:idx val="241"/>
              <c:tx>
                <c:strRef>
                  <c:f>Frontend!$BR$251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{3BEB52D1-F655-4B2D-AA14-05AB342FC0CE}</c15:txfldGUID>
                      <c15:f>Frontend!$BR$251</c15:f>
                      <c15:dlblFieldTableCache>
                        <c:ptCount val="1"/>
                      </c15:dlblFieldTableCache>
                    </c15:dlblFTEntry>
                  </c15:dlblFieldTable>
                  <c15:showDataLabelsRange val="0"/>
                </c:ext>
                <c:ext xmlns:c16="http://schemas.microsoft.com/office/drawing/2014/chart" uri="{C3380CC4-5D6E-409C-BE32-E72D297353CC}">
                  <c16:uniqueId val="{000000F3-0A6B-4376-88DD-AB3AC92F78D4}"/>
                </c:ext>
              </c:extLst>
            </c:dLbl>
            <c:dLbl>
              <c:idx val="242"/>
              <c:tx>
                <c:strRef>
                  <c:f>Frontend!$BR$252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{710E60AD-2290-464F-B66B-CDEBA1C40D0B}</c15:txfldGUID>
                      <c15:f>Frontend!$BR$252</c15:f>
                      <c15:dlblFieldTableCache>
                        <c:ptCount val="1"/>
                      </c15:dlblFieldTableCache>
                    </c15:dlblFTEntry>
                  </c15:dlblFieldTable>
                  <c15:showDataLabelsRange val="0"/>
                </c:ext>
                <c:ext xmlns:c16="http://schemas.microsoft.com/office/drawing/2014/chart" uri="{C3380CC4-5D6E-409C-BE32-E72D297353CC}">
                  <c16:uniqueId val="{000000F4-0A6B-4376-88DD-AB3AC92F78D4}"/>
                </c:ext>
              </c:extLst>
            </c:dLbl>
            <c:dLbl>
              <c:idx val="243"/>
              <c:tx>
                <c:strRef>
                  <c:f>Frontend!$BR$253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{1FCBE5D2-D770-4E7B-AE3E-E8D84FC1097A}</c15:txfldGUID>
                      <c15:f>Frontend!$BR$253</c15:f>
                      <c15:dlblFieldTableCache>
                        <c:ptCount val="1"/>
                      </c15:dlblFieldTableCache>
                    </c15:dlblFTEntry>
                  </c15:dlblFieldTable>
                  <c15:showDataLabelsRange val="0"/>
                </c:ext>
                <c:ext xmlns:c16="http://schemas.microsoft.com/office/drawing/2014/chart" uri="{C3380CC4-5D6E-409C-BE32-E72D297353CC}">
                  <c16:uniqueId val="{000000F5-0A6B-4376-88DD-AB3AC92F78D4}"/>
                </c:ext>
              </c:extLst>
            </c:dLbl>
            <c:dLbl>
              <c:idx val="244"/>
              <c:tx>
                <c:strRef>
                  <c:f>Frontend!$BR$254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{13CD4E0D-516B-4C5A-9C98-DF845642FE8D}</c15:txfldGUID>
                      <c15:f>Frontend!$BR$254</c15:f>
                      <c15:dlblFieldTableCache>
                        <c:ptCount val="1"/>
                      </c15:dlblFieldTableCache>
                    </c15:dlblFTEntry>
                  </c15:dlblFieldTable>
                  <c15:showDataLabelsRange val="0"/>
                </c:ext>
                <c:ext xmlns:c16="http://schemas.microsoft.com/office/drawing/2014/chart" uri="{C3380CC4-5D6E-409C-BE32-E72D297353CC}">
                  <c16:uniqueId val="{000000F6-0A6B-4376-88DD-AB3AC92F78D4}"/>
                </c:ext>
              </c:extLst>
            </c:dLbl>
            <c:dLbl>
              <c:idx val="245"/>
              <c:tx>
                <c:strRef>
                  <c:f>Frontend!$BR$255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{B4E442BB-8AF6-4566-BF0D-1B1A5745BAF0}</c15:txfldGUID>
                      <c15:f>Frontend!$BR$255</c15:f>
                      <c15:dlblFieldTableCache>
                        <c:ptCount val="1"/>
                      </c15:dlblFieldTableCache>
                    </c15:dlblFTEntry>
                  </c15:dlblFieldTable>
                  <c15:showDataLabelsRange val="0"/>
                </c:ext>
                <c:ext xmlns:c16="http://schemas.microsoft.com/office/drawing/2014/chart" uri="{C3380CC4-5D6E-409C-BE32-E72D297353CC}">
                  <c16:uniqueId val="{000000F7-0A6B-4376-88DD-AB3AC92F78D4}"/>
                </c:ext>
              </c:extLst>
            </c:dLbl>
            <c:dLbl>
              <c:idx val="246"/>
              <c:tx>
                <c:strRef>
                  <c:f>Frontend!$BR$256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{9A1DBC6B-0F9A-4076-9175-CCC9F41ACAE7}</c15:txfldGUID>
                      <c15:f>Frontend!$BR$256</c15:f>
                      <c15:dlblFieldTableCache>
                        <c:ptCount val="1"/>
                      </c15:dlblFieldTableCache>
                    </c15:dlblFTEntry>
                  </c15:dlblFieldTable>
                  <c15:showDataLabelsRange val="0"/>
                </c:ext>
                <c:ext xmlns:c16="http://schemas.microsoft.com/office/drawing/2014/chart" uri="{C3380CC4-5D6E-409C-BE32-E72D297353CC}">
                  <c16:uniqueId val="{000000F8-0A6B-4376-88DD-AB3AC92F78D4}"/>
                </c:ext>
              </c:extLst>
            </c:dLbl>
            <c:dLbl>
              <c:idx val="247"/>
              <c:tx>
                <c:strRef>
                  <c:f>Frontend!$BR$257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{366714FF-DB85-4A67-8FE4-D86939D4E5EF}</c15:txfldGUID>
                      <c15:f>Frontend!$BR$257</c15:f>
                      <c15:dlblFieldTableCache>
                        <c:ptCount val="1"/>
                      </c15:dlblFieldTableCache>
                    </c15:dlblFTEntry>
                  </c15:dlblFieldTable>
                  <c15:showDataLabelsRange val="0"/>
                </c:ext>
                <c:ext xmlns:c16="http://schemas.microsoft.com/office/drawing/2014/chart" uri="{C3380CC4-5D6E-409C-BE32-E72D297353CC}">
                  <c16:uniqueId val="{000000F9-0A6B-4376-88DD-AB3AC92F78D4}"/>
                </c:ext>
              </c:extLst>
            </c:dLbl>
            <c:dLbl>
              <c:idx val="248"/>
              <c:tx>
                <c:strRef>
                  <c:f>Frontend!$BR$258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{63C3A323-3822-4F4E-B7A5-8D167B1AFB96}</c15:txfldGUID>
                      <c15:f>Frontend!$BR$258</c15:f>
                      <c15:dlblFieldTableCache>
                        <c:ptCount val="1"/>
                      </c15:dlblFieldTableCache>
                    </c15:dlblFTEntry>
                  </c15:dlblFieldTable>
                  <c15:showDataLabelsRange val="0"/>
                </c:ext>
                <c:ext xmlns:c16="http://schemas.microsoft.com/office/drawing/2014/chart" uri="{C3380CC4-5D6E-409C-BE32-E72D297353CC}">
                  <c16:uniqueId val="{000000FA-0A6B-4376-88DD-AB3AC92F78D4}"/>
                </c:ext>
              </c:extLst>
            </c:dLbl>
            <c:dLbl>
              <c:idx val="249"/>
              <c:tx>
                <c:strRef>
                  <c:f>Frontend!$BR$259</c:f>
                  <c:strCache>
                    <c:ptCount val="1"/>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{59C8E7E5-8A30-48B4-9907-64E8BB5AD7AD}</c15:txfldGUID>
                      <c15:f>Frontend!$BR$259</c15:f>
                      <c15:dlblFieldTableCache>
                        <c:ptCount val="1"/>
                      </c15:dlblFieldTableCache>
                    </c15:dlblFTEntry>
                  </c15:dlblFieldTable>
                  <c15:showDataLabelsRange val="0"/>
                </c:ext>
                <c:ext xmlns:c16="http://schemas.microsoft.com/office/drawing/2014/chart" uri="{C3380CC4-5D6E-409C-BE32-E72D297353CC}">
                  <c16:uniqueId val="{000000FB-0A6B-4376-88DD-AB3AC92F78D4}"/>
                </c:ext>
              </c:extLst>
            </c:dLbl>
            <c:dLbl>
              <c:idx val="250"/>
              <c:tx>
                <c:strRef>
                  <c:f>Frontend!$BR$260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{3F94FF70-F422-46B3-AF51-A30679B34F61}</c15:txfldGUID>
                      <c15:f>Frontend!$BR$260</c15:f>
                      <c15:dlblFieldTableCache>
                        <c:ptCount val="1"/>
                      </c15:dlblFieldTableCache>
                    </c15:dlblFTEntry>
                  </c15:dlblFieldTable>
                  <c15:showDataLabelsRange val="0"/>
                </c:ext>
                <c:ext xmlns:c16="http://schemas.microsoft.com/office/drawing/2014/chart" uri="{C3380CC4-5D6E-409C-BE32-E72D297353CC}">
                  <c16:uniqueId val="{000000FC-0A6B-4376-88DD-AB3AC92F78D4}"/>
                </c:ext>
              </c:extLst>
            </c:dLbl>
            <c:dLbl>
              <c:idx val="251"/>
              <c:tx>
                <c:strRef>
                  <c:f>Frontend!$BR$261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{6B0252A4-15A4-4EEF-B9BC-DDAB4F68692B}</c15:txfldGUID>
                      <c15:f>Frontend!$BR$261</c15:f>
                      <c15:dlblFieldTableCache>
                        <c:ptCount val="1"/>
                      </c15:dlblFieldTableCache>
                    </c15:dlblFTEntry>
                  </c15:dlblFieldTable>
                  <c15:showDataLabelsRange val="0"/>
                </c:ext>
                <c:ext xmlns:c16="http://schemas.microsoft.com/office/drawing/2014/chart" uri="{C3380CC4-5D6E-409C-BE32-E72D297353CC}">
                  <c16:uniqueId val="{000000FD-0A6B-4376-88DD-AB3AC92F78D4}"/>
                </c:ext>
              </c:extLst>
            </c:dLbl>
            <c:dLbl>
              <c:idx val="252"/>
              <c:tx>
                <c:strRef>
                  <c:f>Frontend!$BR$262</c:f>
                  <c:strCache>
                    <c:ptCount val="1"/>
                    <c:pt idx="0">
                      <c:v> 20.20 (+41.7%)</c:v>
                    </c:pt>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{06FE54B7-2507-413A-905C-1881645A1A22}</c15:txfldGUID>
                      <c15:f>Frontend!$BR$262</c15:f>
                      <c15:dlblFieldTableCache>
                        <c:ptCount val="1"/>
                        <c:pt idx="0">
                          <c:v> 20.20 (+41.7%)</c:v>
                        </c:pt>
                      </c15:dlblFieldTableCache>
                    </c15:dlblFTEntry>
                  </c15:dlblFieldTable>
                  <c15:showDataLabelsRange val="0"/>
                </c:ext>
                <c:ext xmlns:c16="http://schemas.microsoft.com/office/drawing/2014/chart" uri="{C3380CC4-5D6E-409C-BE32-E72D297353CC}">
                  <c16:uniqueId val="{000000FE-0A6B-4376-88DD-AB3AC92F78D4}"/>
                </c:ext>
              </c:extLst>
            </c:dLbl>
            <c:dLbl>
              <c:idx val="253"/>
              <c:tx>
                <c:strRef>
                  <c:f>Frontend!$BR$263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{51163C46-23E3-4C57-95A3-2278405910AF}</c15:txfldGUID>
                      <c15:f>Frontend!$BR$263</c15:f>
                      <c15:dlblFieldTableCache>
                        <c:ptCount val="1"/>
                      </c15:dlblFieldTableCache>
                    </c15:dlblFTEntry>
                  </c15:dlblFieldTable>
                  <c15:showDataLabelsRange val="0"/>
                </c:ext>
                <c:ext xmlns:c16="http://schemas.microsoft.com/office/drawing/2014/chart" uri="{C3380CC4-5D6E-409C-BE32-E72D297353CC}">
                  <c16:uniqueId val="{000000FF-0A6B-4376-88DD-AB3AC92F78D4}"/>
                </c:ext>
              </c:extLst>
            </c:dLbl>
            <c:dLbl>
              <c:idx val="254"/>
              <c:tx>
                <c:strRef>
                  <c:f>Frontend!$BR$264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{5FF832A2-D42D-4E9B-AE17-38EF6D812281}</c15:txfldGUID>
                      <c15:f>Frontend!$BR$264</c15:f>
                      <c15:dlblFieldTableCache>
                        <c:ptCount val="1"/>
                      </c15:dlblFieldTableCache>
                    </c15:dlblFTEntry>
                  </c15:dlblFieldTable>
                  <c15:showDataLabelsRange val="0"/>
                </c:ext>
                <c:ext xmlns:c16="http://schemas.microsoft.com/office/drawing/2014/chart" uri="{C3380CC4-5D6E-409C-BE32-E72D297353CC}">
                  <c16:uniqueId val="{00000100-0A6B-4376-88DD-AB3AC92F78D4}"/>
                </c:ext>
              </c:extLst>
            </c:dLbl>
            <c:dLbl>
              <c:idx val="255"/>
              <c:tx>
                <c:strRef>
                  <c:f>Frontend!$BR$265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{2F03080C-C74A-4F7E-A14B-5ADC5A8AA3CE}</c15:txfldGUID>
                      <c15:f>Frontend!$BR$265</c15:f>
                      <c15:dlblFieldTableCache>
                        <c:ptCount val="1"/>
                      </c15:dlblFieldTableCache>
                    </c15:dlblFTEntry>
                  </c15:dlblFieldTable>
                  <c15:showDataLabelsRange val="0"/>
                </c:ext>
                <c:ext xmlns:c16="http://schemas.microsoft.com/office/drawing/2014/chart" uri="{C3380CC4-5D6E-409C-BE32-E72D297353CC}">
                  <c16:uniqueId val="{00000101-0A6B-4376-88DD-AB3AC92F78D4}"/>
                </c:ext>
              </c:extLst>
            </c:dLbl>
            <c:dLbl>
              <c:idx val="256"/>
              <c:tx>
                <c:strRef>
                  <c:f>Frontend!$BR$266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{45B851F1-4751-4183-AC65-ED522CF9B055}</c15:txfldGUID>
                      <c15:f>Frontend!$BR$266</c15:f>
                      <c15:dlblFieldTableCache>
                        <c:ptCount val="1"/>
                      </c15:dlblFieldTableCache>
                    </c15:dlblFTEntry>
                  </c15:dlblFieldTable>
                  <c15:showDataLabelsRange val="0"/>
                </c:ext>
                <c:ext xmlns:c16="http://schemas.microsoft.com/office/drawing/2014/chart" uri="{C3380CC4-5D6E-409C-BE32-E72D297353CC}">
                  <c16:uniqueId val="{00000102-0A6B-4376-88DD-AB3AC92F78D4}"/>
                </c:ext>
              </c:extLst>
            </c:dLbl>
            <c:dLbl>
              <c:idx val="257"/>
              <c:tx>
                <c:strRef>
                  <c:f>Frontend!$BR$267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{25A5206E-2664-4D91-94F9-F2166A67CE41}</c15:txfldGUID>
                      <c15:f>Frontend!$BR$267</c15:f>
                      <c15:dlblFieldTableCache>
                        <c:ptCount val="1"/>
                      </c15:dlblFieldTableCache>
                    </c15:dlblFTEntry>
                  </c15:dlblFieldTable>
                  <c15:showDataLabelsRange val="0"/>
                </c:ext>
                <c:ext xmlns:c16="http://schemas.microsoft.com/office/drawing/2014/chart" uri="{C3380CC4-5D6E-409C-BE32-E72D297353CC}">
                  <c16:uniqueId val="{00000103-0A6B-4376-88DD-AB3AC92F78D4}"/>
                </c:ext>
              </c:extLst>
            </c:dLbl>
            <c:dLbl>
              <c:idx val="258"/>
              <c:tx>
                <c:strRef>
                  <c:f>Frontend!$BR$268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{FD9B17E6-E173-4A3A-BE00-7A13A89BE35B}</c15:txfldGUID>
                      <c15:f>Frontend!$BR$268</c15:f>
                      <c15:dlblFieldTableCache>
                        <c:ptCount val="1"/>
                      </c15:dlblFieldTableCache>
                    </c15:dlblFTEntry>
                  </c15:dlblFieldTable>
                  <c15:showDataLabelsRange val="0"/>
                </c:ext>
                <c:ext xmlns:c16="http://schemas.microsoft.com/office/drawing/2014/chart" uri="{C3380CC4-5D6E-409C-BE32-E72D297353CC}">
                  <c16:uniqueId val="{00000104-0A6B-4376-88DD-AB3AC92F78D4}"/>
                </c:ext>
              </c:extLst>
            </c:dLbl>
            <c:dLbl>
              <c:idx val="259"/>
              <c:tx>
                <c:strRef>
                  <c:f>Frontend!$BR$269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{7BD45C43-637B-41EE-8A61-1231A4FFE607}</c15:txfldGUID>
                      <c15:f>Frontend!$BR$269</c15:f>
                      <c15:dlblFieldTableCache>
                        <c:ptCount val="1"/>
                      </c15:dlblFieldTableCache>
                    </c15:dlblFTEntry>
                  </c15:dlblFieldTable>
                  <c15:showDataLabelsRange val="0"/>
                </c:ext>
                <c:ext xmlns:c16="http://schemas.microsoft.com/office/drawing/2014/chart" uri="{C3380CC4-5D6E-409C-BE32-E72D297353CC}">
                  <c16:uniqueId val="{00000105-0A6B-4376-88DD-AB3AC92F78D4}"/>
                </c:ext>
              </c:extLst>
            </c:dLbl>
            <c:dLbl>
              <c:idx val="260"/>
              <c:tx>
                <c:strRef>
                  <c:f>Frontend!$BR$270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{540F996A-7534-4EEE-A4BF-F053ABE35663}</c15:txfldGUID>
                      <c15:f>Frontend!$BR$270</c15:f>
                      <c15:dlblFieldTableCache>
                        <c:ptCount val="1"/>
                      </c15:dlblFieldTableCache>
                    </c15:dlblFTEntry>
                  </c15:dlblFieldTable>
                  <c15:showDataLabelsRange val="0"/>
                </c:ext>
                <c:ext xmlns:c16="http://schemas.microsoft.com/office/drawing/2014/chart" uri="{C3380CC4-5D6E-409C-BE32-E72D297353CC}">
                  <c16:uniqueId val="{00000106-0A6B-4376-88DD-AB3AC92F78D4}"/>
                </c:ext>
              </c:extLst>
            </c:dLbl>
            <c:dLbl>
              <c:idx val="261"/>
              <c:tx>
                <c:strRef>
                  <c:f>Frontend!$BR$271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{74E41B88-281E-4A70-A712-1B93F8C52007}</c15:txfldGUID>
                      <c15:f>Frontend!$BR$271</c15:f>
                      <c15:dlblFieldTableCache>
                        <c:ptCount val="1"/>
                      </c15:dlblFieldTableCache>
                    </c15:dlblFTEntry>
                  </c15:dlblFieldTable>
                  <c15:showDataLabelsRange val="0"/>
                </c:ext>
                <c:ext xmlns:c16="http://schemas.microsoft.com/office/drawing/2014/chart" uri="{C3380CC4-5D6E-409C-BE32-E72D297353CC}">
                  <c16:uniqueId val="{00000107-0A6B-4376-88DD-AB3AC92F78D4}"/>
                </c:ext>
              </c:extLst>
            </c:dLbl>
            <c:dLbl>
              <c:idx val="262"/>
              <c:tx>
                <c:strRef>
                  <c:f>Frontend!$BR$272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{C89D5484-283C-4028-8AE6-FFA167C7B3DC}</c15:txfldGUID>
                      <c15:f>Frontend!$BR$272</c15:f>
                      <c15:dlblFieldTableCache>
                        <c:ptCount val="1"/>
                      </c15:dlblFieldTableCache>
                    </c15:dlblFTEntry>
                  </c15:dlblFieldTable>
                  <c15:showDataLabelsRange val="0"/>
                </c:ext>
                <c:ext xmlns:c16="http://schemas.microsoft.com/office/drawing/2014/chart" uri="{C3380CC4-5D6E-409C-BE32-E72D297353CC}">
                  <c16:uniqueId val="{00000108-0A6B-4376-88DD-AB3AC92F78D4}"/>
                </c:ext>
              </c:extLst>
            </c:dLbl>
            <c:dLbl>
              <c:idx val="263"/>
              <c:tx>
                <c:strRef>
                  <c:f>Frontend!$BR$273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{F6B0AF38-E121-40C4-9EBA-C7B7898FF964}</c15:txfldGUID>
                      <c15:f>Frontend!$BR$273</c15:f>
                      <c15:dlblFieldTableCache>
                        <c:ptCount val="1"/>
                      </c15:dlblFieldTableCache>
                    </c15:dlblFTEntry>
                  </c15:dlblFieldTable>
                  <c15:showDataLabelsRange val="0"/>
                </c:ext>
                <c:ext xmlns:c16="http://schemas.microsoft.com/office/drawing/2014/chart" uri="{C3380CC4-5D6E-409C-BE32-E72D297353CC}">
                  <c16:uniqueId val="{00000109-0A6B-4376-88DD-AB3AC92F78D4}"/>
                </c:ext>
              </c:extLst>
            </c:dLbl>
            <c:dLbl>
              <c:idx val="264"/>
              <c:tx>
                <c:strRef>
                  <c:f>Frontend!$BR$274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{DAC8C370-EB3E-432D-A825-F003C19E0176}</c15:txfldGUID>
                      <c15:f>Frontend!$BR$274</c15:f>
                      <c15:dlblFieldTableCache>
                        <c:ptCount val="1"/>
                      </c15:dlblFieldTableCache>
                    </c15:dlblFTEntry>
                  </c15:dlblFieldTable>
                  <c15:showDataLabelsRange val="0"/>
                </c:ext>
                <c:ext xmlns:c16="http://schemas.microsoft.com/office/drawing/2014/chart" uri="{C3380CC4-5D6E-409C-BE32-E72D297353CC}">
                  <c16:uniqueId val="{0000010A-0A6B-4376-88DD-AB3AC92F78D4}"/>
                </c:ext>
              </c:extLst>
            </c:dLbl>
            <c:dLbl>
              <c:idx val="265"/>
              <c:tx>
                <c:strRef>
                  <c:f>Frontend!$BR$275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{7F255D94-1156-4C40-BC76-AD8616E003D6}</c15:txfldGUID>
                      <c15:f>Frontend!$BR$275</c15:f>
                      <c15:dlblFieldTableCache>
                        <c:ptCount val="1"/>
                      </c15:dlblFieldTableCache>
                    </c15:dlblFTEntry>
                  </c15:dlblFieldTable>
                  <c15:showDataLabelsRange val="0"/>
                </c:ext>
                <c:ext xmlns:c16="http://schemas.microsoft.com/office/drawing/2014/chart" uri="{C3380CC4-5D6E-409C-BE32-E72D297353CC}">
                  <c16:uniqueId val="{0000010B-0A6B-4376-88DD-AB3AC92F78D4}"/>
                </c:ext>
              </c:extLst>
            </c:dLbl>
            <c:dLbl>
              <c:idx val="266"/>
              <c:tx>
                <c:strRef>
                  <c:f>Frontend!$BR$276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{BEF760F3-0F70-4C4A-82CB-1CC283C1106D}</c15:txfldGUID>
                      <c15:f>Frontend!$BR$276</c15:f>
                      <c15:dlblFieldTableCache>
                        <c:ptCount val="1"/>
                      </c15:dlblFieldTableCache>
                    </c15:dlblFTEntry>
                  </c15:dlblFieldTable>
                  <c15:showDataLabelsRange val="0"/>
                </c:ext>
                <c:ext xmlns:c16="http://schemas.microsoft.com/office/drawing/2014/chart" uri="{C3380CC4-5D6E-409C-BE32-E72D297353CC}">
                  <c16:uniqueId val="{0000010C-0A6B-4376-88DD-AB3AC92F78D4}"/>
                </c:ext>
              </c:extLst>
            </c:dLbl>
            <c:dLbl>
              <c:idx val="267"/>
              <c:tx>
                <c:strRef>
                  <c:f>Frontend!$BR$277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{B2140811-43EC-47C1-AEE1-68C3095702D1}</c15:txfldGUID>
                      <c15:f>Frontend!$BR$277</c15:f>
                      <c15:dlblFieldTableCache>
                        <c:ptCount val="1"/>
                      </c15:dlblFieldTableCache>
                    </c15:dlblFTEntry>
                  </c15:dlblFieldTable>
                  <c15:showDataLabelsRange val="0"/>
                </c:ext>
                <c:ext xmlns:c16="http://schemas.microsoft.com/office/drawing/2014/chart" uri="{C3380CC4-5D6E-409C-BE32-E72D297353CC}">
                  <c16:uniqueId val="{0000010D-0A6B-4376-88DD-AB3AC92F78D4}"/>
                </c:ext>
              </c:extLst>
            </c:dLbl>
            <c:dLbl>
              <c:idx val="268"/>
              <c:tx>
                <c:strRef>
                  <c:f>Frontend!$BR$278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{27D35B4A-B6C0-40CE-971E-89E8253F1699}</c15:txfldGUID>
                      <c15:f>Frontend!$BR$278</c15:f>
                      <c15:dlblFieldTableCache>
                        <c:ptCount val="1"/>
                      </c15:dlblFieldTableCache>
                    </c15:dlblFTEntry>
                  </c15:dlblFieldTable>
                  <c15:showDataLabelsRange val="0"/>
                </c:ext>
                <c:ext xmlns:c16="http://schemas.microsoft.com/office/drawing/2014/chart" uri="{C3380CC4-5D6E-409C-BE32-E72D297353CC}">
                  <c16:uniqueId val="{0000010E-0A6B-4376-88DD-AB3AC92F78D4}"/>
                </c:ext>
              </c:extLst>
            </c:dLbl>
            <c:dLbl>
              <c:idx val="269"/>
              <c:tx>
                <c:strRef>
                  <c:f>Frontend!$BR$279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{4D9020A3-7B04-4B51-8AED-035A6F47C0E3}</c15:txfldGUID>
                      <c15:f>Frontend!$BR$279</c15:f>
                      <c15:dlblFieldTableCache>
                        <c:ptCount val="1"/>
                      </c15:dlblFieldTableCache>
                    </c15:dlblFTEntry>
                  </c15:dlblFieldTable>
                  <c15:showDataLabelsRange val="0"/>
                </c:ext>
                <c:ext xmlns:c16="http://schemas.microsoft.com/office/drawing/2014/chart" uri="{C3380CC4-5D6E-409C-BE32-E72D297353CC}">
                  <c16:uniqueId val="{0000010F-0A6B-4376-88DD-AB3AC92F78D4}"/>
                </c:ext>
              </c:extLst>
            </c:dLbl>
            <c:dLbl>
              <c:idx val="270"/>
              <c:tx>
                <c:strRef>
                  <c:f>Frontend!$BR$280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{4E0B338E-2665-46D6-9B93-7706A94FB11B}</c15:txfldGUID>
                      <c15:f>Frontend!$BR$280</c15:f>
                      <c15:dlblFieldTableCache>
                        <c:ptCount val="1"/>
                      </c15:dlblFieldTableCache>
                    </c15:dlblFTEntry>
                  </c15:dlblFieldTable>
                  <c15:showDataLabelsRange val="0"/>
                </c:ext>
                <c:ext xmlns:c16="http://schemas.microsoft.com/office/drawing/2014/chart" uri="{C3380CC4-5D6E-409C-BE32-E72D297353CC}">
                  <c16:uniqueId val="{00000110-0A6B-4376-88DD-AB3AC92F78D4}"/>
                </c:ext>
              </c:extLst>
            </c:dLbl>
            <c:dLbl>
              <c:idx val="271"/>
              <c:tx>
                <c:strRef>
                  <c:f>Frontend!$BR$281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{CB6DD760-BE7C-40A4-99AE-E433A7CAE6BC}</c15:txfldGUID>
                      <c15:f>Frontend!$BR$281</c15:f>
                      <c15:dlblFieldTableCache>
                        <c:ptCount val="1"/>
                      </c15:dlblFieldTableCache>
                    </c15:dlblFTEntry>
                  </c15:dlblFieldTable>
                  <c15:showDataLabelsRange val="0"/>
                </c:ext>
                <c:ext xmlns:c16="http://schemas.microsoft.com/office/drawing/2014/chart" uri="{C3380CC4-5D6E-409C-BE32-E72D297353CC}">
                  <c16:uniqueId val="{00000111-0A6B-4376-88DD-AB3AC92F78D4}"/>
                </c:ext>
              </c:extLst>
            </c:dLbl>
            <c:dLbl>
              <c:idx val="272"/>
              <c:tx>
                <c:strRef>
                  <c:f>Frontend!$BR$282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{B437E9B4-E4AC-46A4-9C6C-EAE52534CCD9}</c15:txfldGUID>
                      <c15:f>Frontend!$BR$282</c15:f>
                      <c15:dlblFieldTableCache>
                        <c:ptCount val="1"/>
                      </c15:dlblFieldTableCache>
                    </c15:dlblFTEntry>
                  </c15:dlblFieldTable>
                  <c15:showDataLabelsRange val="0"/>
                </c:ext>
                <c:ext xmlns:c16="http://schemas.microsoft.com/office/drawing/2014/chart" uri="{C3380CC4-5D6E-409C-BE32-E72D297353CC}">
                  <c16:uniqueId val="{00000112-0A6B-4376-88DD-AB3AC92F78D4}"/>
                </c:ext>
              </c:extLst>
            </c:dLbl>
            <c:dLbl>
              <c:idx val="273"/>
              <c:tx>
                <c:strRef>
                  <c:f>Frontend!$BR$283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{8693AC2D-2A30-4272-A76D-6888D3967B77}</c15:txfldGUID>
                      <c15:f>Frontend!$BR$283</c15:f>
                      <c15:dlblFieldTableCache>
                        <c:ptCount val="1"/>
                      </c15:dlblFieldTableCache>
                    </c15:dlblFTEntry>
                  </c15:dlblFieldTable>
                  <c15:showDataLabelsRange val="0"/>
                </c:ext>
                <c:ext xmlns:c16="http://schemas.microsoft.com/office/drawing/2014/chart" uri="{C3380CC4-5D6E-409C-BE32-E72D297353CC}">
                  <c16:uniqueId val="{00000113-0A6B-4376-88DD-AB3AC92F78D4}"/>
                </c:ext>
              </c:extLst>
            </c:dLbl>
            <c:dLbl>
              <c:idx val="274"/>
              <c:tx>
                <c:strRef>
                  <c:f>Frontend!$BR$284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{63EF4A1C-97B8-4379-8A92-CFD9078C1EB3}</c15:txfldGUID>
                      <c15:f>Frontend!$BR$284</c15:f>
                      <c15:dlblFieldTableCache>
                        <c:ptCount val="1"/>
                      </c15:dlblFieldTableCache>
                    </c15:dlblFTEntry>
                  </c15:dlblFieldTable>
                  <c15:showDataLabelsRange val="0"/>
                </c:ext>
                <c:ext xmlns:c16="http://schemas.microsoft.com/office/drawing/2014/chart" uri="{C3380CC4-5D6E-409C-BE32-E72D297353CC}">
                  <c16:uniqueId val="{00000114-0A6B-4376-88DD-AB3AC92F78D4}"/>
                </c:ext>
              </c:extLst>
            </c:dLbl>
            <c:dLbl>
              <c:idx val="275"/>
              <c:tx>
                <c:strRef>
                  <c:f>Frontend!$BR$285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{C2B63F45-F63E-4D74-BE34-57BFA5A87922}</c15:txfldGUID>
                      <c15:f>Frontend!$BR$285</c15:f>
                      <c15:dlblFieldTableCache>
                        <c:ptCount val="1"/>
                      </c15:dlblFieldTableCache>
                    </c15:dlblFTEntry>
                  </c15:dlblFieldTable>
                  <c15:showDataLabelsRange val="0"/>
                </c:ext>
                <c:ext xmlns:c16="http://schemas.microsoft.com/office/drawing/2014/chart" uri="{C3380CC4-5D6E-409C-BE32-E72D297353CC}">
                  <c16:uniqueId val="{00000115-0A6B-4376-88DD-AB3AC92F78D4}"/>
                </c:ext>
              </c:extLst>
            </c:dLbl>
            <c:dLbl>
              <c:idx val="276"/>
              <c:tx>
                <c:strRef>
                  <c:f>Frontend!$BR$286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{306CB9A6-3B52-456F-8746-898DB3415C92}</c15:txfldGUID>
                      <c15:f>Frontend!$BR$286</c15:f>
                      <c15:dlblFieldTableCache>
                        <c:ptCount val="1"/>
                      </c15:dlblFieldTableCache>
                    </c15:dlblFTEntry>
                  </c15:dlblFieldTable>
                  <c15:showDataLabelsRange val="0"/>
                </c:ext>
                <c:ext xmlns:c16="http://schemas.microsoft.com/office/drawing/2014/chart" uri="{C3380CC4-5D6E-409C-BE32-E72D297353CC}">
                  <c16:uniqueId val="{00000116-0A6B-4376-88DD-AB3AC92F78D4}"/>
                </c:ext>
              </c:extLst>
            </c:dLbl>
            <c:dLbl>
              <c:idx val="277"/>
              <c:tx>
                <c:strRef>
                  <c:f>Frontend!$BR$287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{BBEC1931-48F0-4E0B-843E-BFDCF6E8D8F9}</c15:txfldGUID>
                      <c15:f>Frontend!$BR$287</c15:f>
                      <c15:dlblFieldTableCache>
                        <c:ptCount val="1"/>
                      </c15:dlblFieldTableCache>
                    </c15:dlblFTEntry>
                  </c15:dlblFieldTable>
                  <c15:showDataLabelsRange val="0"/>
                </c:ext>
                <c:ext xmlns:c16="http://schemas.microsoft.com/office/drawing/2014/chart" uri="{C3380CC4-5D6E-409C-BE32-E72D297353CC}">
                  <c16:uniqueId val="{00000117-0A6B-4376-88DD-AB3AC92F78D4}"/>
                </c:ext>
              </c:extLst>
            </c:dLbl>
            <c:dLbl>
              <c:idx val="278"/>
              <c:tx>
                <c:strRef>
                  <c:f>Frontend!$BR$288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{9B4D1138-82EA-48F2-964C-49D129CAAC0A}</c15:txfldGUID>
                      <c15:f>Frontend!$BR$288</c15:f>
                      <c15:dlblFieldTableCache>
                        <c:ptCount val="1"/>
                      </c15:dlblFieldTableCache>
                    </c15:dlblFTEntry>
                  </c15:dlblFieldTable>
                  <c15:showDataLabelsRange val="0"/>
                </c:ext>
                <c:ext xmlns:c16="http://schemas.microsoft.com/office/drawing/2014/chart" uri="{C3380CC4-5D6E-409C-BE32-E72D297353CC}">
                  <c16:uniqueId val="{00000118-0A6B-4376-88DD-AB3AC92F78D4}"/>
                </c:ext>
              </c:extLst>
            </c:dLbl>
            <c:dLbl>
              <c:idx val="279"/>
              <c:tx>
                <c:strRef>
                  <c:f>Frontend!$BR$289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{74E80A19-89D2-4D74-BA3E-B448B8DABAAA}</c15:txfldGUID>
                      <c15:f>Frontend!$BR$289</c15:f>
                      <c15:dlblFieldTableCache>
                        <c:ptCount val="1"/>
                      </c15:dlblFieldTableCache>
                    </c15:dlblFTEntry>
                  </c15:dlblFieldTable>
                  <c15:showDataLabelsRange val="0"/>
                </c:ext>
                <c:ext xmlns:c16="http://schemas.microsoft.com/office/drawing/2014/chart" uri="{C3380CC4-5D6E-409C-BE32-E72D297353CC}">
                  <c16:uniqueId val="{00000119-0A6B-4376-88DD-AB3AC92F78D4}"/>
                </c:ext>
              </c:extLst>
            </c:dLbl>
            <c:dLbl>
              <c:idx val="280"/>
              <c:tx>
                <c:strRef>
                  <c:f>Frontend!$BR$290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{D1FA30E3-23B5-4DC5-A9B5-A026E56AC116}</c15:txfldGUID>
                      <c15:f>Frontend!$BR$290</c15:f>
                      <c15:dlblFieldTableCache>
                        <c:ptCount val="1"/>
                      </c15:dlblFieldTableCache>
                    </c15:dlblFTEntry>
                  </c15:dlblFieldTable>
                  <c15:showDataLabelsRange val="0"/>
                </c:ext>
                <c:ext xmlns:c16="http://schemas.microsoft.com/office/drawing/2014/chart" uri="{C3380CC4-5D6E-409C-BE32-E72D297353CC}">
                  <c16:uniqueId val="{0000011A-0A6B-4376-88DD-AB3AC92F78D4}"/>
                </c:ext>
              </c:extLst>
            </c:dLbl>
            <c:dLbl>
              <c:idx val="281"/>
              <c:tx>
                <c:strRef>
                  <c:f>Frontend!$BR$291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{1EAD7A8B-DE42-4DFD-904D-269ADE58A738}</c15:txfldGUID>
                      <c15:f>Frontend!$BR$291</c15:f>
                      <c15:dlblFieldTableCache>
                        <c:ptCount val="1"/>
                      </c15:dlblFieldTableCache>
                    </c15:dlblFTEntry>
                  </c15:dlblFieldTable>
                  <c15:showDataLabelsRange val="0"/>
                </c:ext>
                <c:ext xmlns:c16="http://schemas.microsoft.com/office/drawing/2014/chart" uri="{C3380CC4-5D6E-409C-BE32-E72D297353CC}">
                  <c16:uniqueId val="{0000011B-0A6B-4376-88DD-AB3AC92F78D4}"/>
                </c:ext>
              </c:extLst>
            </c:dLbl>
            <c:dLbl>
              <c:idx val="282"/>
              <c:tx>
                <c:strRef>
                  <c:f>Frontend!$BR$292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{14C6D41D-42D6-4D30-ADDA-90DEEBBC60A8}</c15:txfldGUID>
                      <c15:f>Frontend!$BR$292</c15:f>
                      <c15:dlblFieldTableCache>
                        <c:ptCount val="1"/>
                      </c15:dlblFieldTableCache>
                    </c15:dlblFTEntry>
                  </c15:dlblFieldTable>
                  <c15:showDataLabelsRange val="0"/>
                </c:ext>
                <c:ext xmlns:c16="http://schemas.microsoft.com/office/drawing/2014/chart" uri="{C3380CC4-5D6E-409C-BE32-E72D297353CC}">
                  <c16:uniqueId val="{0000011C-0A6B-4376-88DD-AB3AC92F78D4}"/>
                </c:ext>
              </c:extLst>
            </c:dLbl>
            <c:dLbl>
              <c:idx val="283"/>
              <c:tx>
                <c:strRef>
                  <c:f>Frontend!$BR$293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{04B08F1E-5551-4B94-9073-CD7F8C4E063E}</c15:txfldGUID>
                      <c15:f>Frontend!$BR$293</c15:f>
                      <c15:dlblFieldTableCache>
                        <c:ptCount val="1"/>
                      </c15:dlblFieldTableCache>
                    </c15:dlblFTEntry>
                  </c15:dlblFieldTable>
                  <c15:showDataLabelsRange val="0"/>
                </c:ext>
                <c:ext xmlns:c16="http://schemas.microsoft.com/office/drawing/2014/chart" uri="{C3380CC4-5D6E-409C-BE32-E72D297353CC}">
                  <c16:uniqueId val="{0000011D-0A6B-4376-88DD-AB3AC92F78D4}"/>
                </c:ext>
              </c:extLst>
            </c:dLbl>
            <c:dLbl>
              <c:idx val="284"/>
              <c:tx>
                <c:strRef>
                  <c:f>Frontend!$BR$294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{4C8CC924-5A26-425B-AE28-8034B36A8BAB}</c15:txfldGUID>
                      <c15:f>Frontend!$BR$294</c15:f>
                      <c15:dlblFieldTableCache>
                        <c:ptCount val="1"/>
                      </c15:dlblFieldTableCache>
                    </c15:dlblFTEntry>
                  </c15:dlblFieldTable>
                  <c15:showDataLabelsRange val="0"/>
                </c:ext>
                <c:ext xmlns:c16="http://schemas.microsoft.com/office/drawing/2014/chart" uri="{C3380CC4-5D6E-409C-BE32-E72D297353CC}">
                  <c16:uniqueId val="{0000011E-0A6B-4376-88DD-AB3AC92F78D4}"/>
                </c:ext>
              </c:extLst>
            </c:dLbl>
            <c:dLbl>
              <c:idx val="285"/>
              <c:tx>
                <c:strRef>
                  <c:f>Frontend!$BR$295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{A768F60D-8E6B-4B09-A35A-DF1D11F4F556}</c15:txfldGUID>
                      <c15:f>Frontend!$BR$295</c15:f>
                      <c15:dlblFieldTableCache>
                        <c:ptCount val="1"/>
                      </c15:dlblFieldTableCache>
                    </c15:dlblFTEntry>
                  </c15:dlblFieldTable>
                  <c15:showDataLabelsRange val="0"/>
                </c:ext>
                <c:ext xmlns:c16="http://schemas.microsoft.com/office/drawing/2014/chart" uri="{C3380CC4-5D6E-409C-BE32-E72D297353CC}">
                  <c16:uniqueId val="{0000011F-0A6B-4376-88DD-AB3AC92F78D4}"/>
                </c:ext>
              </c:extLst>
            </c:dLbl>
            <c:dLbl>
              <c:idx val="286"/>
              <c:tx>
                <c:strRef>
                  <c:f>Frontend!$BR$296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{05F40783-AE96-458D-8D2F-2D2D1CE9E431}</c15:txfldGUID>
                      <c15:f>Frontend!$BR$296</c15:f>
                      <c15:dlblFieldTableCache>
                        <c:ptCount val="1"/>
                      </c15:dlblFieldTableCache>
                    </c15:dlblFTEntry>
                  </c15:dlblFieldTable>
                  <c15:showDataLabelsRange val="0"/>
                </c:ext>
                <c:ext xmlns:c16="http://schemas.microsoft.com/office/drawing/2014/chart" uri="{C3380CC4-5D6E-409C-BE32-E72D297353CC}">
                  <c16:uniqueId val="{00000120-0A6B-4376-88DD-AB3AC92F78D4}"/>
                </c:ext>
              </c:extLst>
            </c:dLbl>
            <c:dLbl>
              <c:idx val="287"/>
              <c:tx>
                <c:strRef>
                  <c:f>Frontend!$BR$297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{03D11594-8B40-4173-8DF1-8C6EFFCAD31D}</c15:txfldGUID>
                      <c15:f>Frontend!$BR$297</c15:f>
                      <c15:dlblFieldTableCache>
                        <c:ptCount val="1"/>
                      </c15:dlblFieldTableCache>
                    </c15:dlblFTEntry>
                  </c15:dlblFieldTable>
                  <c15:showDataLabelsRange val="0"/>
                </c:ext>
                <c:ext xmlns:c16="http://schemas.microsoft.com/office/drawing/2014/chart" uri="{C3380CC4-5D6E-409C-BE32-E72D297353CC}">
                  <c16:uniqueId val="{00000121-0A6B-4376-88DD-AB3AC92F78D4}"/>
                </c:ext>
              </c:extLst>
            </c:dLbl>
            <c:dLbl>
              <c:idx val="288"/>
              <c:tx>
                <c:strRef>
                  <c:f>Frontend!$BR$298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{2B68B140-9568-4648-A3B8-0C482C365A3D}</c15:txfldGUID>
                      <c15:f>Frontend!$BR$298</c15:f>
                      <c15:dlblFieldTableCache>
                        <c:ptCount val="1"/>
                      </c15:dlblFieldTableCache>
                    </c15:dlblFTEntry>
                  </c15:dlblFieldTable>
                  <c15:showDataLabelsRange val="0"/>
                </c:ext>
                <c:ext xmlns:c16="http://schemas.microsoft.com/office/drawing/2014/chart" uri="{C3380CC4-5D6E-409C-BE32-E72D297353CC}">
                  <c16:uniqueId val="{00000122-0A6B-4376-88DD-AB3AC92F78D4}"/>
                </c:ext>
              </c:extLst>
            </c:dLbl>
            <c:dLbl>
              <c:idx val="289"/>
              <c:tx>
                <c:strRef>
                  <c:f>Frontend!$BR$299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{7F64B514-07EF-4425-97E1-31C6A8B7E015}</c15:txfldGUID>
                      <c15:f>Frontend!$BR$299</c15:f>
                      <c15:dlblFieldTableCache>
                        <c:ptCount val="1"/>
                      </c15:dlblFieldTableCache>
                    </c15:dlblFTEntry>
                  </c15:dlblFieldTable>
                  <c15:showDataLabelsRange val="0"/>
                </c:ext>
                <c:ext xmlns:c16="http://schemas.microsoft.com/office/drawing/2014/chart" uri="{C3380CC4-5D6E-409C-BE32-E72D297353CC}">
                  <c16:uniqueId val="{00000123-0A6B-4376-88DD-AB3AC92F78D4}"/>
                </c:ext>
              </c:extLst>
            </c:dLbl>
            <c:dLbl>
              <c:idx val="290"/>
              <c:tx>
                <c:strRef>
                  <c:f>Frontend!$BR$300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{8CCA303F-BB16-4CB3-8275-DAD22662A4FD}</c15:txfldGUID>
                      <c15:f>Frontend!$BR$300</c15:f>
                      <c15:dlblFieldTableCache>
                        <c:ptCount val="1"/>
                      </c15:dlblFieldTableCache>
                    </c15:dlblFTEntry>
                  </c15:dlblFieldTable>
                  <c15:showDataLabelsRange val="0"/>
                </c:ext>
                <c:ext xmlns:c16="http://schemas.microsoft.com/office/drawing/2014/chart" uri="{C3380CC4-5D6E-409C-BE32-E72D297353CC}">
                  <c16:uniqueId val="{00000124-0A6B-4376-88DD-AB3AC92F78D4}"/>
                </c:ext>
              </c:extLst>
            </c:dLbl>
            <c:dLbl>
              <c:idx val="291"/>
              <c:tx>
                <c:strRef>
                  <c:f>Frontend!$BR$301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{ED3016AA-E3E5-4DB3-BB36-E9826E11A573}</c15:txfldGUID>
                      <c15:f>Frontend!$BR$301</c15:f>
                      <c15:dlblFieldTableCache>
                        <c:ptCount val="1"/>
                      </c15:dlblFieldTableCache>
                    </c15:dlblFTEntry>
                  </c15:dlblFieldTable>
                  <c15:showDataLabelsRange val="0"/>
                </c:ext>
                <c:ext xmlns:c16="http://schemas.microsoft.com/office/drawing/2014/chart" uri="{C3380CC4-5D6E-409C-BE32-E72D297353CC}">
                  <c16:uniqueId val="{00000125-0A6B-4376-88DD-AB3AC92F78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Frontend!$BL$10:$BL$301</c:f>
              <c:numCache>
                <c:formatCode>d\-mmm\-yy</c:formatCode>
                <c:ptCount val="292"/>
                <c:pt idx="0">
                  <c:v>44705</c:v>
                </c:pt>
                <c:pt idx="1">
                  <c:v>44705</c:v>
                </c:pt>
                <c:pt idx="2">
                  <c:v>44706</c:v>
                </c:pt>
                <c:pt idx="3">
                  <c:v>44707</c:v>
                </c:pt>
                <c:pt idx="4">
                  <c:v>44708</c:v>
                </c:pt>
                <c:pt idx="5">
                  <c:v>44711</c:v>
                </c:pt>
                <c:pt idx="6">
                  <c:v>44712</c:v>
                </c:pt>
                <c:pt idx="7">
                  <c:v>44713</c:v>
                </c:pt>
                <c:pt idx="8">
                  <c:v>44714</c:v>
                </c:pt>
                <c:pt idx="9">
                  <c:v>44715</c:v>
                </c:pt>
                <c:pt idx="10">
                  <c:v>44718</c:v>
                </c:pt>
                <c:pt idx="11">
                  <c:v>44719</c:v>
                </c:pt>
                <c:pt idx="12">
                  <c:v>44720</c:v>
                </c:pt>
                <c:pt idx="13">
                  <c:v>44721</c:v>
                </c:pt>
                <c:pt idx="14">
                  <c:v>44722</c:v>
                </c:pt>
                <c:pt idx="15">
                  <c:v>44725</c:v>
                </c:pt>
                <c:pt idx="16">
                  <c:v>44726</c:v>
                </c:pt>
                <c:pt idx="17">
                  <c:v>44727</c:v>
                </c:pt>
                <c:pt idx="18">
                  <c:v>44729</c:v>
                </c:pt>
                <c:pt idx="19">
                  <c:v>44732</c:v>
                </c:pt>
                <c:pt idx="20">
                  <c:v>44733</c:v>
                </c:pt>
                <c:pt idx="21">
                  <c:v>44734</c:v>
                </c:pt>
                <c:pt idx="22">
                  <c:v>44735</c:v>
                </c:pt>
                <c:pt idx="23">
                  <c:v>44736</c:v>
                </c:pt>
                <c:pt idx="24">
                  <c:v>44739</c:v>
                </c:pt>
                <c:pt idx="25">
                  <c:v>44740</c:v>
                </c:pt>
                <c:pt idx="26">
                  <c:v>44741</c:v>
                </c:pt>
                <c:pt idx="27">
                  <c:v>44742</c:v>
                </c:pt>
                <c:pt idx="28">
                  <c:v>44743</c:v>
                </c:pt>
                <c:pt idx="29">
                  <c:v>44746</c:v>
                </c:pt>
                <c:pt idx="30">
                  <c:v>44747</c:v>
                </c:pt>
                <c:pt idx="31">
                  <c:v>44748</c:v>
                </c:pt>
                <c:pt idx="32">
                  <c:v>44749</c:v>
                </c:pt>
                <c:pt idx="33">
                  <c:v>44750</c:v>
                </c:pt>
                <c:pt idx="34">
                  <c:v>44753</c:v>
                </c:pt>
                <c:pt idx="35">
                  <c:v>44754</c:v>
                </c:pt>
                <c:pt idx="36">
                  <c:v>44755</c:v>
                </c:pt>
                <c:pt idx="37">
                  <c:v>44756</c:v>
                </c:pt>
                <c:pt idx="38">
                  <c:v>44757</c:v>
                </c:pt>
                <c:pt idx="39">
                  <c:v>44760</c:v>
                </c:pt>
                <c:pt idx="40">
                  <c:v>44761</c:v>
                </c:pt>
                <c:pt idx="41">
                  <c:v>44762</c:v>
                </c:pt>
                <c:pt idx="42">
                  <c:v>44763</c:v>
                </c:pt>
                <c:pt idx="43">
                  <c:v>44764</c:v>
                </c:pt>
                <c:pt idx="44">
                  <c:v>44767</c:v>
                </c:pt>
                <c:pt idx="45">
                  <c:v>44768</c:v>
                </c:pt>
                <c:pt idx="46">
                  <c:v>44769</c:v>
                </c:pt>
                <c:pt idx="47">
                  <c:v>44770</c:v>
                </c:pt>
                <c:pt idx="48">
                  <c:v>44771</c:v>
                </c:pt>
                <c:pt idx="49">
                  <c:v>44774</c:v>
                </c:pt>
                <c:pt idx="50">
                  <c:v>44775</c:v>
                </c:pt>
                <c:pt idx="51">
                  <c:v>44776</c:v>
                </c:pt>
                <c:pt idx="52">
                  <c:v>44777</c:v>
                </c:pt>
                <c:pt idx="53">
                  <c:v>44778</c:v>
                </c:pt>
                <c:pt idx="54">
                  <c:v>44781</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44820</c:v>
                </c:pt>
                <c:pt idx="83">
                  <c:v>44823</c:v>
                </c:pt>
                <c:pt idx="84">
                  <c:v>44824</c:v>
                </c:pt>
                <c:pt idx="85">
                  <c:v>44825</c:v>
                </c:pt>
                <c:pt idx="86">
                  <c:v>44826</c:v>
                </c:pt>
                <c:pt idx="87">
                  <c:v>44827</c:v>
                </c:pt>
                <c:pt idx="88">
                  <c:v>44830</c:v>
                </c:pt>
                <c:pt idx="89">
                  <c:v>44831</c:v>
                </c:pt>
                <c:pt idx="90">
                  <c:v>44832</c:v>
                </c:pt>
                <c:pt idx="91">
                  <c:v>44833</c:v>
                </c:pt>
                <c:pt idx="92">
                  <c:v>44834</c:v>
                </c:pt>
                <c:pt idx="93">
                  <c:v>44837</c:v>
                </c:pt>
                <c:pt idx="94">
                  <c:v>44838</c:v>
                </c:pt>
                <c:pt idx="95">
                  <c:v>44839</c:v>
                </c:pt>
                <c:pt idx="96">
                  <c:v>44840</c:v>
                </c:pt>
                <c:pt idx="97">
                  <c:v>44841</c:v>
                </c:pt>
                <c:pt idx="98">
                  <c:v>44844</c:v>
                </c:pt>
                <c:pt idx="99">
                  <c:v>44845</c:v>
                </c:pt>
                <c:pt idx="100">
                  <c:v>44846</c:v>
                </c:pt>
                <c:pt idx="101">
                  <c:v>44847</c:v>
                </c:pt>
                <c:pt idx="102">
                  <c:v>44848</c:v>
                </c:pt>
                <c:pt idx="103">
                  <c:v>44851</c:v>
                </c:pt>
                <c:pt idx="104">
                  <c:v>44852</c:v>
                </c:pt>
                <c:pt idx="105">
                  <c:v>44853</c:v>
                </c:pt>
                <c:pt idx="106">
                  <c:v>44854</c:v>
                </c:pt>
                <c:pt idx="107">
                  <c:v>44855</c:v>
                </c:pt>
                <c:pt idx="108">
                  <c:v>44858</c:v>
                </c:pt>
                <c:pt idx="109">
                  <c:v>44859</c:v>
                </c:pt>
                <c:pt idx="110">
                  <c:v>44860</c:v>
                </c:pt>
                <c:pt idx="111">
                  <c:v>44861</c:v>
                </c:pt>
                <c:pt idx="112">
                  <c:v>44862</c:v>
                </c:pt>
                <c:pt idx="113">
                  <c:v>44865</c:v>
                </c:pt>
                <c:pt idx="114">
                  <c:v>44866</c:v>
                </c:pt>
                <c:pt idx="115">
                  <c:v>44867</c:v>
                </c:pt>
                <c:pt idx="116">
                  <c:v>44868</c:v>
                </c:pt>
                <c:pt idx="117">
                  <c:v>44869</c:v>
                </c:pt>
                <c:pt idx="118">
                  <c:v>44872</c:v>
                </c:pt>
                <c:pt idx="119">
                  <c:v>44873</c:v>
                </c:pt>
                <c:pt idx="120">
                  <c:v>44874</c:v>
                </c:pt>
                <c:pt idx="121">
                  <c:v>44875</c:v>
                </c:pt>
                <c:pt idx="122">
                  <c:v>44876</c:v>
                </c:pt>
                <c:pt idx="123">
                  <c:v>44879</c:v>
                </c:pt>
                <c:pt idx="124">
                  <c:v>44880</c:v>
                </c:pt>
                <c:pt idx="125">
                  <c:v>44881</c:v>
                </c:pt>
                <c:pt idx="126">
                  <c:v>44882</c:v>
                </c:pt>
                <c:pt idx="127">
                  <c:v>44883</c:v>
                </c:pt>
                <c:pt idx="128">
                  <c:v>44886</c:v>
                </c:pt>
                <c:pt idx="129">
                  <c:v>44887</c:v>
                </c:pt>
                <c:pt idx="130">
                  <c:v>44888</c:v>
                </c:pt>
                <c:pt idx="131">
                  <c:v>44889</c:v>
                </c:pt>
                <c:pt idx="132">
                  <c:v>44890</c:v>
                </c:pt>
                <c:pt idx="133">
                  <c:v>44893</c:v>
                </c:pt>
                <c:pt idx="134">
                  <c:v>44894</c:v>
                </c:pt>
                <c:pt idx="135">
                  <c:v>44895</c:v>
                </c:pt>
                <c:pt idx="136">
                  <c:v>44896</c:v>
                </c:pt>
                <c:pt idx="137">
                  <c:v>44897</c:v>
                </c:pt>
                <c:pt idx="138">
                  <c:v>44900</c:v>
                </c:pt>
                <c:pt idx="139">
                  <c:v>44901</c:v>
                </c:pt>
                <c:pt idx="140">
                  <c:v>44902</c:v>
                </c:pt>
                <c:pt idx="141">
                  <c:v>44903</c:v>
                </c:pt>
                <c:pt idx="142">
                  <c:v>44904</c:v>
                </c:pt>
                <c:pt idx="143">
                  <c:v>44907</c:v>
                </c:pt>
                <c:pt idx="144">
                  <c:v>44908</c:v>
                </c:pt>
                <c:pt idx="145">
                  <c:v>44909</c:v>
                </c:pt>
                <c:pt idx="146">
                  <c:v>44910</c:v>
                </c:pt>
                <c:pt idx="147">
                  <c:v>44914</c:v>
                </c:pt>
                <c:pt idx="148">
                  <c:v>44915</c:v>
                </c:pt>
                <c:pt idx="149">
                  <c:v>44916</c:v>
                </c:pt>
                <c:pt idx="150">
                  <c:v>44917</c:v>
                </c:pt>
                <c:pt idx="151">
                  <c:v>44918</c:v>
                </c:pt>
                <c:pt idx="152">
                  <c:v>44923</c:v>
                </c:pt>
                <c:pt idx="153">
                  <c:v>44924</c:v>
                </c:pt>
                <c:pt idx="154">
                  <c:v>44925</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44963</c:v>
                </c:pt>
                <c:pt idx="180">
                  <c:v>44964</c:v>
                </c:pt>
                <c:pt idx="181">
                  <c:v>44965</c:v>
                </c:pt>
                <c:pt idx="182">
                  <c:v>44966</c:v>
                </c:pt>
                <c:pt idx="183">
                  <c:v>44967</c:v>
                </c:pt>
                <c:pt idx="184">
                  <c:v>44970</c:v>
                </c:pt>
                <c:pt idx="185">
                  <c:v>44971</c:v>
                </c:pt>
                <c:pt idx="186">
                  <c:v>44972</c:v>
                </c:pt>
                <c:pt idx="187">
                  <c:v>44973</c:v>
                </c:pt>
                <c:pt idx="188">
                  <c:v>44974</c:v>
                </c:pt>
                <c:pt idx="189">
                  <c:v>44977</c:v>
                </c:pt>
                <c:pt idx="190">
                  <c:v>44978</c:v>
                </c:pt>
                <c:pt idx="191">
                  <c:v>44979</c:v>
                </c:pt>
                <c:pt idx="192">
                  <c:v>44980</c:v>
                </c:pt>
                <c:pt idx="193">
                  <c:v>44981</c:v>
                </c:pt>
                <c:pt idx="194">
                  <c:v>44984</c:v>
                </c:pt>
                <c:pt idx="195">
                  <c:v>44985</c:v>
                </c:pt>
                <c:pt idx="196">
                  <c:v>44986</c:v>
                </c:pt>
                <c:pt idx="197">
                  <c:v>44987</c:v>
                </c:pt>
                <c:pt idx="198">
                  <c:v>44988</c:v>
                </c:pt>
                <c:pt idx="199">
                  <c:v>44991</c:v>
                </c:pt>
                <c:pt idx="200">
                  <c:v>44992</c:v>
                </c:pt>
                <c:pt idx="201">
                  <c:v>44993</c:v>
                </c:pt>
                <c:pt idx="202">
                  <c:v>44994</c:v>
                </c:pt>
                <c:pt idx="203">
                  <c:v>44995</c:v>
                </c:pt>
                <c:pt idx="204">
                  <c:v>44998</c:v>
                </c:pt>
                <c:pt idx="205">
                  <c:v>44999</c:v>
                </c:pt>
                <c:pt idx="206">
                  <c:v>45000</c:v>
                </c:pt>
                <c:pt idx="207">
                  <c:v>45001</c:v>
                </c:pt>
                <c:pt idx="208">
                  <c:v>45002</c:v>
                </c:pt>
                <c:pt idx="209">
                  <c:v>45005</c:v>
                </c:pt>
                <c:pt idx="210">
                  <c:v>45007</c:v>
                </c:pt>
                <c:pt idx="211">
                  <c:v>45008</c:v>
                </c:pt>
                <c:pt idx="212">
                  <c:v>45009</c:v>
                </c:pt>
                <c:pt idx="213">
                  <c:v>45012</c:v>
                </c:pt>
                <c:pt idx="214">
                  <c:v>45013</c:v>
                </c:pt>
                <c:pt idx="215">
                  <c:v>45014</c:v>
                </c:pt>
                <c:pt idx="216">
                  <c:v>45015</c:v>
                </c:pt>
                <c:pt idx="217">
                  <c:v>45016</c:v>
                </c:pt>
                <c:pt idx="218">
                  <c:v>45019</c:v>
                </c:pt>
                <c:pt idx="219">
                  <c:v>45020</c:v>
                </c:pt>
                <c:pt idx="220">
                  <c:v>45021</c:v>
                </c:pt>
                <c:pt idx="221">
                  <c:v>45022</c:v>
                </c:pt>
                <c:pt idx="222">
                  <c:v>45027</c:v>
                </c:pt>
                <c:pt idx="223">
                  <c:v>45028</c:v>
                </c:pt>
                <c:pt idx="224">
                  <c:v>45029</c:v>
                </c:pt>
                <c:pt idx="225">
                  <c:v>45030</c:v>
                </c:pt>
                <c:pt idx="226">
                  <c:v>45033</c:v>
                </c:pt>
                <c:pt idx="227">
                  <c:v>45034</c:v>
                </c:pt>
                <c:pt idx="228">
                  <c:v>45035</c:v>
                </c:pt>
                <c:pt idx="229">
                  <c:v>45036</c:v>
                </c:pt>
                <c:pt idx="230">
                  <c:v>45037</c:v>
                </c:pt>
                <c:pt idx="231">
                  <c:v>45040</c:v>
                </c:pt>
                <c:pt idx="232">
                  <c:v>45041</c:v>
                </c:pt>
                <c:pt idx="233">
                  <c:v>45042</c:v>
                </c:pt>
                <c:pt idx="234">
                  <c:v>45044</c:v>
                </c:pt>
                <c:pt idx="235">
                  <c:v>45048</c:v>
                </c:pt>
                <c:pt idx="236">
                  <c:v>45049</c:v>
                </c:pt>
                <c:pt idx="237">
                  <c:v>45050</c:v>
                </c:pt>
                <c:pt idx="238">
                  <c:v>45051</c:v>
                </c:pt>
                <c:pt idx="239">
                  <c:v>45054</c:v>
                </c:pt>
                <c:pt idx="240">
                  <c:v>45055</c:v>
                </c:pt>
                <c:pt idx="241">
                  <c:v>45056</c:v>
                </c:pt>
                <c:pt idx="242">
                  <c:v>45057</c:v>
                </c:pt>
                <c:pt idx="243">
                  <c:v>45058</c:v>
                </c:pt>
                <c:pt idx="244">
                  <c:v>45061</c:v>
                </c:pt>
                <c:pt idx="245">
                  <c:v>45062</c:v>
                </c:pt>
                <c:pt idx="246">
                  <c:v>45063</c:v>
                </c:pt>
                <c:pt idx="247">
                  <c:v>45064</c:v>
                </c:pt>
                <c:pt idx="248">
                  <c:v>45065</c:v>
                </c:pt>
                <c:pt idx="249">
                  <c:v>45068</c:v>
                </c:pt>
                <c:pt idx="250">
                  <c:v>45069</c:v>
                </c:pt>
                <c:pt idx="251">
                  <c:v>45070</c:v>
                </c:pt>
                <c:pt idx="252">
                  <c:v>45071</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cat>
          <c:val>
            <c:numRef>
              <c:f>Frontend!$BQ$10:$BQ$301</c:f>
              <c:numCache>
                <c:formatCode>#,##0.00</c:formatCode>
                <c:ptCount val="29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20.204677144327977</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val>
          <c:smooth val="0"/>
          <c:extLst>
            <c:ext xmlns:c16="http://schemas.microsoft.com/office/drawing/2014/chart" uri="{C3380CC4-5D6E-409C-BE32-E72D297353CC}">
              <c16:uniqueId val="{00000001-C831-43EA-8DC3-79D6D4A7C75E}"/>
            </c:ext>
          </c:extLst>
        </c:ser>
        <c:ser>
          <c:idx val="2"/>
          <c:order val="2"/>
          <c:tx>
            <c:strRef>
              <c:f>Frontend!$B$21</c:f>
              <c:strCache>
                <c:ptCount val="1"/>
                <c:pt idx="0">
                  <c:v>Current Price (ZAR)</c:v>
                </c:pt>
              </c:strCache>
            </c:strRef>
          </c:tx>
          <c:spPr>
            <a:ln w="28575" cap="rnd">
              <a:noFill/>
              <a:round/>
            </a:ln>
            <a:effectLst/>
          </c:spPr>
          <c:marker>
            <c:symbol val="circle"/>
            <c:size val="7"/>
            <c:spPr>
              <a:solidFill>
                <a:srgbClr val="44546A"/>
              </a:solidFill>
              <a:ln w="9525">
                <a:noFill/>
              </a:ln>
              <a:effectLst/>
            </c:spPr>
          </c:marker>
          <c:dLbls>
            <c:dLbl>
              <c:idx val="0"/>
              <c:tx>
                <c:strRef>
                  <c:f>Frontend!$BS$10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{618E1A13-A8A5-44EE-B6CA-978BE00E1C19}</c15:txfldGUID>
                      <c15:f>Frontend!$BS$10</c15:f>
                      <c15:dlblFieldTableCache>
                        <c:ptCount val="1"/>
                      </c15:dlblFieldTableCache>
                    </c15:dlblFTEntry>
                  </c15:dlblFieldTable>
                  <c15:showDataLabelsRange val="0"/>
                </c:ext>
                <c:ext xmlns:c16="http://schemas.microsoft.com/office/drawing/2014/chart" uri="{C3380CC4-5D6E-409C-BE32-E72D297353CC}">
                  <c16:uniqueId val="{00000126-0A6B-4376-88DD-AB3AC92F78D4}"/>
                </c:ext>
              </c:extLst>
            </c:dLbl>
            <c:dLbl>
              <c:idx val="1"/>
              <c:tx>
                <c:strRef>
                  <c:f>Frontend!$BS$11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{03C55212-28B9-4A4F-B7DF-79226B64A435}</c15:txfldGUID>
                      <c15:f>Frontend!$BS$11</c15:f>
                      <c15:dlblFieldTableCache>
                        <c:ptCount val="1"/>
                      </c15:dlblFieldTableCache>
                    </c15:dlblFTEntry>
                  </c15:dlblFieldTable>
                  <c15:showDataLabelsRange val="0"/>
                </c:ext>
                <c:ext xmlns:c16="http://schemas.microsoft.com/office/drawing/2014/chart" uri="{C3380CC4-5D6E-409C-BE32-E72D297353CC}">
                  <c16:uniqueId val="{00000127-0A6B-4376-88DD-AB3AC92F78D4}"/>
                </c:ext>
              </c:extLst>
            </c:dLbl>
            <c:dLbl>
              <c:idx val="2"/>
              <c:tx>
                <c:strRef>
                  <c:f>Frontend!$BS$12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{0E84C874-0C04-409D-A1FD-6E2E24CAF847}</c15:txfldGUID>
                      <c15:f>Frontend!$BS$12</c15:f>
                      <c15:dlblFieldTableCache>
                        <c:ptCount val="1"/>
                      </c15:dlblFieldTableCache>
                    </c15:dlblFTEntry>
                  </c15:dlblFieldTable>
                  <c15:showDataLabelsRange val="0"/>
                </c:ext>
                <c:ext xmlns:c16="http://schemas.microsoft.com/office/drawing/2014/chart" uri="{C3380CC4-5D6E-409C-BE32-E72D297353CC}">
                  <c16:uniqueId val="{00000128-0A6B-4376-88DD-AB3AC92F78D4}"/>
                </c:ext>
              </c:extLst>
            </c:dLbl>
            <c:dLbl>
              <c:idx val="3"/>
              <c:tx>
                <c:strRef>
                  <c:f>Frontend!$BS$13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{AEF061CB-DC8C-4A32-883C-EF604EE60BAA}</c15:txfldGUID>
                      <c15:f>Frontend!$BS$13</c15:f>
                      <c15:dlblFieldTableCache>
                        <c:ptCount val="1"/>
                      </c15:dlblFieldTableCache>
                    </c15:dlblFTEntry>
                  </c15:dlblFieldTable>
                  <c15:showDataLabelsRange val="0"/>
                </c:ext>
                <c:ext xmlns:c16="http://schemas.microsoft.com/office/drawing/2014/chart" uri="{C3380CC4-5D6E-409C-BE32-E72D297353CC}">
                  <c16:uniqueId val="{00000129-0A6B-4376-88DD-AB3AC92F78D4}"/>
                </c:ext>
              </c:extLst>
            </c:dLbl>
            <c:dLbl>
              <c:idx val="4"/>
              <c:tx>
                <c:strRef>
                  <c:f>Frontend!$BS$14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{65A93548-146E-4DB6-BA81-A62F50B0CFE1}</c15:txfldGUID>
                      <c15:f>Frontend!$BS$14</c15:f>
                      <c15:dlblFieldTableCache>
                        <c:ptCount val="1"/>
                      </c15:dlblFieldTableCache>
                    </c15:dlblFTEntry>
                  </c15:dlblFieldTable>
                  <c15:showDataLabelsRange val="0"/>
                </c:ext>
                <c:ext xmlns:c16="http://schemas.microsoft.com/office/drawing/2014/chart" uri="{C3380CC4-5D6E-409C-BE32-E72D297353CC}">
                  <c16:uniqueId val="{0000012A-0A6B-4376-88DD-AB3AC92F78D4}"/>
                </c:ext>
              </c:extLst>
            </c:dLbl>
            <c:dLbl>
              <c:idx val="5"/>
              <c:tx>
                <c:strRef>
                  <c:f>Frontend!$BS$15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{2F3B6095-5674-4A0A-AC79-58F1A342B7C1}</c15:txfldGUID>
                      <c15:f>Frontend!$BS$15</c15:f>
                      <c15:dlblFieldTableCache>
                        <c:ptCount val="1"/>
                      </c15:dlblFieldTableCache>
                    </c15:dlblFTEntry>
                  </c15:dlblFieldTable>
                  <c15:showDataLabelsRange val="0"/>
                </c:ext>
                <c:ext xmlns:c16="http://schemas.microsoft.com/office/drawing/2014/chart" uri="{C3380CC4-5D6E-409C-BE32-E72D297353CC}">
                  <c16:uniqueId val="{0000012B-0A6B-4376-88DD-AB3AC92F78D4}"/>
                </c:ext>
              </c:extLst>
            </c:dLbl>
            <c:dLbl>
              <c:idx val="6"/>
              <c:tx>
                <c:strRef>
                  <c:f>Frontend!$BS$16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{9BA30474-A5CE-4513-9BEF-676AB6B0D68A}</c15:txfldGUID>
                      <c15:f>Frontend!$BS$16</c15:f>
                      <c15:dlblFieldTableCache>
                        <c:ptCount val="1"/>
                      </c15:dlblFieldTableCache>
                    </c15:dlblFTEntry>
                  </c15:dlblFieldTable>
                  <c15:showDataLabelsRange val="0"/>
                </c:ext>
                <c:ext xmlns:c16="http://schemas.microsoft.com/office/drawing/2014/chart" uri="{C3380CC4-5D6E-409C-BE32-E72D297353CC}">
                  <c16:uniqueId val="{0000012C-0A6B-4376-88DD-AB3AC92F78D4}"/>
                </c:ext>
              </c:extLst>
            </c:dLbl>
            <c:dLbl>
              <c:idx val="7"/>
              <c:tx>
                <c:strRef>
                  <c:f>Frontend!$BS$17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{E405644A-0144-442E-B533-5D78D0D5651E}</c15:txfldGUID>
                      <c15:f>Frontend!$BS$17</c15:f>
                      <c15:dlblFieldTableCache>
                        <c:ptCount val="1"/>
                      </c15:dlblFieldTableCache>
                    </c15:dlblFTEntry>
                  </c15:dlblFieldTable>
                  <c15:showDataLabelsRange val="0"/>
                </c:ext>
                <c:ext xmlns:c16="http://schemas.microsoft.com/office/drawing/2014/chart" uri="{C3380CC4-5D6E-409C-BE32-E72D297353CC}">
                  <c16:uniqueId val="{0000012D-0A6B-4376-88DD-AB3AC92F78D4}"/>
                </c:ext>
              </c:extLst>
            </c:dLbl>
            <c:dLbl>
              <c:idx val="8"/>
              <c:tx>
                <c:strRef>
                  <c:f>Frontend!$BS$18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{36BA6109-782E-48E0-9AB1-6CD95F91D58C}</c15:txfldGUID>
                      <c15:f>Frontend!$BS$18</c15:f>
                      <c15:dlblFieldTableCache>
                        <c:ptCount val="1"/>
                      </c15:dlblFieldTableCache>
                    </c15:dlblFTEntry>
                  </c15:dlblFieldTable>
                  <c15:showDataLabelsRange val="0"/>
                </c:ext>
                <c:ext xmlns:c16="http://schemas.microsoft.com/office/drawing/2014/chart" uri="{C3380CC4-5D6E-409C-BE32-E72D297353CC}">
                  <c16:uniqueId val="{0000012E-0A6B-4376-88DD-AB3AC92F78D4}"/>
                </c:ext>
              </c:extLst>
            </c:dLbl>
            <c:dLbl>
              <c:idx val="9"/>
              <c:tx>
                <c:strRef>
                  <c:f>Frontend!$BS$19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{7F0C5471-9726-4994-AFE0-95ABADF9A26A}</c15:txfldGUID>
                      <c15:f>Frontend!$BS$19</c15:f>
                      <c15:dlblFieldTableCache>
                        <c:ptCount val="1"/>
                      </c15:dlblFieldTableCache>
                    </c15:dlblFTEntry>
                  </c15:dlblFieldTable>
                  <c15:showDataLabelsRange val="0"/>
                </c:ext>
                <c:ext xmlns:c16="http://schemas.microsoft.com/office/drawing/2014/chart" uri="{C3380CC4-5D6E-409C-BE32-E72D297353CC}">
                  <c16:uniqueId val="{0000012F-0A6B-4376-88DD-AB3AC92F78D4}"/>
                </c:ext>
              </c:extLst>
            </c:dLbl>
            <c:dLbl>
              <c:idx val="10"/>
              <c:tx>
                <c:strRef>
                  <c:f>Frontend!$BS$20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{5C30EDB6-B9BC-4242-88D3-93F70FA675F6}</c15:txfldGUID>
                      <c15:f>Frontend!$BS$20</c15:f>
                      <c15:dlblFieldTableCache>
                        <c:ptCount val="1"/>
                      </c15:dlblFieldTableCache>
                    </c15:dlblFTEntry>
                  </c15:dlblFieldTable>
                  <c15:showDataLabelsRange val="0"/>
                </c:ext>
                <c:ext xmlns:c16="http://schemas.microsoft.com/office/drawing/2014/chart" uri="{C3380CC4-5D6E-409C-BE32-E72D297353CC}">
                  <c16:uniqueId val="{00000130-0A6B-4376-88DD-AB3AC92F78D4}"/>
                </c:ext>
              </c:extLst>
            </c:dLbl>
            <c:dLbl>
              <c:idx val="11"/>
              <c:tx>
                <c:strRef>
                  <c:f>Frontend!$BS$21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{8A12629D-77AA-4B9E-B8D8-E5E72E1CDCD8}</c15:txfldGUID>
                      <c15:f>Frontend!$BS$21</c15:f>
                      <c15:dlblFieldTableCache>
                        <c:ptCount val="1"/>
                      </c15:dlblFieldTableCache>
                    </c15:dlblFTEntry>
                  </c15:dlblFieldTable>
                  <c15:showDataLabelsRange val="0"/>
                </c:ext>
                <c:ext xmlns:c16="http://schemas.microsoft.com/office/drawing/2014/chart" uri="{C3380CC4-5D6E-409C-BE32-E72D297353CC}">
                  <c16:uniqueId val="{00000131-0A6B-4376-88DD-AB3AC92F78D4}"/>
                </c:ext>
              </c:extLst>
            </c:dLbl>
            <c:dLbl>
              <c:idx val="12"/>
              <c:tx>
                <c:strRef>
                  <c:f>Frontend!$BS$22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{4936FDD7-9C80-46BF-AE58-CC80C9E1CDD6}</c15:txfldGUID>
                      <c15:f>Frontend!$BS$22</c15:f>
                      <c15:dlblFieldTableCache>
                        <c:ptCount val="1"/>
                      </c15:dlblFieldTableCache>
                    </c15:dlblFTEntry>
                  </c15:dlblFieldTable>
                  <c15:showDataLabelsRange val="0"/>
                </c:ext>
                <c:ext xmlns:c16="http://schemas.microsoft.com/office/drawing/2014/chart" uri="{C3380CC4-5D6E-409C-BE32-E72D297353CC}">
                  <c16:uniqueId val="{00000132-0A6B-4376-88DD-AB3AC92F78D4}"/>
                </c:ext>
              </c:extLst>
            </c:dLbl>
            <c:dLbl>
              <c:idx val="13"/>
              <c:tx>
                <c:strRef>
                  <c:f>Frontend!$BS$23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{FC2FE639-B8C3-493D-A86A-740AE7299A31}</c15:txfldGUID>
                      <c15:f>Frontend!$BS$23</c15:f>
                      <c15:dlblFieldTableCache>
                        <c:ptCount val="1"/>
                      </c15:dlblFieldTableCache>
                    </c15:dlblFTEntry>
                  </c15:dlblFieldTable>
                  <c15:showDataLabelsRange val="0"/>
                </c:ext>
                <c:ext xmlns:c16="http://schemas.microsoft.com/office/drawing/2014/chart" uri="{C3380CC4-5D6E-409C-BE32-E72D297353CC}">
                  <c16:uniqueId val="{00000133-0A6B-4376-88DD-AB3AC92F78D4}"/>
                </c:ext>
              </c:extLst>
            </c:dLbl>
            <c:dLbl>
              <c:idx val="14"/>
              <c:tx>
                <c:strRef>
                  <c:f>Frontend!$BS$24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{6D62F385-3711-4A4E-8F4D-CE54D22C150B}</c15:txfldGUID>
                      <c15:f>Frontend!$BS$24</c15:f>
                      <c15:dlblFieldTableCache>
                        <c:ptCount val="1"/>
                      </c15:dlblFieldTableCache>
                    </c15:dlblFTEntry>
                  </c15:dlblFieldTable>
                  <c15:showDataLabelsRange val="0"/>
                </c:ext>
                <c:ext xmlns:c16="http://schemas.microsoft.com/office/drawing/2014/chart" uri="{C3380CC4-5D6E-409C-BE32-E72D297353CC}">
                  <c16:uniqueId val="{00000134-0A6B-4376-88DD-AB3AC92F78D4}"/>
                </c:ext>
              </c:extLst>
            </c:dLbl>
            <c:dLbl>
              <c:idx val="15"/>
              <c:tx>
                <c:strRef>
                  <c:f>Frontend!$BS$25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{D334FB81-8CBE-44D8-A681-12676C2CAF7B}</c15:txfldGUID>
                      <c15:f>Frontend!$BS$25</c15:f>
                      <c15:dlblFieldTableCache>
                        <c:ptCount val="1"/>
                      </c15:dlblFieldTableCache>
                    </c15:dlblFTEntry>
                  </c15:dlblFieldTable>
                  <c15:showDataLabelsRange val="0"/>
                </c:ext>
                <c:ext xmlns:c16="http://schemas.microsoft.com/office/drawing/2014/chart" uri="{C3380CC4-5D6E-409C-BE32-E72D297353CC}">
                  <c16:uniqueId val="{00000135-0A6B-4376-88DD-AB3AC92F78D4}"/>
                </c:ext>
              </c:extLst>
            </c:dLbl>
            <c:dLbl>
              <c:idx val="16"/>
              <c:tx>
                <c:strRef>
                  <c:f>Frontend!$BS$26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{99B4E446-AEC5-496F-AC02-56DE105D8968}</c15:txfldGUID>
                      <c15:f>Frontend!$BS$26</c15:f>
                      <c15:dlblFieldTableCache>
                        <c:ptCount val="1"/>
                      </c15:dlblFieldTableCache>
                    </c15:dlblFTEntry>
                  </c15:dlblFieldTable>
                  <c15:showDataLabelsRange val="0"/>
                </c:ext>
                <c:ext xmlns:c16="http://schemas.microsoft.com/office/drawing/2014/chart" uri="{C3380CC4-5D6E-409C-BE32-E72D297353CC}">
                  <c16:uniqueId val="{00000136-0A6B-4376-88DD-AB3AC92F78D4}"/>
                </c:ext>
              </c:extLst>
            </c:dLbl>
            <c:dLbl>
              <c:idx val="17"/>
              <c:tx>
                <c:strRef>
                  <c:f>Frontend!$BS$27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{D2CB925B-96B5-4F56-856E-47093495C4C2}</c15:txfldGUID>
                      <c15:f>Frontend!$BS$27</c15:f>
                      <c15:dlblFieldTableCache>
                        <c:ptCount val="1"/>
                      </c15:dlblFieldTableCache>
                    </c15:dlblFTEntry>
                  </c15:dlblFieldTable>
                  <c15:showDataLabelsRange val="0"/>
                </c:ext>
                <c:ext xmlns:c16="http://schemas.microsoft.com/office/drawing/2014/chart" uri="{C3380CC4-5D6E-409C-BE32-E72D297353CC}">
                  <c16:uniqueId val="{00000137-0A6B-4376-88DD-AB3AC92F78D4}"/>
                </c:ext>
              </c:extLst>
            </c:dLbl>
            <c:dLbl>
              <c:idx val="18"/>
              <c:tx>
                <c:strRef>
                  <c:f>Frontend!$BS$28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{13FB5D9F-76AF-4261-A667-95912BA25ECF}</c15:txfldGUID>
                      <c15:f>Frontend!$BS$28</c15:f>
                      <c15:dlblFieldTableCache>
                        <c:ptCount val="1"/>
                      </c15:dlblFieldTableCache>
                    </c15:dlblFTEntry>
                  </c15:dlblFieldTable>
                  <c15:showDataLabelsRange val="0"/>
                </c:ext>
                <c:ext xmlns:c16="http://schemas.microsoft.com/office/drawing/2014/chart" uri="{C3380CC4-5D6E-409C-BE32-E72D297353CC}">
                  <c16:uniqueId val="{00000138-0A6B-4376-88DD-AB3AC92F78D4}"/>
                </c:ext>
              </c:extLst>
            </c:dLbl>
            <c:dLbl>
              <c:idx val="19"/>
              <c:tx>
                <c:strRef>
                  <c:f>Frontend!$BS$29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{F4866FE4-D533-40E7-8AEC-513241D03052}</c15:txfldGUID>
                      <c15:f>Frontend!$BS$29</c15:f>
                      <c15:dlblFieldTableCache>
                        <c:ptCount val="1"/>
                      </c15:dlblFieldTableCache>
                    </c15:dlblFTEntry>
                  </c15:dlblFieldTable>
                  <c15:showDataLabelsRange val="0"/>
                </c:ext>
                <c:ext xmlns:c16="http://schemas.microsoft.com/office/drawing/2014/chart" uri="{C3380CC4-5D6E-409C-BE32-E72D297353CC}">
                  <c16:uniqueId val="{00000139-0A6B-4376-88DD-AB3AC92F78D4}"/>
                </c:ext>
              </c:extLst>
            </c:dLbl>
            <c:dLbl>
              <c:idx val="20"/>
              <c:tx>
                <c:strRef>
                  <c:f>Frontend!$BS$30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{396FE7AE-391A-41A3-A77C-2781F65AA7D5}</c15:txfldGUID>
                      <c15:f>Frontend!$BS$30</c15:f>
                      <c15:dlblFieldTableCache>
                        <c:ptCount val="1"/>
                      </c15:dlblFieldTableCache>
                    </c15:dlblFTEntry>
                  </c15:dlblFieldTable>
                  <c15:showDataLabelsRange val="0"/>
                </c:ext>
                <c:ext xmlns:c16="http://schemas.microsoft.com/office/drawing/2014/chart" uri="{C3380CC4-5D6E-409C-BE32-E72D297353CC}">
                  <c16:uniqueId val="{0000013A-0A6B-4376-88DD-AB3AC92F78D4}"/>
                </c:ext>
              </c:extLst>
            </c:dLbl>
            <c:dLbl>
              <c:idx val="21"/>
              <c:tx>
                <c:strRef>
                  <c:f>Frontend!$BS$31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{D678B704-3C6A-4D8A-9C7A-CE598EE8B7BF}</c15:txfldGUID>
                      <c15:f>Frontend!$BS$31</c15:f>
                      <c15:dlblFieldTableCache>
                        <c:ptCount val="1"/>
                      </c15:dlblFieldTableCache>
                    </c15:dlblFTEntry>
                  </c15:dlblFieldTable>
                  <c15:showDataLabelsRange val="0"/>
                </c:ext>
                <c:ext xmlns:c16="http://schemas.microsoft.com/office/drawing/2014/chart" uri="{C3380CC4-5D6E-409C-BE32-E72D297353CC}">
                  <c16:uniqueId val="{0000013B-0A6B-4376-88DD-AB3AC92F78D4}"/>
                </c:ext>
              </c:extLst>
            </c:dLbl>
            <c:dLbl>
              <c:idx val="22"/>
              <c:tx>
                <c:strRef>
                  <c:f>Frontend!$BS$32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{10EBB892-7FD9-49EA-9758-A04862896AD0}</c15:txfldGUID>
                      <c15:f>Frontend!$BS$32</c15:f>
                      <c15:dlblFieldTableCache>
                        <c:ptCount val="1"/>
                      </c15:dlblFieldTableCache>
                    </c15:dlblFTEntry>
                  </c15:dlblFieldTable>
                  <c15:showDataLabelsRange val="0"/>
                </c:ext>
                <c:ext xmlns:c16="http://schemas.microsoft.com/office/drawing/2014/chart" uri="{C3380CC4-5D6E-409C-BE32-E72D297353CC}">
                  <c16:uniqueId val="{0000013C-0A6B-4376-88DD-AB3AC92F78D4}"/>
                </c:ext>
              </c:extLst>
            </c:dLbl>
            <c:dLbl>
              <c:idx val="23"/>
              <c:tx>
                <c:strRef>
                  <c:f>Frontend!$BS$33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{0B4812CB-FDD5-46F6-A63F-BE107AA00A44}</c15:txfldGUID>
                      <c15:f>Frontend!$BS$33</c15:f>
                      <c15:dlblFieldTableCache>
                        <c:ptCount val="1"/>
                      </c15:dlblFieldTableCache>
                    </c15:dlblFTEntry>
                  </c15:dlblFieldTable>
                  <c15:showDataLabelsRange val="0"/>
                </c:ext>
                <c:ext xmlns:c16="http://schemas.microsoft.com/office/drawing/2014/chart" uri="{C3380CC4-5D6E-409C-BE32-E72D297353CC}">
                  <c16:uniqueId val="{0000013D-0A6B-4376-88DD-AB3AC92F78D4}"/>
                </c:ext>
              </c:extLst>
            </c:dLbl>
            <c:dLbl>
              <c:idx val="24"/>
              <c:tx>
                <c:strRef>
                  <c:f>Frontend!$BS$34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{896D115C-A17A-490E-A465-D9DFE67CE1C8}</c15:txfldGUID>
                      <c15:f>Frontend!$BS$34</c15:f>
                      <c15:dlblFieldTableCache>
                        <c:ptCount val="1"/>
                      </c15:dlblFieldTableCache>
                    </c15:dlblFTEntry>
                  </c15:dlblFieldTable>
                  <c15:showDataLabelsRange val="0"/>
                </c:ext>
                <c:ext xmlns:c16="http://schemas.microsoft.com/office/drawing/2014/chart" uri="{C3380CC4-5D6E-409C-BE32-E72D297353CC}">
                  <c16:uniqueId val="{0000013E-0A6B-4376-88DD-AB3AC92F78D4}"/>
                </c:ext>
              </c:extLst>
            </c:dLbl>
            <c:dLbl>
              <c:idx val="25"/>
              <c:tx>
                <c:strRef>
                  <c:f>Frontend!$BS$35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{E6493039-CF0C-409F-99C5-9F23D8179951}</c15:txfldGUID>
                      <c15:f>Frontend!$BS$35</c15:f>
                      <c15:dlblFieldTableCache>
                        <c:ptCount val="1"/>
                      </c15:dlblFieldTableCache>
                    </c15:dlblFTEntry>
                  </c15:dlblFieldTable>
                  <c15:showDataLabelsRange val="0"/>
                </c:ext>
                <c:ext xmlns:c16="http://schemas.microsoft.com/office/drawing/2014/chart" uri="{C3380CC4-5D6E-409C-BE32-E72D297353CC}">
                  <c16:uniqueId val="{0000013F-0A6B-4376-88DD-AB3AC92F78D4}"/>
                </c:ext>
              </c:extLst>
            </c:dLbl>
            <c:dLbl>
              <c:idx val="26"/>
              <c:tx>
                <c:strRef>
                  <c:f>Frontend!$BS$36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{051C3766-55F1-4F84-9AB0-32400A1311D1}</c15:txfldGUID>
                      <c15:f>Frontend!$BS$36</c15:f>
                      <c15:dlblFieldTableCache>
                        <c:ptCount val="1"/>
                      </c15:dlblFieldTableCache>
                    </c15:dlblFTEntry>
                  </c15:dlblFieldTable>
                  <c15:showDataLabelsRange val="0"/>
                </c:ext>
                <c:ext xmlns:c16="http://schemas.microsoft.com/office/drawing/2014/chart" uri="{C3380CC4-5D6E-409C-BE32-E72D297353CC}">
                  <c16:uniqueId val="{00000140-0A6B-4376-88DD-AB3AC92F78D4}"/>
                </c:ext>
              </c:extLst>
            </c:dLbl>
            <c:dLbl>
              <c:idx val="27"/>
              <c:tx>
                <c:strRef>
                  <c:f>Frontend!$BS$37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{99BD5949-5CA7-49A7-A884-8266D1DBD019}</c15:txfldGUID>
                      <c15:f>Frontend!$BS$37</c15:f>
                      <c15:dlblFieldTableCache>
                        <c:ptCount val="1"/>
                      </c15:dlblFieldTableCache>
                    </c15:dlblFTEntry>
                  </c15:dlblFieldTable>
                  <c15:showDataLabelsRange val="0"/>
                </c:ext>
                <c:ext xmlns:c16="http://schemas.microsoft.com/office/drawing/2014/chart" uri="{C3380CC4-5D6E-409C-BE32-E72D297353CC}">
                  <c16:uniqueId val="{00000141-0A6B-4376-88DD-AB3AC92F78D4}"/>
                </c:ext>
              </c:extLst>
            </c:dLbl>
            <c:dLbl>
              <c:idx val="28"/>
              <c:tx>
                <c:strRef>
                  <c:f>Frontend!$BS$38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{3C81A1DA-5D8A-4236-AF43-3BB7E44BF7DD}</c15:txfldGUID>
                      <c15:f>Frontend!$BS$38</c15:f>
                      <c15:dlblFieldTableCache>
                        <c:ptCount val="1"/>
                      </c15:dlblFieldTableCache>
                    </c15:dlblFTEntry>
                  </c15:dlblFieldTable>
                  <c15:showDataLabelsRange val="0"/>
                </c:ext>
                <c:ext xmlns:c16="http://schemas.microsoft.com/office/drawing/2014/chart" uri="{C3380CC4-5D6E-409C-BE32-E72D297353CC}">
                  <c16:uniqueId val="{00000142-0A6B-4376-88DD-AB3AC92F78D4}"/>
                </c:ext>
              </c:extLst>
            </c:dLbl>
            <c:dLbl>
              <c:idx val="29"/>
              <c:tx>
                <c:strRef>
                  <c:f>Frontend!$BS$39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{4BEFE03C-C9F9-4DBD-B9B8-85C5857B62E6}</c15:txfldGUID>
                      <c15:f>Frontend!$BS$39</c15:f>
                      <c15:dlblFieldTableCache>
                        <c:ptCount val="1"/>
                      </c15:dlblFieldTableCache>
                    </c15:dlblFTEntry>
                  </c15:dlblFieldTable>
                  <c15:showDataLabelsRange val="0"/>
                </c:ext>
                <c:ext xmlns:c16="http://schemas.microsoft.com/office/drawing/2014/chart" uri="{C3380CC4-5D6E-409C-BE32-E72D297353CC}">
                  <c16:uniqueId val="{00000143-0A6B-4376-88DD-AB3AC92F78D4}"/>
                </c:ext>
              </c:extLst>
            </c:dLbl>
            <c:dLbl>
              <c:idx val="30"/>
              <c:tx>
                <c:strRef>
                  <c:f>Frontend!$BS$40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{78F03708-523D-4AEB-B836-14389566F3D6}</c15:txfldGUID>
                      <c15:f>Frontend!$BS$40</c15:f>
                      <c15:dlblFieldTableCache>
                        <c:ptCount val="1"/>
                      </c15:dlblFieldTableCache>
                    </c15:dlblFTEntry>
                  </c15:dlblFieldTable>
                  <c15:showDataLabelsRange val="0"/>
                </c:ext>
                <c:ext xmlns:c16="http://schemas.microsoft.com/office/drawing/2014/chart" uri="{C3380CC4-5D6E-409C-BE32-E72D297353CC}">
                  <c16:uniqueId val="{00000144-0A6B-4376-88DD-AB3AC92F78D4}"/>
                </c:ext>
              </c:extLst>
            </c:dLbl>
            <c:dLbl>
              <c:idx val="31"/>
              <c:tx>
                <c:strRef>
                  <c:f>Frontend!$BS$41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{89739495-4C29-4971-AAF9-6815C623AE8F}</c15:txfldGUID>
                      <c15:f>Frontend!$BS$41</c15:f>
                      <c15:dlblFieldTableCache>
                        <c:ptCount val="1"/>
                      </c15:dlblFieldTableCache>
                    </c15:dlblFTEntry>
                  </c15:dlblFieldTable>
                  <c15:showDataLabelsRange val="0"/>
                </c:ext>
                <c:ext xmlns:c16="http://schemas.microsoft.com/office/drawing/2014/chart" uri="{C3380CC4-5D6E-409C-BE32-E72D297353CC}">
                  <c16:uniqueId val="{00000145-0A6B-4376-88DD-AB3AC92F78D4}"/>
                </c:ext>
              </c:extLst>
            </c:dLbl>
            <c:dLbl>
              <c:idx val="32"/>
              <c:tx>
                <c:strRef>
                  <c:f>Frontend!$BS$42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{70E74CA3-DE7A-42EE-96D4-0E6039AA95A9}</c15:txfldGUID>
                      <c15:f>Frontend!$BS$42</c15:f>
                      <c15:dlblFieldTableCache>
                        <c:ptCount val="1"/>
                      </c15:dlblFieldTableCache>
                    </c15:dlblFTEntry>
                  </c15:dlblFieldTable>
                  <c15:showDataLabelsRange val="0"/>
                </c:ext>
                <c:ext xmlns:c16="http://schemas.microsoft.com/office/drawing/2014/chart" uri="{C3380CC4-5D6E-409C-BE32-E72D297353CC}">
                  <c16:uniqueId val="{00000146-0A6B-4376-88DD-AB3AC92F78D4}"/>
                </c:ext>
              </c:extLst>
            </c:dLbl>
            <c:dLbl>
              <c:idx val="33"/>
              <c:tx>
                <c:strRef>
                  <c:f>Frontend!$BS$43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{A64D7591-267C-4ABB-B717-BB3C4546A30F}</c15:txfldGUID>
                      <c15:f>Frontend!$BS$43</c15:f>
                      <c15:dlblFieldTableCache>
                        <c:ptCount val="1"/>
                      </c15:dlblFieldTableCache>
                    </c15:dlblFTEntry>
                  </c15:dlblFieldTable>
                  <c15:showDataLabelsRange val="0"/>
                </c:ext>
                <c:ext xmlns:c16="http://schemas.microsoft.com/office/drawing/2014/chart" uri="{C3380CC4-5D6E-409C-BE32-E72D297353CC}">
                  <c16:uniqueId val="{00000147-0A6B-4376-88DD-AB3AC92F78D4}"/>
                </c:ext>
              </c:extLst>
            </c:dLbl>
            <c:dLbl>
              <c:idx val="34"/>
              <c:tx>
                <c:strRef>
                  <c:f>Frontend!$BS$44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{6966CF2C-3B82-4EC0-B069-2894A1E53D7E}</c15:txfldGUID>
                      <c15:f>Frontend!$BS$44</c15:f>
                      <c15:dlblFieldTableCache>
                        <c:ptCount val="1"/>
                      </c15:dlblFieldTableCache>
                    </c15:dlblFTEntry>
                  </c15:dlblFieldTable>
                  <c15:showDataLabelsRange val="0"/>
                </c:ext>
                <c:ext xmlns:c16="http://schemas.microsoft.com/office/drawing/2014/chart" uri="{C3380CC4-5D6E-409C-BE32-E72D297353CC}">
                  <c16:uniqueId val="{00000148-0A6B-4376-88DD-AB3AC92F78D4}"/>
                </c:ext>
              </c:extLst>
            </c:dLbl>
            <c:dLbl>
              <c:idx val="35"/>
              <c:tx>
                <c:strRef>
                  <c:f>Frontend!$BS$45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{6126A17A-0572-46FE-A38A-0CEC1FF6C828}</c15:txfldGUID>
                      <c15:f>Frontend!$BS$45</c15:f>
                      <c15:dlblFieldTableCache>
                        <c:ptCount val="1"/>
                      </c15:dlblFieldTableCache>
                    </c15:dlblFTEntry>
                  </c15:dlblFieldTable>
                  <c15:showDataLabelsRange val="0"/>
                </c:ext>
                <c:ext xmlns:c16="http://schemas.microsoft.com/office/drawing/2014/chart" uri="{C3380CC4-5D6E-409C-BE32-E72D297353CC}">
                  <c16:uniqueId val="{00000149-0A6B-4376-88DD-AB3AC92F78D4}"/>
                </c:ext>
              </c:extLst>
            </c:dLbl>
            <c:dLbl>
              <c:idx val="36"/>
              <c:tx>
                <c:strRef>
                  <c:f>Frontend!$BS$46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{D9267110-2423-4FD9-AA9F-1ECB7C2B22B2}</c15:txfldGUID>
                      <c15:f>Frontend!$BS$46</c15:f>
                      <c15:dlblFieldTableCache>
                        <c:ptCount val="1"/>
                      </c15:dlblFieldTableCache>
                    </c15:dlblFTEntry>
                  </c15:dlblFieldTable>
                  <c15:showDataLabelsRange val="0"/>
                </c:ext>
                <c:ext xmlns:c16="http://schemas.microsoft.com/office/drawing/2014/chart" uri="{C3380CC4-5D6E-409C-BE32-E72D297353CC}">
                  <c16:uniqueId val="{0000014A-0A6B-4376-88DD-AB3AC92F78D4}"/>
                </c:ext>
              </c:extLst>
            </c:dLbl>
            <c:dLbl>
              <c:idx val="37"/>
              <c:tx>
                <c:strRef>
                  <c:f>Frontend!$BS$47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{ED8BF107-EA6B-4771-8E0F-0506845ACC35}</c15:txfldGUID>
                      <c15:f>Frontend!$BS$47</c15:f>
                      <c15:dlblFieldTableCache>
                        <c:ptCount val="1"/>
                      </c15:dlblFieldTableCache>
                    </c15:dlblFTEntry>
                  </c15:dlblFieldTable>
                  <c15:showDataLabelsRange val="0"/>
                </c:ext>
                <c:ext xmlns:c16="http://schemas.microsoft.com/office/drawing/2014/chart" uri="{C3380CC4-5D6E-409C-BE32-E72D297353CC}">
                  <c16:uniqueId val="{0000014B-0A6B-4376-88DD-AB3AC92F78D4}"/>
                </c:ext>
              </c:extLst>
            </c:dLbl>
            <c:dLbl>
              <c:idx val="38"/>
              <c:tx>
                <c:strRef>
                  <c:f>Frontend!$BS$48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{34BB52CC-C73C-4402-A685-AC273D5C9342}</c15:txfldGUID>
                      <c15:f>Frontend!$BS$48</c15:f>
                      <c15:dlblFieldTableCache>
                        <c:ptCount val="1"/>
                      </c15:dlblFieldTableCache>
                    </c15:dlblFTEntry>
                  </c15:dlblFieldTable>
                  <c15:showDataLabelsRange val="0"/>
                </c:ext>
                <c:ext xmlns:c16="http://schemas.microsoft.com/office/drawing/2014/chart" uri="{C3380CC4-5D6E-409C-BE32-E72D297353CC}">
                  <c16:uniqueId val="{0000014C-0A6B-4376-88DD-AB3AC92F78D4}"/>
                </c:ext>
              </c:extLst>
            </c:dLbl>
            <c:dLbl>
              <c:idx val="39"/>
              <c:tx>
                <c:strRef>
                  <c:f>Frontend!$BS$49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{7DAD551F-1862-4DD9-A222-9301CD182D47}</c15:txfldGUID>
                      <c15:f>Frontend!$BS$49</c15:f>
                      <c15:dlblFieldTableCache>
                        <c:ptCount val="1"/>
                      </c15:dlblFieldTableCache>
                    </c15:dlblFTEntry>
                  </c15:dlblFieldTable>
                  <c15:showDataLabelsRange val="0"/>
                </c:ext>
                <c:ext xmlns:c16="http://schemas.microsoft.com/office/drawing/2014/chart" uri="{C3380CC4-5D6E-409C-BE32-E72D297353CC}">
                  <c16:uniqueId val="{0000014D-0A6B-4376-88DD-AB3AC92F78D4}"/>
                </c:ext>
              </c:extLst>
            </c:dLbl>
            <c:dLbl>
              <c:idx val="40"/>
              <c:tx>
                <c:strRef>
                  <c:f>Frontend!$BS$50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{190A15EE-28A2-405A-8911-69DF3AA61377}</c15:txfldGUID>
                      <c15:f>Frontend!$BS$50</c15:f>
                      <c15:dlblFieldTableCache>
                        <c:ptCount val="1"/>
                      </c15:dlblFieldTableCache>
                    </c15:dlblFTEntry>
                  </c15:dlblFieldTable>
                  <c15:showDataLabelsRange val="0"/>
                </c:ext>
                <c:ext xmlns:c16="http://schemas.microsoft.com/office/drawing/2014/chart" uri="{C3380CC4-5D6E-409C-BE32-E72D297353CC}">
                  <c16:uniqueId val="{0000014E-0A6B-4376-88DD-AB3AC92F78D4}"/>
                </c:ext>
              </c:extLst>
            </c:dLbl>
            <c:dLbl>
              <c:idx val="41"/>
              <c:tx>
                <c:strRef>
                  <c:f>Frontend!$BS$51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{1541D363-BEED-4535-ABB0-A2A24F47761F}</c15:txfldGUID>
                      <c15:f>Frontend!$BS$51</c15:f>
                      <c15:dlblFieldTableCache>
                        <c:ptCount val="1"/>
                      </c15:dlblFieldTableCache>
                    </c15:dlblFTEntry>
                  </c15:dlblFieldTable>
                  <c15:showDataLabelsRange val="0"/>
                </c:ext>
                <c:ext xmlns:c16="http://schemas.microsoft.com/office/drawing/2014/chart" uri="{C3380CC4-5D6E-409C-BE32-E72D297353CC}">
                  <c16:uniqueId val="{0000014F-0A6B-4376-88DD-AB3AC92F78D4}"/>
                </c:ext>
              </c:extLst>
            </c:dLbl>
            <c:dLbl>
              <c:idx val="42"/>
              <c:tx>
                <c:strRef>
                  <c:f>Frontend!$BS$52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{F2350D26-5C93-4249-98B8-22484F627C8D}</c15:txfldGUID>
                      <c15:f>Frontend!$BS$52</c15:f>
                      <c15:dlblFieldTableCache>
                        <c:ptCount val="1"/>
                      </c15:dlblFieldTableCache>
                    </c15:dlblFTEntry>
                  </c15:dlblFieldTable>
                  <c15:showDataLabelsRange val="0"/>
                </c:ext>
                <c:ext xmlns:c16="http://schemas.microsoft.com/office/drawing/2014/chart" uri="{C3380CC4-5D6E-409C-BE32-E72D297353CC}">
                  <c16:uniqueId val="{00000150-0A6B-4376-88DD-AB3AC92F78D4}"/>
                </c:ext>
              </c:extLst>
            </c:dLbl>
            <c:dLbl>
              <c:idx val="43"/>
              <c:tx>
                <c:strRef>
                  <c:f>Frontend!$BS$53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{756759E3-975F-45B2-BFD7-065DCDC2DBD6}</c15:txfldGUID>
                      <c15:f>Frontend!$BS$53</c15:f>
                      <c15:dlblFieldTableCache>
                        <c:ptCount val="1"/>
                      </c15:dlblFieldTableCache>
                    </c15:dlblFTEntry>
                  </c15:dlblFieldTable>
                  <c15:showDataLabelsRange val="0"/>
                </c:ext>
                <c:ext xmlns:c16="http://schemas.microsoft.com/office/drawing/2014/chart" uri="{C3380CC4-5D6E-409C-BE32-E72D297353CC}">
                  <c16:uniqueId val="{00000151-0A6B-4376-88DD-AB3AC92F78D4}"/>
                </c:ext>
              </c:extLst>
            </c:dLbl>
            <c:dLbl>
              <c:idx val="44"/>
              <c:tx>
                <c:strRef>
                  <c:f>Frontend!$BS$54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{29946A67-BA9B-4C81-B6F1-B29813358F07}</c15:txfldGUID>
                      <c15:f>Frontend!$BS$54</c15:f>
                      <c15:dlblFieldTableCache>
                        <c:ptCount val="1"/>
                      </c15:dlblFieldTableCache>
                    </c15:dlblFTEntry>
                  </c15:dlblFieldTable>
                  <c15:showDataLabelsRange val="0"/>
                </c:ext>
                <c:ext xmlns:c16="http://schemas.microsoft.com/office/drawing/2014/chart" uri="{C3380CC4-5D6E-409C-BE32-E72D297353CC}">
                  <c16:uniqueId val="{00000152-0A6B-4376-88DD-AB3AC92F78D4}"/>
                </c:ext>
              </c:extLst>
            </c:dLbl>
            <c:dLbl>
              <c:idx val="45"/>
              <c:tx>
                <c:strRef>
                  <c:f>Frontend!$BS$55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{C6504F8D-632F-48AD-9AC8-9A3314166F76}</c15:txfldGUID>
                      <c15:f>Frontend!$BS$55</c15:f>
                      <c15:dlblFieldTableCache>
                        <c:ptCount val="1"/>
                      </c15:dlblFieldTableCache>
                    </c15:dlblFTEntry>
                  </c15:dlblFieldTable>
                  <c15:showDataLabelsRange val="0"/>
                </c:ext>
                <c:ext xmlns:c16="http://schemas.microsoft.com/office/drawing/2014/chart" uri="{C3380CC4-5D6E-409C-BE32-E72D297353CC}">
                  <c16:uniqueId val="{00000153-0A6B-4376-88DD-AB3AC92F78D4}"/>
                </c:ext>
              </c:extLst>
            </c:dLbl>
            <c:dLbl>
              <c:idx val="46"/>
              <c:tx>
                <c:strRef>
                  <c:f>Frontend!$BS$56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{A2B6CCBC-1157-490A-8F42-27F48D1E18B9}</c15:txfldGUID>
                      <c15:f>Frontend!$BS$56</c15:f>
                      <c15:dlblFieldTableCache>
                        <c:ptCount val="1"/>
                      </c15:dlblFieldTableCache>
                    </c15:dlblFTEntry>
                  </c15:dlblFieldTable>
                  <c15:showDataLabelsRange val="0"/>
                </c:ext>
                <c:ext xmlns:c16="http://schemas.microsoft.com/office/drawing/2014/chart" uri="{C3380CC4-5D6E-409C-BE32-E72D297353CC}">
                  <c16:uniqueId val="{00000154-0A6B-4376-88DD-AB3AC92F78D4}"/>
                </c:ext>
              </c:extLst>
            </c:dLbl>
            <c:dLbl>
              <c:idx val="47"/>
              <c:tx>
                <c:strRef>
                  <c:f>Frontend!$BS$57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{07B34BCF-E81D-49DC-81C0-0905A79AEEC1}</c15:txfldGUID>
                      <c15:f>Frontend!$BS$57</c15:f>
                      <c15:dlblFieldTableCache>
                        <c:ptCount val="1"/>
                      </c15:dlblFieldTableCache>
                    </c15:dlblFTEntry>
                  </c15:dlblFieldTable>
                  <c15:showDataLabelsRange val="0"/>
                </c:ext>
                <c:ext xmlns:c16="http://schemas.microsoft.com/office/drawing/2014/chart" uri="{C3380CC4-5D6E-409C-BE32-E72D297353CC}">
                  <c16:uniqueId val="{00000155-0A6B-4376-88DD-AB3AC92F78D4}"/>
                </c:ext>
              </c:extLst>
            </c:dLbl>
            <c:dLbl>
              <c:idx val="48"/>
              <c:tx>
                <c:strRef>
                  <c:f>Frontend!$BS$58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{D7921D90-0DEA-476D-96D2-6C7DE35F1B2F}</c15:txfldGUID>
                      <c15:f>Frontend!$BS$58</c15:f>
                      <c15:dlblFieldTableCache>
                        <c:ptCount val="1"/>
                      </c15:dlblFieldTableCache>
                    </c15:dlblFTEntry>
                  </c15:dlblFieldTable>
                  <c15:showDataLabelsRange val="0"/>
                </c:ext>
                <c:ext xmlns:c16="http://schemas.microsoft.com/office/drawing/2014/chart" uri="{C3380CC4-5D6E-409C-BE32-E72D297353CC}">
                  <c16:uniqueId val="{00000156-0A6B-4376-88DD-AB3AC92F78D4}"/>
                </c:ext>
              </c:extLst>
            </c:dLbl>
            <c:dLbl>
              <c:idx val="49"/>
              <c:tx>
                <c:strRef>
                  <c:f>Frontend!$BS$59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{19C2C028-B1C9-49CA-A5B8-7BEEAEAEB438}</c15:txfldGUID>
                      <c15:f>Frontend!$BS$59</c15:f>
                      <c15:dlblFieldTableCache>
                        <c:ptCount val="1"/>
                      </c15:dlblFieldTableCache>
                    </c15:dlblFTEntry>
                  </c15:dlblFieldTable>
                  <c15:showDataLabelsRange val="0"/>
                </c:ext>
                <c:ext xmlns:c16="http://schemas.microsoft.com/office/drawing/2014/chart" uri="{C3380CC4-5D6E-409C-BE32-E72D297353CC}">
                  <c16:uniqueId val="{00000157-0A6B-4376-88DD-AB3AC92F78D4}"/>
                </c:ext>
              </c:extLst>
            </c:dLbl>
            <c:dLbl>
              <c:idx val="50"/>
              <c:tx>
                <c:strRef>
                  <c:f>Frontend!$BS$60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{9FFBA2B3-3A36-4DDE-B7CD-4ED69894DB41}</c15:txfldGUID>
                      <c15:f>Frontend!$BS$60</c15:f>
                      <c15:dlblFieldTableCache>
                        <c:ptCount val="1"/>
                      </c15:dlblFieldTableCache>
                    </c15:dlblFTEntry>
                  </c15:dlblFieldTable>
                  <c15:showDataLabelsRange val="0"/>
                </c:ext>
                <c:ext xmlns:c16="http://schemas.microsoft.com/office/drawing/2014/chart" uri="{C3380CC4-5D6E-409C-BE32-E72D297353CC}">
                  <c16:uniqueId val="{00000158-0A6B-4376-88DD-AB3AC92F78D4}"/>
                </c:ext>
              </c:extLst>
            </c:dLbl>
            <c:dLbl>
              <c:idx val="51"/>
              <c:tx>
                <c:strRef>
                  <c:f>Frontend!$BS$61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{33ACA6CB-15A6-421A-9FD7-AD7ACE2D69E9}</c15:txfldGUID>
                      <c15:f>Frontend!$BS$61</c15:f>
                      <c15:dlblFieldTableCache>
                        <c:ptCount val="1"/>
                      </c15:dlblFieldTableCache>
                    </c15:dlblFTEntry>
                  </c15:dlblFieldTable>
                  <c15:showDataLabelsRange val="0"/>
                </c:ext>
                <c:ext xmlns:c16="http://schemas.microsoft.com/office/drawing/2014/chart" uri="{C3380CC4-5D6E-409C-BE32-E72D297353CC}">
                  <c16:uniqueId val="{00000159-0A6B-4376-88DD-AB3AC92F78D4}"/>
                </c:ext>
              </c:extLst>
            </c:dLbl>
            <c:dLbl>
              <c:idx val="52"/>
              <c:tx>
                <c:strRef>
                  <c:f>Frontend!$BS$62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{8EF59EDE-5BA7-4A75-9C6C-881AB5330EA5}</c15:txfldGUID>
                      <c15:f>Frontend!$BS$62</c15:f>
                      <c15:dlblFieldTableCache>
                        <c:ptCount val="1"/>
                      </c15:dlblFieldTableCache>
                    </c15:dlblFTEntry>
                  </c15:dlblFieldTable>
                  <c15:showDataLabelsRange val="0"/>
                </c:ext>
                <c:ext xmlns:c16="http://schemas.microsoft.com/office/drawing/2014/chart" uri="{C3380CC4-5D6E-409C-BE32-E72D297353CC}">
                  <c16:uniqueId val="{0000015A-0A6B-4376-88DD-AB3AC92F78D4}"/>
                </c:ext>
              </c:extLst>
            </c:dLbl>
            <c:dLbl>
              <c:idx val="53"/>
              <c:tx>
                <c:strRef>
                  <c:f>Frontend!$BS$63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{CD0D873C-21A2-42C4-84AF-45DAF7AE3071}</c15:txfldGUID>
                      <c15:f>Frontend!$BS$63</c15:f>
                      <c15:dlblFieldTableCache>
                        <c:ptCount val="1"/>
                      </c15:dlblFieldTableCache>
                    </c15:dlblFTEntry>
                  </c15:dlblFieldTable>
                  <c15:showDataLabelsRange val="0"/>
                </c:ext>
                <c:ext xmlns:c16="http://schemas.microsoft.com/office/drawing/2014/chart" uri="{C3380CC4-5D6E-409C-BE32-E72D297353CC}">
                  <c16:uniqueId val="{0000015B-0A6B-4376-88DD-AB3AC92F78D4}"/>
                </c:ext>
              </c:extLst>
            </c:dLbl>
            <c:dLbl>
              <c:idx val="54"/>
              <c:tx>
                <c:strRef>
                  <c:f>Frontend!$BS$64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{5E4520E1-6550-4447-BCC9-29B382388717}</c15:txfldGUID>
                      <c15:f>Frontend!$BS$64</c15:f>
                      <c15:dlblFieldTableCache>
                        <c:ptCount val="1"/>
                      </c15:dlblFieldTableCache>
                    </c15:dlblFTEntry>
                  </c15:dlblFieldTable>
                  <c15:showDataLabelsRange val="0"/>
                </c:ext>
                <c:ext xmlns:c16="http://schemas.microsoft.com/office/drawing/2014/chart" uri="{C3380CC4-5D6E-409C-BE32-E72D297353CC}">
                  <c16:uniqueId val="{0000015C-0A6B-4376-88DD-AB3AC92F78D4}"/>
                </c:ext>
              </c:extLst>
            </c:dLbl>
            <c:dLbl>
              <c:idx val="55"/>
              <c:tx>
                <c:strRef>
                  <c:f>Frontend!$BS$65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{1EF9CA06-A319-4F3A-ABF0-8B2874AB8E70}</c15:txfldGUID>
                      <c15:f>Frontend!$BS$65</c15:f>
                      <c15:dlblFieldTableCache>
                        <c:ptCount val="1"/>
                      </c15:dlblFieldTableCache>
                    </c15:dlblFTEntry>
                  </c15:dlblFieldTable>
                  <c15:showDataLabelsRange val="0"/>
                </c:ext>
                <c:ext xmlns:c16="http://schemas.microsoft.com/office/drawing/2014/chart" uri="{C3380CC4-5D6E-409C-BE32-E72D297353CC}">
                  <c16:uniqueId val="{0000015D-0A6B-4376-88DD-AB3AC92F78D4}"/>
                </c:ext>
              </c:extLst>
            </c:dLbl>
            <c:dLbl>
              <c:idx val="56"/>
              <c:tx>
                <c:strRef>
                  <c:f>Frontend!$BS$66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{6ECF9577-70E4-4A5F-986D-081D829A73DE}</c15:txfldGUID>
                      <c15:f>Frontend!$BS$66</c15:f>
                      <c15:dlblFieldTableCache>
                        <c:ptCount val="1"/>
                      </c15:dlblFieldTableCache>
                    </c15:dlblFTEntry>
                  </c15:dlblFieldTable>
                  <c15:showDataLabelsRange val="0"/>
                </c:ext>
                <c:ext xmlns:c16="http://schemas.microsoft.com/office/drawing/2014/chart" uri="{C3380CC4-5D6E-409C-BE32-E72D297353CC}">
                  <c16:uniqueId val="{0000015E-0A6B-4376-88DD-AB3AC92F78D4}"/>
                </c:ext>
              </c:extLst>
            </c:dLbl>
            <c:dLbl>
              <c:idx val="57"/>
              <c:tx>
                <c:strRef>
                  <c:f>Frontend!$BS$67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{97507947-7EBA-47B8-B574-4A048D3DAEFA}</c15:txfldGUID>
                      <c15:f>Frontend!$BS$67</c15:f>
                      <c15:dlblFieldTableCache>
                        <c:ptCount val="1"/>
                      </c15:dlblFieldTableCache>
                    </c15:dlblFTEntry>
                  </c15:dlblFieldTable>
                  <c15:showDataLabelsRange val="0"/>
                </c:ext>
                <c:ext xmlns:c16="http://schemas.microsoft.com/office/drawing/2014/chart" uri="{C3380CC4-5D6E-409C-BE32-E72D297353CC}">
                  <c16:uniqueId val="{0000015F-0A6B-4376-88DD-AB3AC92F78D4}"/>
                </c:ext>
              </c:extLst>
            </c:dLbl>
            <c:dLbl>
              <c:idx val="58"/>
              <c:tx>
                <c:strRef>
                  <c:f>Frontend!$BS$68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{11D57614-28BD-4B2B-8F44-A112D2FA042B}</c15:txfldGUID>
                      <c15:f>Frontend!$BS$68</c15:f>
                      <c15:dlblFieldTableCache>
                        <c:ptCount val="1"/>
                      </c15:dlblFieldTableCache>
                    </c15:dlblFTEntry>
                  </c15:dlblFieldTable>
                  <c15:showDataLabelsRange val="0"/>
                </c:ext>
                <c:ext xmlns:c16="http://schemas.microsoft.com/office/drawing/2014/chart" uri="{C3380CC4-5D6E-409C-BE32-E72D297353CC}">
                  <c16:uniqueId val="{00000004-9E7E-44E2-8374-D52211F03D4F}"/>
                </c:ext>
              </c:extLst>
            </c:dLbl>
            <c:dLbl>
              <c:idx val="59"/>
              <c:tx>
                <c:strRef>
                  <c:f>Frontend!$BS$69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{F9D24829-A023-4B21-8E29-0D3E28FC4F19}</c15:txfldGUID>
                      <c15:f>Frontend!$BS$69</c15:f>
                      <c15:dlblFieldTableCache>
                        <c:ptCount val="1"/>
                      </c15:dlblFieldTableCache>
                    </c15:dlblFTEntry>
                  </c15:dlblFieldTable>
                  <c15:showDataLabelsRange val="0"/>
                </c:ext>
                <c:ext xmlns:c16="http://schemas.microsoft.com/office/drawing/2014/chart" uri="{C3380CC4-5D6E-409C-BE32-E72D297353CC}">
                  <c16:uniqueId val="{00000160-0A6B-4376-88DD-AB3AC92F78D4}"/>
                </c:ext>
              </c:extLst>
            </c:dLbl>
            <c:dLbl>
              <c:idx val="60"/>
              <c:tx>
                <c:strRef>
                  <c:f>Frontend!$BS$70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{5F396BAA-D2F0-422C-9175-743B0B7554EA}</c15:txfldGUID>
                      <c15:f>Frontend!$BS$70</c15:f>
                      <c15:dlblFieldTableCache>
                        <c:ptCount val="1"/>
                      </c15:dlblFieldTableCache>
                    </c15:dlblFTEntry>
                  </c15:dlblFieldTable>
                  <c15:showDataLabelsRange val="0"/>
                </c:ext>
                <c:ext xmlns:c16="http://schemas.microsoft.com/office/drawing/2014/chart" uri="{C3380CC4-5D6E-409C-BE32-E72D297353CC}">
                  <c16:uniqueId val="{00000161-0A6B-4376-88DD-AB3AC92F78D4}"/>
                </c:ext>
              </c:extLst>
            </c:dLbl>
            <c:dLbl>
              <c:idx val="61"/>
              <c:tx>
                <c:strRef>
                  <c:f>Frontend!$BS$71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{E3B3FCA9-52A1-41EB-A2F9-B4190DE27747}</c15:txfldGUID>
                      <c15:f>Frontend!$BS$71</c15:f>
                      <c15:dlblFieldTableCache>
                        <c:ptCount val="1"/>
                      </c15:dlblFieldTableCache>
                    </c15:dlblFTEntry>
                  </c15:dlblFieldTable>
                  <c15:showDataLabelsRange val="0"/>
                </c:ext>
                <c:ext xmlns:c16="http://schemas.microsoft.com/office/drawing/2014/chart" uri="{C3380CC4-5D6E-409C-BE32-E72D297353CC}">
                  <c16:uniqueId val="{00000162-0A6B-4376-88DD-AB3AC92F78D4}"/>
                </c:ext>
              </c:extLst>
            </c:dLbl>
            <c:dLbl>
              <c:idx val="62"/>
              <c:tx>
                <c:strRef>
                  <c:f>Frontend!$BS$72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{00BCEAF0-70FF-462C-8F8B-E6CC3DFDA582}</c15:txfldGUID>
                      <c15:f>Frontend!$BS$72</c15:f>
                      <c15:dlblFieldTableCache>
                        <c:ptCount val="1"/>
                      </c15:dlblFieldTableCache>
                    </c15:dlblFTEntry>
                  </c15:dlblFieldTable>
                  <c15:showDataLabelsRange val="0"/>
                </c:ext>
                <c:ext xmlns:c16="http://schemas.microsoft.com/office/drawing/2014/chart" uri="{C3380CC4-5D6E-409C-BE32-E72D297353CC}">
                  <c16:uniqueId val="{00000163-0A6B-4376-88DD-AB3AC92F78D4}"/>
                </c:ext>
              </c:extLst>
            </c:dLbl>
            <c:dLbl>
              <c:idx val="63"/>
              <c:tx>
                <c:strRef>
                  <c:f>Frontend!$BS$73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{276E44E6-6A0A-4538-BB55-D8FF64A504B0}</c15:txfldGUID>
                      <c15:f>Frontend!$BS$73</c15:f>
                      <c15:dlblFieldTableCache>
                        <c:ptCount val="1"/>
                      </c15:dlblFieldTableCache>
                    </c15:dlblFTEntry>
                  </c15:dlblFieldTable>
                  <c15:showDataLabelsRange val="0"/>
                </c:ext>
                <c:ext xmlns:c16="http://schemas.microsoft.com/office/drawing/2014/chart" uri="{C3380CC4-5D6E-409C-BE32-E72D297353CC}">
                  <c16:uniqueId val="{00000164-0A6B-4376-88DD-AB3AC92F78D4}"/>
                </c:ext>
              </c:extLst>
            </c:dLbl>
            <c:dLbl>
              <c:idx val="64"/>
              <c:tx>
                <c:strRef>
                  <c:f>Frontend!$BS$74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{6B02DC9B-AA31-4F0F-8AC4-32CE8D705A08}</c15:txfldGUID>
                      <c15:f>Frontend!$BS$74</c15:f>
                      <c15:dlblFieldTableCache>
                        <c:ptCount val="1"/>
                      </c15:dlblFieldTableCache>
                    </c15:dlblFTEntry>
                  </c15:dlblFieldTable>
                  <c15:showDataLabelsRange val="0"/>
                </c:ext>
                <c:ext xmlns:c16="http://schemas.microsoft.com/office/drawing/2014/chart" uri="{C3380CC4-5D6E-409C-BE32-E72D297353CC}">
                  <c16:uniqueId val="{00000165-0A6B-4376-88DD-AB3AC92F78D4}"/>
                </c:ext>
              </c:extLst>
            </c:dLbl>
            <c:dLbl>
              <c:idx val="65"/>
              <c:tx>
                <c:strRef>
                  <c:f>Frontend!$BS$75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{232B4270-D4C4-4821-B1EF-96B45AFBFF2A}</c15:txfldGUID>
                      <c15:f>Frontend!$BS$75</c15:f>
                      <c15:dlblFieldTableCache>
                        <c:ptCount val="1"/>
                      </c15:dlblFieldTableCache>
                    </c15:dlblFTEntry>
                  </c15:dlblFieldTable>
                  <c15:showDataLabelsRange val="0"/>
                </c:ext>
                <c:ext xmlns:c16="http://schemas.microsoft.com/office/drawing/2014/chart" uri="{C3380CC4-5D6E-409C-BE32-E72D297353CC}">
                  <c16:uniqueId val="{00000166-0A6B-4376-88DD-AB3AC92F78D4}"/>
                </c:ext>
              </c:extLst>
            </c:dLbl>
            <c:dLbl>
              <c:idx val="66"/>
              <c:tx>
                <c:strRef>
                  <c:f>Frontend!$BS$76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{0929049B-A40D-4C46-AFFE-E26986C71E42}</c15:txfldGUID>
                      <c15:f>Frontend!$BS$76</c15:f>
                      <c15:dlblFieldTableCache>
                        <c:ptCount val="1"/>
                      </c15:dlblFieldTableCache>
                    </c15:dlblFTEntry>
                  </c15:dlblFieldTable>
                  <c15:showDataLabelsRange val="0"/>
                </c:ext>
                <c:ext xmlns:c16="http://schemas.microsoft.com/office/drawing/2014/chart" uri="{C3380CC4-5D6E-409C-BE32-E72D297353CC}">
                  <c16:uniqueId val="{00000167-0A6B-4376-88DD-AB3AC92F78D4}"/>
                </c:ext>
              </c:extLst>
            </c:dLbl>
            <c:dLbl>
              <c:idx val="67"/>
              <c:tx>
                <c:strRef>
                  <c:f>Frontend!$BS$77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{B2DA8926-7A7B-4CD0-8C44-2FB7B9DD1B09}</c15:txfldGUID>
                      <c15:f>Frontend!$BS$77</c15:f>
                      <c15:dlblFieldTableCache>
                        <c:ptCount val="1"/>
                      </c15:dlblFieldTableCache>
                    </c15:dlblFTEntry>
                  </c15:dlblFieldTable>
                  <c15:showDataLabelsRange val="0"/>
                </c:ext>
                <c:ext xmlns:c16="http://schemas.microsoft.com/office/drawing/2014/chart" uri="{C3380CC4-5D6E-409C-BE32-E72D297353CC}">
                  <c16:uniqueId val="{00000168-0A6B-4376-88DD-AB3AC92F78D4}"/>
                </c:ext>
              </c:extLst>
            </c:dLbl>
            <c:dLbl>
              <c:idx val="68"/>
              <c:tx>
                <c:strRef>
                  <c:f>Frontend!$BS$78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{DDFCF5C7-9876-4A63-BB8E-D3A26FC6657D}</c15:txfldGUID>
                      <c15:f>Frontend!$BS$78</c15:f>
                      <c15:dlblFieldTableCache>
                        <c:ptCount val="1"/>
                      </c15:dlblFieldTableCache>
                    </c15:dlblFTEntry>
                  </c15:dlblFieldTable>
                  <c15:showDataLabelsRange val="0"/>
                </c:ext>
                <c:ext xmlns:c16="http://schemas.microsoft.com/office/drawing/2014/chart" uri="{C3380CC4-5D6E-409C-BE32-E72D297353CC}">
                  <c16:uniqueId val="{00000169-0A6B-4376-88DD-AB3AC92F78D4}"/>
                </c:ext>
              </c:extLst>
            </c:dLbl>
            <c:dLbl>
              <c:idx val="69"/>
              <c:tx>
                <c:strRef>
                  <c:f>Frontend!$BS$79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{0913F16D-5220-4DAC-9012-95E6594C7780}</c15:txfldGUID>
                      <c15:f>Frontend!$BS$79</c15:f>
                      <c15:dlblFieldTableCache>
                        <c:ptCount val="1"/>
                      </c15:dlblFieldTableCache>
                    </c15:dlblFTEntry>
                  </c15:dlblFieldTable>
                  <c15:showDataLabelsRange val="0"/>
                </c:ext>
                <c:ext xmlns:c16="http://schemas.microsoft.com/office/drawing/2014/chart" uri="{C3380CC4-5D6E-409C-BE32-E72D297353CC}">
                  <c16:uniqueId val="{0000016A-0A6B-4376-88DD-AB3AC92F78D4}"/>
                </c:ext>
              </c:extLst>
            </c:dLbl>
            <c:dLbl>
              <c:idx val="70"/>
              <c:tx>
                <c:strRef>
                  <c:f>Frontend!$BS$80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{212681AB-FED7-4999-9AFE-FC163585022B}</c15:txfldGUID>
                      <c15:f>Frontend!$BS$80</c15:f>
                      <c15:dlblFieldTableCache>
                        <c:ptCount val="1"/>
                      </c15:dlblFieldTableCache>
                    </c15:dlblFTEntry>
                  </c15:dlblFieldTable>
                  <c15:showDataLabelsRange val="0"/>
                </c:ext>
                <c:ext xmlns:c16="http://schemas.microsoft.com/office/drawing/2014/chart" uri="{C3380CC4-5D6E-409C-BE32-E72D297353CC}">
                  <c16:uniqueId val="{0000016B-0A6B-4376-88DD-AB3AC92F78D4}"/>
                </c:ext>
              </c:extLst>
            </c:dLbl>
            <c:dLbl>
              <c:idx val="71"/>
              <c:tx>
                <c:strRef>
                  <c:f>Frontend!$BS$81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{A52910D3-E7FD-4312-9617-5F902E1C1322}</c15:txfldGUID>
                      <c15:f>Frontend!$BS$81</c15:f>
                      <c15:dlblFieldTableCache>
                        <c:ptCount val="1"/>
                      </c15:dlblFieldTableCache>
                    </c15:dlblFTEntry>
                  </c15:dlblFieldTable>
                  <c15:showDataLabelsRange val="0"/>
                </c:ext>
                <c:ext xmlns:c16="http://schemas.microsoft.com/office/drawing/2014/chart" uri="{C3380CC4-5D6E-409C-BE32-E72D297353CC}">
                  <c16:uniqueId val="{0000016C-0A6B-4376-88DD-AB3AC92F78D4}"/>
                </c:ext>
              </c:extLst>
            </c:dLbl>
            <c:dLbl>
              <c:idx val="72"/>
              <c:tx>
                <c:strRef>
                  <c:f>Frontend!$BS$82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{D6D6B8AE-9630-4ADA-8660-7F0EF60EFDF5}</c15:txfldGUID>
                      <c15:f>Frontend!$BS$82</c15:f>
                      <c15:dlblFieldTableCache>
                        <c:ptCount val="1"/>
                      </c15:dlblFieldTableCache>
                    </c15:dlblFTEntry>
                  </c15:dlblFieldTable>
                  <c15:showDataLabelsRange val="0"/>
                </c:ext>
                <c:ext xmlns:c16="http://schemas.microsoft.com/office/drawing/2014/chart" uri="{C3380CC4-5D6E-409C-BE32-E72D297353CC}">
                  <c16:uniqueId val="{0000016D-0A6B-4376-88DD-AB3AC92F78D4}"/>
                </c:ext>
              </c:extLst>
            </c:dLbl>
            <c:dLbl>
              <c:idx val="73"/>
              <c:tx>
                <c:strRef>
                  <c:f>Frontend!$BS$83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{3E66926B-F450-495E-B8EC-9B08FD4EC2C0}</c15:txfldGUID>
                      <c15:f>Frontend!$BS$83</c15:f>
                      <c15:dlblFieldTableCache>
                        <c:ptCount val="1"/>
                      </c15:dlblFieldTableCache>
                    </c15:dlblFTEntry>
                  </c15:dlblFieldTable>
                  <c15:showDataLabelsRange val="0"/>
                </c:ext>
                <c:ext xmlns:c16="http://schemas.microsoft.com/office/drawing/2014/chart" uri="{C3380CC4-5D6E-409C-BE32-E72D297353CC}">
                  <c16:uniqueId val="{0000016E-0A6B-4376-88DD-AB3AC92F78D4}"/>
                </c:ext>
              </c:extLst>
            </c:dLbl>
            <c:dLbl>
              <c:idx val="74"/>
              <c:tx>
                <c:strRef>
                  <c:f>Frontend!$BS$84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{32111EE7-4DD7-43D8-8688-BA062EE48515}</c15:txfldGUID>
                      <c15:f>Frontend!$BS$84</c15:f>
                      <c15:dlblFieldTableCache>
                        <c:ptCount val="1"/>
                      </c15:dlblFieldTableCache>
                    </c15:dlblFTEntry>
                  </c15:dlblFieldTable>
                  <c15:showDataLabelsRange val="0"/>
                </c:ext>
                <c:ext xmlns:c16="http://schemas.microsoft.com/office/drawing/2014/chart" uri="{C3380CC4-5D6E-409C-BE32-E72D297353CC}">
                  <c16:uniqueId val="{0000016F-0A6B-4376-88DD-AB3AC92F78D4}"/>
                </c:ext>
              </c:extLst>
            </c:dLbl>
            <c:dLbl>
              <c:idx val="75"/>
              <c:tx>
                <c:strRef>
                  <c:f>Frontend!$BS$85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{56573C3C-A55E-44AA-9E09-29FDCB5B5158}</c15:txfldGUID>
                      <c15:f>Frontend!$BS$85</c15:f>
                      <c15:dlblFieldTableCache>
                        <c:ptCount val="1"/>
                      </c15:dlblFieldTableCache>
                    </c15:dlblFTEntry>
                  </c15:dlblFieldTable>
                  <c15:showDataLabelsRange val="0"/>
                </c:ext>
                <c:ext xmlns:c16="http://schemas.microsoft.com/office/drawing/2014/chart" uri="{C3380CC4-5D6E-409C-BE32-E72D297353CC}">
                  <c16:uniqueId val="{00000170-0A6B-4376-88DD-AB3AC92F78D4}"/>
                </c:ext>
              </c:extLst>
            </c:dLbl>
            <c:dLbl>
              <c:idx val="76"/>
              <c:tx>
                <c:strRef>
                  <c:f>Frontend!$BS$86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{1A563ECC-ACD2-457E-8F46-DCDDC87529DB}</c15:txfldGUID>
                      <c15:f>Frontend!$BS$86</c15:f>
                      <c15:dlblFieldTableCache>
                        <c:ptCount val="1"/>
                      </c15:dlblFieldTableCache>
                    </c15:dlblFTEntry>
                  </c15:dlblFieldTable>
                  <c15:showDataLabelsRange val="0"/>
                </c:ext>
                <c:ext xmlns:c16="http://schemas.microsoft.com/office/drawing/2014/chart" uri="{C3380CC4-5D6E-409C-BE32-E72D297353CC}">
                  <c16:uniqueId val="{00000171-0A6B-4376-88DD-AB3AC92F78D4}"/>
                </c:ext>
              </c:extLst>
            </c:dLbl>
            <c:dLbl>
              <c:idx val="77"/>
              <c:tx>
                <c:strRef>
                  <c:f>Frontend!$BS$87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{AEED07FD-6040-480E-89D0-938BF37E2134}</c15:txfldGUID>
                      <c15:f>Frontend!$BS$87</c15:f>
                      <c15:dlblFieldTableCache>
                        <c:ptCount val="1"/>
                      </c15:dlblFieldTableCache>
                    </c15:dlblFTEntry>
                  </c15:dlblFieldTable>
                  <c15:showDataLabelsRange val="0"/>
                </c:ext>
                <c:ext xmlns:c16="http://schemas.microsoft.com/office/drawing/2014/chart" uri="{C3380CC4-5D6E-409C-BE32-E72D297353CC}">
                  <c16:uniqueId val="{00000172-0A6B-4376-88DD-AB3AC92F78D4}"/>
                </c:ext>
              </c:extLst>
            </c:dLbl>
            <c:dLbl>
              <c:idx val="78"/>
              <c:tx>
                <c:strRef>
                  <c:f>Frontend!$BS$88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{44859EF0-1E82-41F1-8558-D4E5280A2887}</c15:txfldGUID>
                      <c15:f>Frontend!$BS$88</c15:f>
                      <c15:dlblFieldTableCache>
                        <c:ptCount val="1"/>
                      </c15:dlblFieldTableCache>
                    </c15:dlblFTEntry>
                  </c15:dlblFieldTable>
                  <c15:showDataLabelsRange val="0"/>
                </c:ext>
                <c:ext xmlns:c16="http://schemas.microsoft.com/office/drawing/2014/chart" uri="{C3380CC4-5D6E-409C-BE32-E72D297353CC}">
                  <c16:uniqueId val="{00000173-0A6B-4376-88DD-AB3AC92F78D4}"/>
                </c:ext>
              </c:extLst>
            </c:dLbl>
            <c:dLbl>
              <c:idx val="79"/>
              <c:tx>
                <c:strRef>
                  <c:f>Frontend!$BS$89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{D25CD92F-E471-40E9-A079-C5B9791CC353}</c15:txfldGUID>
                      <c15:f>Frontend!$BS$89</c15:f>
                      <c15:dlblFieldTableCache>
                        <c:ptCount val="1"/>
                      </c15:dlblFieldTableCache>
                    </c15:dlblFTEntry>
                  </c15:dlblFieldTable>
                  <c15:showDataLabelsRange val="0"/>
                </c:ext>
                <c:ext xmlns:c16="http://schemas.microsoft.com/office/drawing/2014/chart" uri="{C3380CC4-5D6E-409C-BE32-E72D297353CC}">
                  <c16:uniqueId val="{00000174-0A6B-4376-88DD-AB3AC92F78D4}"/>
                </c:ext>
              </c:extLst>
            </c:dLbl>
            <c:dLbl>
              <c:idx val="80"/>
              <c:tx>
                <c:strRef>
                  <c:f>Frontend!$BS$90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{93C1A205-DB60-42BF-9E08-BFC8DBDE1BFB}</c15:txfldGUID>
                      <c15:f>Frontend!$BS$90</c15:f>
                      <c15:dlblFieldTableCache>
                        <c:ptCount val="1"/>
                      </c15:dlblFieldTableCache>
                    </c15:dlblFTEntry>
                  </c15:dlblFieldTable>
                  <c15:showDataLabelsRange val="0"/>
                </c:ext>
                <c:ext xmlns:c16="http://schemas.microsoft.com/office/drawing/2014/chart" uri="{C3380CC4-5D6E-409C-BE32-E72D297353CC}">
                  <c16:uniqueId val="{00000175-0A6B-4376-88DD-AB3AC92F78D4}"/>
                </c:ext>
              </c:extLst>
            </c:dLbl>
            <c:dLbl>
              <c:idx val="81"/>
              <c:tx>
                <c:strRef>
                  <c:f>Frontend!$BS$91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{72D37AB0-1C0A-4E1B-A313-859D03B28F40}</c15:txfldGUID>
                      <c15:f>Frontend!$BS$91</c15:f>
                      <c15:dlblFieldTableCache>
                        <c:ptCount val="1"/>
                      </c15:dlblFieldTableCache>
                    </c15:dlblFTEntry>
                  </c15:dlblFieldTable>
                  <c15:showDataLabelsRange val="0"/>
                </c:ext>
                <c:ext xmlns:c16="http://schemas.microsoft.com/office/drawing/2014/chart" uri="{C3380CC4-5D6E-409C-BE32-E72D297353CC}">
                  <c16:uniqueId val="{00000176-0A6B-4376-88DD-AB3AC92F78D4}"/>
                </c:ext>
              </c:extLst>
            </c:dLbl>
            <c:dLbl>
              <c:idx val="82"/>
              <c:tx>
                <c:strRef>
                  <c:f>Frontend!$BS$92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{CD581D4F-E226-4A5E-B760-335661D8FF95}</c15:txfldGUID>
                      <c15:f>Frontend!$BS$92</c15:f>
                      <c15:dlblFieldTableCache>
                        <c:ptCount val="1"/>
                      </c15:dlblFieldTableCache>
                    </c15:dlblFTEntry>
                  </c15:dlblFieldTable>
                  <c15:showDataLabelsRange val="0"/>
                </c:ext>
                <c:ext xmlns:c16="http://schemas.microsoft.com/office/drawing/2014/chart" uri="{C3380CC4-5D6E-409C-BE32-E72D297353CC}">
                  <c16:uniqueId val="{00000177-0A6B-4376-88DD-AB3AC92F78D4}"/>
                </c:ext>
              </c:extLst>
            </c:dLbl>
            <c:dLbl>
              <c:idx val="83"/>
              <c:tx>
                <c:strRef>
                  <c:f>Frontend!$BS$93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{EE9733F4-A6B0-44A4-91AB-3F142B487251}</c15:txfldGUID>
                      <c15:f>Frontend!$BS$93</c15:f>
                      <c15:dlblFieldTableCache>
                        <c:ptCount val="1"/>
                      </c15:dlblFieldTableCache>
                    </c15:dlblFTEntry>
                  </c15:dlblFieldTable>
                  <c15:showDataLabelsRange val="0"/>
                </c:ext>
                <c:ext xmlns:c16="http://schemas.microsoft.com/office/drawing/2014/chart" uri="{C3380CC4-5D6E-409C-BE32-E72D297353CC}">
                  <c16:uniqueId val="{00000178-0A6B-4376-88DD-AB3AC92F78D4}"/>
                </c:ext>
              </c:extLst>
            </c:dLbl>
            <c:dLbl>
              <c:idx val="84"/>
              <c:tx>
                <c:strRef>
                  <c:f>Frontend!$BS$94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{99008B33-0AAF-4C20-925C-A6655D05CE36}</c15:txfldGUID>
                      <c15:f>Frontend!$BS$94</c15:f>
                      <c15:dlblFieldTableCache>
                        <c:ptCount val="1"/>
                      </c15:dlblFieldTableCache>
                    </c15:dlblFTEntry>
                  </c15:dlblFieldTable>
                  <c15:showDataLabelsRange val="0"/>
                </c:ext>
                <c:ext xmlns:c16="http://schemas.microsoft.com/office/drawing/2014/chart" uri="{C3380CC4-5D6E-409C-BE32-E72D297353CC}">
                  <c16:uniqueId val="{00000179-0A6B-4376-88DD-AB3AC92F78D4}"/>
                </c:ext>
              </c:extLst>
            </c:dLbl>
            <c:dLbl>
              <c:idx val="85"/>
              <c:tx>
                <c:strRef>
                  <c:f>Frontend!$BS$95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{66501D94-859C-420F-A0E6-ACF927A820C4}</c15:txfldGUID>
                      <c15:f>Frontend!$BS$95</c15:f>
                      <c15:dlblFieldTableCache>
                        <c:ptCount val="1"/>
                      </c15:dlblFieldTableCache>
                    </c15:dlblFTEntry>
                  </c15:dlblFieldTable>
                  <c15:showDataLabelsRange val="0"/>
                </c:ext>
                <c:ext xmlns:c16="http://schemas.microsoft.com/office/drawing/2014/chart" uri="{C3380CC4-5D6E-409C-BE32-E72D297353CC}">
                  <c16:uniqueId val="{0000017A-0A6B-4376-88DD-AB3AC92F78D4}"/>
                </c:ext>
              </c:extLst>
            </c:dLbl>
            <c:dLbl>
              <c:idx val="86"/>
              <c:tx>
                <c:strRef>
                  <c:f>Frontend!$BS$96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{07E32F68-C2F8-466E-B2C1-BB5A84B7A13D}</c15:txfldGUID>
                      <c15:f>Frontend!$BS$96</c15:f>
                      <c15:dlblFieldTableCache>
                        <c:ptCount val="1"/>
                      </c15:dlblFieldTableCache>
                    </c15:dlblFTEntry>
                  </c15:dlblFieldTable>
                  <c15:showDataLabelsRange val="0"/>
                </c:ext>
                <c:ext xmlns:c16="http://schemas.microsoft.com/office/drawing/2014/chart" uri="{C3380CC4-5D6E-409C-BE32-E72D297353CC}">
                  <c16:uniqueId val="{0000017B-0A6B-4376-88DD-AB3AC92F78D4}"/>
                </c:ext>
              </c:extLst>
            </c:dLbl>
            <c:dLbl>
              <c:idx val="87"/>
              <c:tx>
                <c:strRef>
                  <c:f>Frontend!$BS$97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{824ECA09-A30F-4C49-A78C-BF552C0635D1}</c15:txfldGUID>
                      <c15:f>Frontend!$BS$97</c15:f>
                      <c15:dlblFieldTableCache>
                        <c:ptCount val="1"/>
                      </c15:dlblFieldTableCache>
                    </c15:dlblFTEntry>
                  </c15:dlblFieldTable>
                  <c15:showDataLabelsRange val="0"/>
                </c:ext>
                <c:ext xmlns:c16="http://schemas.microsoft.com/office/drawing/2014/chart" uri="{C3380CC4-5D6E-409C-BE32-E72D297353CC}">
                  <c16:uniqueId val="{0000017C-0A6B-4376-88DD-AB3AC92F78D4}"/>
                </c:ext>
              </c:extLst>
            </c:dLbl>
            <c:dLbl>
              <c:idx val="88"/>
              <c:tx>
                <c:strRef>
                  <c:f>Frontend!$BS$98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{8E6EE123-EDF6-4712-93FA-FFFB958545B4}</c15:txfldGUID>
                      <c15:f>Frontend!$BS$98</c15:f>
                      <c15:dlblFieldTableCache>
                        <c:ptCount val="1"/>
                      </c15:dlblFieldTableCache>
                    </c15:dlblFTEntry>
                  </c15:dlblFieldTable>
                  <c15:showDataLabelsRange val="0"/>
                </c:ext>
                <c:ext xmlns:c16="http://schemas.microsoft.com/office/drawing/2014/chart" uri="{C3380CC4-5D6E-409C-BE32-E72D297353CC}">
                  <c16:uniqueId val="{0000017D-0A6B-4376-88DD-AB3AC92F78D4}"/>
                </c:ext>
              </c:extLst>
            </c:dLbl>
            <c:dLbl>
              <c:idx val="89"/>
              <c:tx>
                <c:strRef>
                  <c:f>Frontend!$BS$99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{AFBB6EB1-50A8-4F12-B163-D24C332C0999}</c15:txfldGUID>
                      <c15:f>Frontend!$BS$99</c15:f>
                      <c15:dlblFieldTableCache>
                        <c:ptCount val="1"/>
                      </c15:dlblFieldTableCache>
                    </c15:dlblFTEntry>
                  </c15:dlblFieldTable>
                  <c15:showDataLabelsRange val="0"/>
                </c:ext>
                <c:ext xmlns:c16="http://schemas.microsoft.com/office/drawing/2014/chart" uri="{C3380CC4-5D6E-409C-BE32-E72D297353CC}">
                  <c16:uniqueId val="{0000017E-0A6B-4376-88DD-AB3AC92F78D4}"/>
                </c:ext>
              </c:extLst>
            </c:dLbl>
            <c:dLbl>
              <c:idx val="90"/>
              <c:tx>
                <c:strRef>
                  <c:f>Frontend!$BS$100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{492FD645-74BA-4351-AB99-1AD2FD4DDFCA}</c15:txfldGUID>
                      <c15:f>Frontend!$BS$100</c15:f>
                      <c15:dlblFieldTableCache>
                        <c:ptCount val="1"/>
                      </c15:dlblFieldTableCache>
                    </c15:dlblFTEntry>
                  </c15:dlblFieldTable>
                  <c15:showDataLabelsRange val="0"/>
                </c:ext>
                <c:ext xmlns:c16="http://schemas.microsoft.com/office/drawing/2014/chart" uri="{C3380CC4-5D6E-409C-BE32-E72D297353CC}">
                  <c16:uniqueId val="{0000017F-0A6B-4376-88DD-AB3AC92F78D4}"/>
                </c:ext>
              </c:extLst>
            </c:dLbl>
            <c:dLbl>
              <c:idx val="91"/>
              <c:tx>
                <c:strRef>
                  <c:f>Frontend!$BS$101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{BC33A83D-5AB2-4331-9FE0-5AE591BC913B}</c15:txfldGUID>
                      <c15:f>Frontend!$BS$101</c15:f>
                      <c15:dlblFieldTableCache>
                        <c:ptCount val="1"/>
                      </c15:dlblFieldTableCache>
                    </c15:dlblFTEntry>
                  </c15:dlblFieldTable>
                  <c15:showDataLabelsRange val="0"/>
                </c:ext>
                <c:ext xmlns:c16="http://schemas.microsoft.com/office/drawing/2014/chart" uri="{C3380CC4-5D6E-409C-BE32-E72D297353CC}">
                  <c16:uniqueId val="{00000180-0A6B-4376-88DD-AB3AC92F78D4}"/>
                </c:ext>
              </c:extLst>
            </c:dLbl>
            <c:dLbl>
              <c:idx val="92"/>
              <c:tx>
                <c:strRef>
                  <c:f>Frontend!$BS$102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{11138D48-B8E4-4903-BE77-E5ABD63E6C13}</c15:txfldGUID>
                      <c15:f>Frontend!$BS$102</c15:f>
                      <c15:dlblFieldTableCache>
                        <c:ptCount val="1"/>
                      </c15:dlblFieldTableCache>
                    </c15:dlblFTEntry>
                  </c15:dlblFieldTable>
                  <c15:showDataLabelsRange val="0"/>
                </c:ext>
                <c:ext xmlns:c16="http://schemas.microsoft.com/office/drawing/2014/chart" uri="{C3380CC4-5D6E-409C-BE32-E72D297353CC}">
                  <c16:uniqueId val="{00000181-0A6B-4376-88DD-AB3AC92F78D4}"/>
                </c:ext>
              </c:extLst>
            </c:dLbl>
            <c:dLbl>
              <c:idx val="93"/>
              <c:tx>
                <c:strRef>
                  <c:f>Frontend!$BS$103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{C5AFC4E9-BB8C-4B91-8491-8CBA6C54C6D5}</c15:txfldGUID>
                      <c15:f>Frontend!$BS$103</c15:f>
                      <c15:dlblFieldTableCache>
                        <c:ptCount val="1"/>
                      </c15:dlblFieldTableCache>
                    </c15:dlblFTEntry>
                  </c15:dlblFieldTable>
                  <c15:showDataLabelsRange val="0"/>
                </c:ext>
                <c:ext xmlns:c16="http://schemas.microsoft.com/office/drawing/2014/chart" uri="{C3380CC4-5D6E-409C-BE32-E72D297353CC}">
                  <c16:uniqueId val="{00000182-0A6B-4376-88DD-AB3AC92F78D4}"/>
                </c:ext>
              </c:extLst>
            </c:dLbl>
            <c:dLbl>
              <c:idx val="94"/>
              <c:tx>
                <c:strRef>
                  <c:f>Frontend!$BS$104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{B7B4D121-1C97-44C0-96F0-98A49557B27A}</c15:txfldGUID>
                      <c15:f>Frontend!$BS$104</c15:f>
                      <c15:dlblFieldTableCache>
                        <c:ptCount val="1"/>
                      </c15:dlblFieldTableCache>
                    </c15:dlblFTEntry>
                  </c15:dlblFieldTable>
                  <c15:showDataLabelsRange val="0"/>
                </c:ext>
                <c:ext xmlns:c16="http://schemas.microsoft.com/office/drawing/2014/chart" uri="{C3380CC4-5D6E-409C-BE32-E72D297353CC}">
                  <c16:uniqueId val="{00000183-0A6B-4376-88DD-AB3AC92F78D4}"/>
                </c:ext>
              </c:extLst>
            </c:dLbl>
            <c:dLbl>
              <c:idx val="95"/>
              <c:tx>
                <c:strRef>
                  <c:f>Frontend!$BS$105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{48B3DFD4-9E25-4DE1-955F-5D5D994E05DE}</c15:txfldGUID>
                      <c15:f>Frontend!$BS$105</c15:f>
                      <c15:dlblFieldTableCache>
                        <c:ptCount val="1"/>
                      </c15:dlblFieldTableCache>
                    </c15:dlblFTEntry>
                  </c15:dlblFieldTable>
                  <c15:showDataLabelsRange val="0"/>
                </c:ext>
                <c:ext xmlns:c16="http://schemas.microsoft.com/office/drawing/2014/chart" uri="{C3380CC4-5D6E-409C-BE32-E72D297353CC}">
                  <c16:uniqueId val="{00000184-0A6B-4376-88DD-AB3AC92F78D4}"/>
                </c:ext>
              </c:extLst>
            </c:dLbl>
            <c:dLbl>
              <c:idx val="96"/>
              <c:tx>
                <c:strRef>
                  <c:f>Frontend!$BS$106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{0D9956F1-3EAA-4409-BA61-A26AE53F4F87}</c15:txfldGUID>
                      <c15:f>Frontend!$BS$106</c15:f>
                      <c15:dlblFieldTableCache>
                        <c:ptCount val="1"/>
                      </c15:dlblFieldTableCache>
                    </c15:dlblFTEntry>
                  </c15:dlblFieldTable>
                  <c15:showDataLabelsRange val="0"/>
                </c:ext>
                <c:ext xmlns:c16="http://schemas.microsoft.com/office/drawing/2014/chart" uri="{C3380CC4-5D6E-409C-BE32-E72D297353CC}">
                  <c16:uniqueId val="{00000185-0A6B-4376-88DD-AB3AC92F78D4}"/>
                </c:ext>
              </c:extLst>
            </c:dLbl>
            <c:dLbl>
              <c:idx val="97"/>
              <c:tx>
                <c:strRef>
                  <c:f>Frontend!$BS$107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{2AA3E9FC-CDA2-4D9F-B29E-901B181BF254}</c15:txfldGUID>
                      <c15:f>Frontend!$BS$107</c15:f>
                      <c15:dlblFieldTableCache>
                        <c:ptCount val="1"/>
                      </c15:dlblFieldTableCache>
                    </c15:dlblFTEntry>
                  </c15:dlblFieldTable>
                  <c15:showDataLabelsRange val="0"/>
                </c:ext>
                <c:ext xmlns:c16="http://schemas.microsoft.com/office/drawing/2014/chart" uri="{C3380CC4-5D6E-409C-BE32-E72D297353CC}">
                  <c16:uniqueId val="{00000186-0A6B-4376-88DD-AB3AC92F78D4}"/>
                </c:ext>
              </c:extLst>
            </c:dLbl>
            <c:dLbl>
              <c:idx val="98"/>
              <c:tx>
                <c:strRef>
                  <c:f>Frontend!$BS$108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{D98473D6-C072-4C19-9D18-A0400B10969C}</c15:txfldGUID>
                      <c15:f>Frontend!$BS$108</c15:f>
                      <c15:dlblFieldTableCache>
                        <c:ptCount val="1"/>
                      </c15:dlblFieldTableCache>
                    </c15:dlblFTEntry>
                  </c15:dlblFieldTable>
                  <c15:showDataLabelsRange val="0"/>
                </c:ext>
                <c:ext xmlns:c16="http://schemas.microsoft.com/office/drawing/2014/chart" uri="{C3380CC4-5D6E-409C-BE32-E72D297353CC}">
                  <c16:uniqueId val="{00000187-0A6B-4376-88DD-AB3AC92F78D4}"/>
                </c:ext>
              </c:extLst>
            </c:dLbl>
            <c:dLbl>
              <c:idx val="99"/>
              <c:tx>
                <c:strRef>
                  <c:f>Frontend!$BS$109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{BA06A624-1770-44C9-98D1-1A1AA71AFD85}</c15:txfldGUID>
                      <c15:f>Frontend!$BS$109</c15:f>
                      <c15:dlblFieldTableCache>
                        <c:ptCount val="1"/>
                      </c15:dlblFieldTableCache>
                    </c15:dlblFTEntry>
                  </c15:dlblFieldTable>
                  <c15:showDataLabelsRange val="0"/>
                </c:ext>
                <c:ext xmlns:c16="http://schemas.microsoft.com/office/drawing/2014/chart" uri="{C3380CC4-5D6E-409C-BE32-E72D297353CC}">
                  <c16:uniqueId val="{00000188-0A6B-4376-88DD-AB3AC92F78D4}"/>
                </c:ext>
              </c:extLst>
            </c:dLbl>
            <c:dLbl>
              <c:idx val="100"/>
              <c:tx>
                <c:strRef>
                  <c:f>Frontend!$BS$110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{402DC9DC-500A-4A90-9F45-12AA9A09A935}</c15:txfldGUID>
                      <c15:f>Frontend!$BS$110</c15:f>
                      <c15:dlblFieldTableCache>
                        <c:ptCount val="1"/>
                      </c15:dlblFieldTableCache>
                    </c15:dlblFTEntry>
                  </c15:dlblFieldTable>
                  <c15:showDataLabelsRange val="0"/>
                </c:ext>
                <c:ext xmlns:c16="http://schemas.microsoft.com/office/drawing/2014/chart" uri="{C3380CC4-5D6E-409C-BE32-E72D297353CC}">
                  <c16:uniqueId val="{00000189-0A6B-4376-88DD-AB3AC92F78D4}"/>
                </c:ext>
              </c:extLst>
            </c:dLbl>
            <c:dLbl>
              <c:idx val="101"/>
              <c:tx>
                <c:strRef>
                  <c:f>Frontend!$BS$111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{89ECF4BB-5393-4149-B255-F9B4CA72F30D}</c15:txfldGUID>
                      <c15:f>Frontend!$BS$111</c15:f>
                      <c15:dlblFieldTableCache>
                        <c:ptCount val="1"/>
                      </c15:dlblFieldTableCache>
                    </c15:dlblFTEntry>
                  </c15:dlblFieldTable>
                  <c15:showDataLabelsRange val="0"/>
                </c:ext>
                <c:ext xmlns:c16="http://schemas.microsoft.com/office/drawing/2014/chart" uri="{C3380CC4-5D6E-409C-BE32-E72D297353CC}">
                  <c16:uniqueId val="{0000018A-0A6B-4376-88DD-AB3AC92F78D4}"/>
                </c:ext>
              </c:extLst>
            </c:dLbl>
            <c:dLbl>
              <c:idx val="102"/>
              <c:tx>
                <c:strRef>
                  <c:f>Frontend!$BS$112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{7CF6E7DC-ADBA-4ED1-9000-464CC4FBB181}</c15:txfldGUID>
                      <c15:f>Frontend!$BS$112</c15:f>
                      <c15:dlblFieldTableCache>
                        <c:ptCount val="1"/>
                      </c15:dlblFieldTableCache>
                    </c15:dlblFTEntry>
                  </c15:dlblFieldTable>
                  <c15:showDataLabelsRange val="0"/>
                </c:ext>
                <c:ext xmlns:c16="http://schemas.microsoft.com/office/drawing/2014/chart" uri="{C3380CC4-5D6E-409C-BE32-E72D297353CC}">
                  <c16:uniqueId val="{0000018B-0A6B-4376-88DD-AB3AC92F78D4}"/>
                </c:ext>
              </c:extLst>
            </c:dLbl>
            <c:dLbl>
              <c:idx val="103"/>
              <c:tx>
                <c:strRef>
                  <c:f>Frontend!$BS$113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{247C91D0-2751-4E9F-A978-AB30EECFAE6A}</c15:txfldGUID>
                      <c15:f>Frontend!$BS$113</c15:f>
                      <c15:dlblFieldTableCache>
                        <c:ptCount val="1"/>
                      </c15:dlblFieldTableCache>
                    </c15:dlblFTEntry>
                  </c15:dlblFieldTable>
                  <c15:showDataLabelsRange val="0"/>
                </c:ext>
                <c:ext xmlns:c16="http://schemas.microsoft.com/office/drawing/2014/chart" uri="{C3380CC4-5D6E-409C-BE32-E72D297353CC}">
                  <c16:uniqueId val="{0000018C-0A6B-4376-88DD-AB3AC92F78D4}"/>
                </c:ext>
              </c:extLst>
            </c:dLbl>
            <c:dLbl>
              <c:idx val="104"/>
              <c:tx>
                <c:strRef>
                  <c:f>Frontend!$BS$114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{FE354BE1-5C09-4F0C-945A-09C0E9DA0C5E}</c15:txfldGUID>
                      <c15:f>Frontend!$BS$114</c15:f>
                      <c15:dlblFieldTableCache>
                        <c:ptCount val="1"/>
                      </c15:dlblFieldTableCache>
                    </c15:dlblFTEntry>
                  </c15:dlblFieldTable>
                  <c15:showDataLabelsRange val="0"/>
                </c:ext>
                <c:ext xmlns:c16="http://schemas.microsoft.com/office/drawing/2014/chart" uri="{C3380CC4-5D6E-409C-BE32-E72D297353CC}">
                  <c16:uniqueId val="{0000018D-0A6B-4376-88DD-AB3AC92F78D4}"/>
                </c:ext>
              </c:extLst>
            </c:dLbl>
            <c:dLbl>
              <c:idx val="105"/>
              <c:tx>
                <c:strRef>
                  <c:f>Frontend!$BS$115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{48E29E4D-DB3D-4FE9-A858-5B5D95526BB9}</c15:txfldGUID>
                      <c15:f>Frontend!$BS$115</c15:f>
                      <c15:dlblFieldTableCache>
                        <c:ptCount val="1"/>
                      </c15:dlblFieldTableCache>
                    </c15:dlblFTEntry>
                  </c15:dlblFieldTable>
                  <c15:showDataLabelsRange val="0"/>
                </c:ext>
                <c:ext xmlns:c16="http://schemas.microsoft.com/office/drawing/2014/chart" uri="{C3380CC4-5D6E-409C-BE32-E72D297353CC}">
                  <c16:uniqueId val="{0000018E-0A6B-4376-88DD-AB3AC92F78D4}"/>
                </c:ext>
              </c:extLst>
            </c:dLbl>
            <c:dLbl>
              <c:idx val="106"/>
              <c:tx>
                <c:strRef>
                  <c:f>Frontend!$BS$116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{24AB4C25-FCC7-47CC-B8A8-DBBF08202F6A}</c15:txfldGUID>
                      <c15:f>Frontend!$BS$116</c15:f>
                      <c15:dlblFieldTableCache>
                        <c:ptCount val="1"/>
                      </c15:dlblFieldTableCache>
                    </c15:dlblFTEntry>
                  </c15:dlblFieldTable>
                  <c15:showDataLabelsRange val="0"/>
                </c:ext>
                <c:ext xmlns:c16="http://schemas.microsoft.com/office/drawing/2014/chart" uri="{C3380CC4-5D6E-409C-BE32-E72D297353CC}">
                  <c16:uniqueId val="{0000018F-0A6B-4376-88DD-AB3AC92F78D4}"/>
                </c:ext>
              </c:extLst>
            </c:dLbl>
            <c:dLbl>
              <c:idx val="107"/>
              <c:tx>
                <c:strRef>
                  <c:f>Frontend!$BS$117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{7BC6FE10-1299-451B-83BA-C18DD5A9A45C}</c15:txfldGUID>
                      <c15:f>Frontend!$BS$117</c15:f>
                      <c15:dlblFieldTableCache>
                        <c:ptCount val="1"/>
                      </c15:dlblFieldTableCache>
                    </c15:dlblFTEntry>
                  </c15:dlblFieldTable>
                  <c15:showDataLabelsRange val="0"/>
                </c:ext>
                <c:ext xmlns:c16="http://schemas.microsoft.com/office/drawing/2014/chart" uri="{C3380CC4-5D6E-409C-BE32-E72D297353CC}">
                  <c16:uniqueId val="{00000190-0A6B-4376-88DD-AB3AC92F78D4}"/>
                </c:ext>
              </c:extLst>
            </c:dLbl>
            <c:dLbl>
              <c:idx val="108"/>
              <c:tx>
                <c:strRef>
                  <c:f>Frontend!$BS$118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{F740167D-C2C7-497B-B570-8D98C2D5334E}</c15:txfldGUID>
                      <c15:f>Frontend!$BS$118</c15:f>
                      <c15:dlblFieldTableCache>
                        <c:ptCount val="1"/>
                      </c15:dlblFieldTableCache>
                    </c15:dlblFTEntry>
                  </c15:dlblFieldTable>
                  <c15:showDataLabelsRange val="0"/>
                </c:ext>
                <c:ext xmlns:c16="http://schemas.microsoft.com/office/drawing/2014/chart" uri="{C3380CC4-5D6E-409C-BE32-E72D297353CC}">
                  <c16:uniqueId val="{00000191-0A6B-4376-88DD-AB3AC92F78D4}"/>
                </c:ext>
              </c:extLst>
            </c:dLbl>
            <c:dLbl>
              <c:idx val="109"/>
              <c:tx>
                <c:strRef>
                  <c:f>Frontend!$BS$119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{94F200C1-48D5-4C09-961C-12EB0C83D889}</c15:txfldGUID>
                      <c15:f>Frontend!$BS$119</c15:f>
                      <c15:dlblFieldTableCache>
                        <c:ptCount val="1"/>
                      </c15:dlblFieldTableCache>
                    </c15:dlblFTEntry>
                  </c15:dlblFieldTable>
                  <c15:showDataLabelsRange val="0"/>
                </c:ext>
                <c:ext xmlns:c16="http://schemas.microsoft.com/office/drawing/2014/chart" uri="{C3380CC4-5D6E-409C-BE32-E72D297353CC}">
                  <c16:uniqueId val="{00000192-0A6B-4376-88DD-AB3AC92F78D4}"/>
                </c:ext>
              </c:extLst>
            </c:dLbl>
            <c:dLbl>
              <c:idx val="110"/>
              <c:tx>
                <c:strRef>
                  <c:f>Frontend!$BS$120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{D87B9D42-82D3-4924-8938-7398F2B6C99E}</c15:txfldGUID>
                      <c15:f>Frontend!$BS$120</c15:f>
                      <c15:dlblFieldTableCache>
                        <c:ptCount val="1"/>
                      </c15:dlblFieldTableCache>
                    </c15:dlblFTEntry>
                  </c15:dlblFieldTable>
                  <c15:showDataLabelsRange val="0"/>
                </c:ext>
                <c:ext xmlns:c16="http://schemas.microsoft.com/office/drawing/2014/chart" uri="{C3380CC4-5D6E-409C-BE32-E72D297353CC}">
                  <c16:uniqueId val="{00000193-0A6B-4376-88DD-AB3AC92F78D4}"/>
                </c:ext>
              </c:extLst>
            </c:dLbl>
            <c:dLbl>
              <c:idx val="111"/>
              <c:tx>
                <c:strRef>
                  <c:f>Frontend!$BS$121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{D2F93A5F-16C9-4042-8CF7-812865F8AEA2}</c15:txfldGUID>
                      <c15:f>Frontend!$BS$121</c15:f>
                      <c15:dlblFieldTableCache>
                        <c:ptCount val="1"/>
                      </c15:dlblFieldTableCache>
                    </c15:dlblFTEntry>
                  </c15:dlblFieldTable>
                  <c15:showDataLabelsRange val="0"/>
                </c:ext>
                <c:ext xmlns:c16="http://schemas.microsoft.com/office/drawing/2014/chart" uri="{C3380CC4-5D6E-409C-BE32-E72D297353CC}">
                  <c16:uniqueId val="{00000194-0A6B-4376-88DD-AB3AC92F78D4}"/>
                </c:ext>
              </c:extLst>
            </c:dLbl>
            <c:dLbl>
              <c:idx val="112"/>
              <c:tx>
                <c:strRef>
                  <c:f>Frontend!$BS$122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{5B54C4E2-0673-436C-BA53-54739F44E7BB}</c15:txfldGUID>
                      <c15:f>Frontend!$BS$122</c15:f>
                      <c15:dlblFieldTableCache>
                        <c:ptCount val="1"/>
                      </c15:dlblFieldTableCache>
                    </c15:dlblFTEntry>
                  </c15:dlblFieldTable>
                  <c15:showDataLabelsRange val="0"/>
                </c:ext>
                <c:ext xmlns:c16="http://schemas.microsoft.com/office/drawing/2014/chart" uri="{C3380CC4-5D6E-409C-BE32-E72D297353CC}">
                  <c16:uniqueId val="{00000195-0A6B-4376-88DD-AB3AC92F78D4}"/>
                </c:ext>
              </c:extLst>
            </c:dLbl>
            <c:dLbl>
              <c:idx val="113"/>
              <c:tx>
                <c:strRef>
                  <c:f>Frontend!$BS$123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{9E736ED6-885C-41F9-8F94-79E31CEE77F3}</c15:txfldGUID>
                      <c15:f>Frontend!$BS$123</c15:f>
                      <c15:dlblFieldTableCache>
                        <c:ptCount val="1"/>
                      </c15:dlblFieldTableCache>
                    </c15:dlblFTEntry>
                  </c15:dlblFieldTable>
                  <c15:showDataLabelsRange val="0"/>
                </c:ext>
                <c:ext xmlns:c16="http://schemas.microsoft.com/office/drawing/2014/chart" uri="{C3380CC4-5D6E-409C-BE32-E72D297353CC}">
                  <c16:uniqueId val="{00000196-0A6B-4376-88DD-AB3AC92F78D4}"/>
                </c:ext>
              </c:extLst>
            </c:dLbl>
            <c:dLbl>
              <c:idx val="114"/>
              <c:tx>
                <c:strRef>
                  <c:f>Frontend!$BS$124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{3A996BD7-DE6E-486D-9EEF-F86C474CD157}</c15:txfldGUID>
                      <c15:f>Frontend!$BS$124</c15:f>
                      <c15:dlblFieldTableCache>
                        <c:ptCount val="1"/>
                      </c15:dlblFieldTableCache>
                    </c15:dlblFTEntry>
                  </c15:dlblFieldTable>
                  <c15:showDataLabelsRange val="0"/>
                </c:ext>
                <c:ext xmlns:c16="http://schemas.microsoft.com/office/drawing/2014/chart" uri="{C3380CC4-5D6E-409C-BE32-E72D297353CC}">
                  <c16:uniqueId val="{00000197-0A6B-4376-88DD-AB3AC92F78D4}"/>
                </c:ext>
              </c:extLst>
            </c:dLbl>
            <c:dLbl>
              <c:idx val="115"/>
              <c:tx>
                <c:strRef>
                  <c:f>Frontend!$BS$125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{93157F5B-F268-4C66-943A-893CFB0F4C69}</c15:txfldGUID>
                      <c15:f>Frontend!$BS$125</c15:f>
                      <c15:dlblFieldTableCache>
                        <c:ptCount val="1"/>
                      </c15:dlblFieldTableCache>
                    </c15:dlblFTEntry>
                  </c15:dlblFieldTable>
                  <c15:showDataLabelsRange val="0"/>
                </c:ext>
                <c:ext xmlns:c16="http://schemas.microsoft.com/office/drawing/2014/chart" uri="{C3380CC4-5D6E-409C-BE32-E72D297353CC}">
                  <c16:uniqueId val="{00000198-0A6B-4376-88DD-AB3AC92F78D4}"/>
                </c:ext>
              </c:extLst>
            </c:dLbl>
            <c:dLbl>
              <c:idx val="116"/>
              <c:tx>
                <c:strRef>
                  <c:f>Frontend!$BS$126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{A9DB1631-EF96-40AE-83C4-42C938C938B3}</c15:txfldGUID>
                      <c15:f>Frontend!$BS$126</c15:f>
                      <c15:dlblFieldTableCache>
                        <c:ptCount val="1"/>
                      </c15:dlblFieldTableCache>
                    </c15:dlblFTEntry>
                  </c15:dlblFieldTable>
                  <c15:showDataLabelsRange val="0"/>
                </c:ext>
                <c:ext xmlns:c16="http://schemas.microsoft.com/office/drawing/2014/chart" uri="{C3380CC4-5D6E-409C-BE32-E72D297353CC}">
                  <c16:uniqueId val="{00000199-0A6B-4376-88DD-AB3AC92F78D4}"/>
                </c:ext>
              </c:extLst>
            </c:dLbl>
            <c:dLbl>
              <c:idx val="117"/>
              <c:tx>
                <c:strRef>
                  <c:f>Frontend!$BS$127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{CB1593F7-E859-4DEF-87CB-C57CC8459030}</c15:txfldGUID>
                      <c15:f>Frontend!$BS$127</c15:f>
                      <c15:dlblFieldTableCache>
                        <c:ptCount val="1"/>
                      </c15:dlblFieldTableCache>
                    </c15:dlblFTEntry>
                  </c15:dlblFieldTable>
                  <c15:showDataLabelsRange val="0"/>
                </c:ext>
                <c:ext xmlns:c16="http://schemas.microsoft.com/office/drawing/2014/chart" uri="{C3380CC4-5D6E-409C-BE32-E72D297353CC}">
                  <c16:uniqueId val="{0000019A-0A6B-4376-88DD-AB3AC92F78D4}"/>
                </c:ext>
              </c:extLst>
            </c:dLbl>
            <c:dLbl>
              <c:idx val="118"/>
              <c:tx>
                <c:strRef>
                  <c:f>Frontend!$BS$128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{988D6A29-32E7-40DB-BF65-4D3211E0BD41}</c15:txfldGUID>
                      <c15:f>Frontend!$BS$128</c15:f>
                      <c15:dlblFieldTableCache>
                        <c:ptCount val="1"/>
                      </c15:dlblFieldTableCache>
                    </c15:dlblFTEntry>
                  </c15:dlblFieldTable>
                  <c15:showDataLabelsRange val="0"/>
                </c:ext>
                <c:ext xmlns:c16="http://schemas.microsoft.com/office/drawing/2014/chart" uri="{C3380CC4-5D6E-409C-BE32-E72D297353CC}">
                  <c16:uniqueId val="{0000019B-0A6B-4376-88DD-AB3AC92F78D4}"/>
                </c:ext>
              </c:extLst>
            </c:dLbl>
            <c:dLbl>
              <c:idx val="119"/>
              <c:tx>
                <c:strRef>
                  <c:f>Frontend!$BS$129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{67B9F2E8-18CB-4328-81BD-A224B7B6E847}</c15:txfldGUID>
                      <c15:f>Frontend!$BS$129</c15:f>
                      <c15:dlblFieldTableCache>
                        <c:ptCount val="1"/>
                      </c15:dlblFieldTableCache>
                    </c15:dlblFTEntry>
                  </c15:dlblFieldTable>
                  <c15:showDataLabelsRange val="0"/>
                </c:ext>
                <c:ext xmlns:c16="http://schemas.microsoft.com/office/drawing/2014/chart" uri="{C3380CC4-5D6E-409C-BE32-E72D297353CC}">
                  <c16:uniqueId val="{0000019C-0A6B-4376-88DD-AB3AC92F78D4}"/>
                </c:ext>
              </c:extLst>
            </c:dLbl>
            <c:dLbl>
              <c:idx val="120"/>
              <c:tx>
                <c:strRef>
                  <c:f>Frontend!$BS$130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{553710D3-4339-4E39-8342-64E2CD6D0D30}</c15:txfldGUID>
                      <c15:f>Frontend!$BS$130</c15:f>
                      <c15:dlblFieldTableCache>
                        <c:ptCount val="1"/>
                      </c15:dlblFieldTableCache>
                    </c15:dlblFTEntry>
                  </c15:dlblFieldTable>
                  <c15:showDataLabelsRange val="0"/>
                </c:ext>
                <c:ext xmlns:c16="http://schemas.microsoft.com/office/drawing/2014/chart" uri="{C3380CC4-5D6E-409C-BE32-E72D297353CC}">
                  <c16:uniqueId val="{0000019D-0A6B-4376-88DD-AB3AC92F78D4}"/>
                </c:ext>
              </c:extLst>
            </c:dLbl>
            <c:dLbl>
              <c:idx val="121"/>
              <c:tx>
                <c:strRef>
                  <c:f>Frontend!$BS$131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{12ADC254-D66D-4AE9-987D-0A2B61BE7D11}</c15:txfldGUID>
                      <c15:f>Frontend!$BS$131</c15:f>
                      <c15:dlblFieldTableCache>
                        <c:ptCount val="1"/>
                      </c15:dlblFieldTableCache>
                    </c15:dlblFTEntry>
                  </c15:dlblFieldTable>
                  <c15:showDataLabelsRange val="0"/>
                </c:ext>
                <c:ext xmlns:c16="http://schemas.microsoft.com/office/drawing/2014/chart" uri="{C3380CC4-5D6E-409C-BE32-E72D297353CC}">
                  <c16:uniqueId val="{0000019E-0A6B-4376-88DD-AB3AC92F78D4}"/>
                </c:ext>
              </c:extLst>
            </c:dLbl>
            <c:dLbl>
              <c:idx val="122"/>
              <c:tx>
                <c:strRef>
                  <c:f>Frontend!$BS$132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{29A96D40-BB30-403F-A517-3CA643FAFA19}</c15:txfldGUID>
                      <c15:f>Frontend!$BS$132</c15:f>
                      <c15:dlblFieldTableCache>
                        <c:ptCount val="1"/>
                      </c15:dlblFieldTableCache>
                    </c15:dlblFTEntry>
                  </c15:dlblFieldTable>
                  <c15:showDataLabelsRange val="0"/>
                </c:ext>
                <c:ext xmlns:c16="http://schemas.microsoft.com/office/drawing/2014/chart" uri="{C3380CC4-5D6E-409C-BE32-E72D297353CC}">
                  <c16:uniqueId val="{0000019F-0A6B-4376-88DD-AB3AC92F78D4}"/>
                </c:ext>
              </c:extLst>
            </c:dLbl>
            <c:dLbl>
              <c:idx val="123"/>
              <c:tx>
                <c:strRef>
                  <c:f>Frontend!$BS$133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{D5C63F30-6CA9-43BF-9D4E-CE4E90786F6E}</c15:txfldGUID>
                      <c15:f>Frontend!$BS$133</c15:f>
                      <c15:dlblFieldTableCache>
                        <c:ptCount val="1"/>
                      </c15:dlblFieldTableCache>
                    </c15:dlblFTEntry>
                  </c15:dlblFieldTable>
                  <c15:showDataLabelsRange val="0"/>
                </c:ext>
                <c:ext xmlns:c16="http://schemas.microsoft.com/office/drawing/2014/chart" uri="{C3380CC4-5D6E-409C-BE32-E72D297353CC}">
                  <c16:uniqueId val="{000001A0-0A6B-4376-88DD-AB3AC92F78D4}"/>
                </c:ext>
              </c:extLst>
            </c:dLbl>
            <c:dLbl>
              <c:idx val="124"/>
              <c:tx>
                <c:strRef>
                  <c:f>Frontend!$BS$134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{AEAC19EB-F3C1-4EC6-AFF8-F34F9C47261F}</c15:txfldGUID>
                      <c15:f>Frontend!$BS$134</c15:f>
                      <c15:dlblFieldTableCache>
                        <c:ptCount val="1"/>
                      </c15:dlblFieldTableCache>
                    </c15:dlblFTEntry>
                  </c15:dlblFieldTable>
                  <c15:showDataLabelsRange val="0"/>
                </c:ext>
                <c:ext xmlns:c16="http://schemas.microsoft.com/office/drawing/2014/chart" uri="{C3380CC4-5D6E-409C-BE32-E72D297353CC}">
                  <c16:uniqueId val="{000001A1-0A6B-4376-88DD-AB3AC92F78D4}"/>
                </c:ext>
              </c:extLst>
            </c:dLbl>
            <c:dLbl>
              <c:idx val="125"/>
              <c:tx>
                <c:strRef>
                  <c:f>Frontend!$BS$135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{96F257A5-E457-42A7-A183-76125E33BDD2}</c15:txfldGUID>
                      <c15:f>Frontend!$BS$135</c15:f>
                      <c15:dlblFieldTableCache>
                        <c:ptCount val="1"/>
                      </c15:dlblFieldTableCache>
                    </c15:dlblFTEntry>
                  </c15:dlblFieldTable>
                  <c15:showDataLabelsRange val="0"/>
                </c:ext>
                <c:ext xmlns:c16="http://schemas.microsoft.com/office/drawing/2014/chart" uri="{C3380CC4-5D6E-409C-BE32-E72D297353CC}">
                  <c16:uniqueId val="{000001A2-0A6B-4376-88DD-AB3AC92F78D4}"/>
                </c:ext>
              </c:extLst>
            </c:dLbl>
            <c:dLbl>
              <c:idx val="126"/>
              <c:tx>
                <c:strRef>
                  <c:f>Frontend!$BS$136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{4B0D8819-E586-462E-A203-B9FD64BE1F70}</c15:txfldGUID>
                      <c15:f>Frontend!$BS$136</c15:f>
                      <c15:dlblFieldTableCache>
                        <c:ptCount val="1"/>
                      </c15:dlblFieldTableCache>
                    </c15:dlblFTEntry>
                  </c15:dlblFieldTable>
                  <c15:showDataLabelsRange val="0"/>
                </c:ext>
                <c:ext xmlns:c16="http://schemas.microsoft.com/office/drawing/2014/chart" uri="{C3380CC4-5D6E-409C-BE32-E72D297353CC}">
                  <c16:uniqueId val="{000001A3-0A6B-4376-88DD-AB3AC92F78D4}"/>
                </c:ext>
              </c:extLst>
            </c:dLbl>
            <c:dLbl>
              <c:idx val="127"/>
              <c:tx>
                <c:strRef>
                  <c:f>Frontend!$BS$137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{35274B8A-0BDF-4487-B1F5-498B304D3C07}</c15:txfldGUID>
                      <c15:f>Frontend!$BS$137</c15:f>
                      <c15:dlblFieldTableCache>
                        <c:ptCount val="1"/>
                      </c15:dlblFieldTableCache>
                    </c15:dlblFTEntry>
                  </c15:dlblFieldTable>
                  <c15:showDataLabelsRange val="0"/>
                </c:ext>
                <c:ext xmlns:c16="http://schemas.microsoft.com/office/drawing/2014/chart" uri="{C3380CC4-5D6E-409C-BE32-E72D297353CC}">
                  <c16:uniqueId val="{000001A4-0A6B-4376-88DD-AB3AC92F78D4}"/>
                </c:ext>
              </c:extLst>
            </c:dLbl>
            <c:dLbl>
              <c:idx val="128"/>
              <c:tx>
                <c:strRef>
                  <c:f>Frontend!$BS$138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{56073B80-3BEA-430A-ACC2-A4DD7BFFAEE4}</c15:txfldGUID>
                      <c15:f>Frontend!$BS$138</c15:f>
                      <c15:dlblFieldTableCache>
                        <c:ptCount val="1"/>
                      </c15:dlblFieldTableCache>
                    </c15:dlblFTEntry>
                  </c15:dlblFieldTable>
                  <c15:showDataLabelsRange val="0"/>
                </c:ext>
                <c:ext xmlns:c16="http://schemas.microsoft.com/office/drawing/2014/chart" uri="{C3380CC4-5D6E-409C-BE32-E72D297353CC}">
                  <c16:uniqueId val="{000001A5-0A6B-4376-88DD-AB3AC92F78D4}"/>
                </c:ext>
              </c:extLst>
            </c:dLbl>
            <c:dLbl>
              <c:idx val="129"/>
              <c:tx>
                <c:strRef>
                  <c:f>Frontend!$BS$139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{8B17E789-1688-495D-BEC2-13A36131D096}</c15:txfldGUID>
                      <c15:f>Frontend!$BS$139</c15:f>
                      <c15:dlblFieldTableCache>
                        <c:ptCount val="1"/>
                      </c15:dlblFieldTableCache>
                    </c15:dlblFTEntry>
                  </c15:dlblFieldTable>
                  <c15:showDataLabelsRange val="0"/>
                </c:ext>
                <c:ext xmlns:c16="http://schemas.microsoft.com/office/drawing/2014/chart" uri="{C3380CC4-5D6E-409C-BE32-E72D297353CC}">
                  <c16:uniqueId val="{000001A6-0A6B-4376-88DD-AB3AC92F78D4}"/>
                </c:ext>
              </c:extLst>
            </c:dLbl>
            <c:dLbl>
              <c:idx val="130"/>
              <c:tx>
                <c:strRef>
                  <c:f>Frontend!$BS$140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{06FC03CF-D2D1-4A07-923D-2AF31B88BD3B}</c15:txfldGUID>
                      <c15:f>Frontend!$BS$140</c15:f>
                      <c15:dlblFieldTableCache>
                        <c:ptCount val="1"/>
                      </c15:dlblFieldTableCache>
                    </c15:dlblFTEntry>
                  </c15:dlblFieldTable>
                  <c15:showDataLabelsRange val="0"/>
                </c:ext>
                <c:ext xmlns:c16="http://schemas.microsoft.com/office/drawing/2014/chart" uri="{C3380CC4-5D6E-409C-BE32-E72D297353CC}">
                  <c16:uniqueId val="{000001A7-0A6B-4376-88DD-AB3AC92F78D4}"/>
                </c:ext>
              </c:extLst>
            </c:dLbl>
            <c:dLbl>
              <c:idx val="131"/>
              <c:tx>
                <c:strRef>
                  <c:f>Frontend!$BS$141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{E04B3816-FFDF-4467-8FF4-5ADBF142AF6E}</c15:txfldGUID>
                      <c15:f>Frontend!$BS$141</c15:f>
                      <c15:dlblFieldTableCache>
                        <c:ptCount val="1"/>
                      </c15:dlblFieldTableCache>
                    </c15:dlblFTEntry>
                  </c15:dlblFieldTable>
                  <c15:showDataLabelsRange val="0"/>
                </c:ext>
                <c:ext xmlns:c16="http://schemas.microsoft.com/office/drawing/2014/chart" uri="{C3380CC4-5D6E-409C-BE32-E72D297353CC}">
                  <c16:uniqueId val="{000001A8-0A6B-4376-88DD-AB3AC92F78D4}"/>
                </c:ext>
              </c:extLst>
            </c:dLbl>
            <c:dLbl>
              <c:idx val="132"/>
              <c:tx>
                <c:strRef>
                  <c:f>Frontend!$BS$142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{53928857-A792-4898-BB5C-1115E313FD78}</c15:txfldGUID>
                      <c15:f>Frontend!$BS$142</c15:f>
                      <c15:dlblFieldTableCache>
                        <c:ptCount val="1"/>
                      </c15:dlblFieldTableCache>
                    </c15:dlblFTEntry>
                  </c15:dlblFieldTable>
                  <c15:showDataLabelsRange val="0"/>
                </c:ext>
                <c:ext xmlns:c16="http://schemas.microsoft.com/office/drawing/2014/chart" uri="{C3380CC4-5D6E-409C-BE32-E72D297353CC}">
                  <c16:uniqueId val="{000001A9-0A6B-4376-88DD-AB3AC92F78D4}"/>
                </c:ext>
              </c:extLst>
            </c:dLbl>
            <c:dLbl>
              <c:idx val="133"/>
              <c:tx>
                <c:strRef>
                  <c:f>Frontend!$BS$143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{6F69F1A9-8444-4CB7-B486-85F2F5A752E9}</c15:txfldGUID>
                      <c15:f>Frontend!$BS$143</c15:f>
                      <c15:dlblFieldTableCache>
                        <c:ptCount val="1"/>
                      </c15:dlblFieldTableCache>
                    </c15:dlblFTEntry>
                  </c15:dlblFieldTable>
                  <c15:showDataLabelsRange val="0"/>
                </c:ext>
                <c:ext xmlns:c16="http://schemas.microsoft.com/office/drawing/2014/chart" uri="{C3380CC4-5D6E-409C-BE32-E72D297353CC}">
                  <c16:uniqueId val="{000001AA-0A6B-4376-88DD-AB3AC92F78D4}"/>
                </c:ext>
              </c:extLst>
            </c:dLbl>
            <c:dLbl>
              <c:idx val="134"/>
              <c:tx>
                <c:strRef>
                  <c:f>Frontend!$BS$144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{26832361-C063-48BF-A5E6-F616118B3B24}</c15:txfldGUID>
                      <c15:f>Frontend!$BS$144</c15:f>
                      <c15:dlblFieldTableCache>
                        <c:ptCount val="1"/>
                      </c15:dlblFieldTableCache>
                    </c15:dlblFTEntry>
                  </c15:dlblFieldTable>
                  <c15:showDataLabelsRange val="0"/>
                </c:ext>
                <c:ext xmlns:c16="http://schemas.microsoft.com/office/drawing/2014/chart" uri="{C3380CC4-5D6E-409C-BE32-E72D297353CC}">
                  <c16:uniqueId val="{000001AB-0A6B-4376-88DD-AB3AC92F78D4}"/>
                </c:ext>
              </c:extLst>
            </c:dLbl>
            <c:dLbl>
              <c:idx val="135"/>
              <c:tx>
                <c:strRef>
                  <c:f>Frontend!$BS$145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{53E9EC20-0D9A-46D2-9AAC-BB3765FB10FC}</c15:txfldGUID>
                      <c15:f>Frontend!$BS$145</c15:f>
                      <c15:dlblFieldTableCache>
                        <c:ptCount val="1"/>
                      </c15:dlblFieldTableCache>
                    </c15:dlblFTEntry>
                  </c15:dlblFieldTable>
                  <c15:showDataLabelsRange val="0"/>
                </c:ext>
                <c:ext xmlns:c16="http://schemas.microsoft.com/office/drawing/2014/chart" uri="{C3380CC4-5D6E-409C-BE32-E72D297353CC}">
                  <c16:uniqueId val="{000001AC-0A6B-4376-88DD-AB3AC92F78D4}"/>
                </c:ext>
              </c:extLst>
            </c:dLbl>
            <c:dLbl>
              <c:idx val="136"/>
              <c:tx>
                <c:strRef>
                  <c:f>Frontend!$BS$146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{504722A4-22E9-4C18-9C2F-F60598CA90B5}</c15:txfldGUID>
                      <c15:f>Frontend!$BS$146</c15:f>
                      <c15:dlblFieldTableCache>
                        <c:ptCount val="1"/>
                      </c15:dlblFieldTableCache>
                    </c15:dlblFTEntry>
                  </c15:dlblFieldTable>
                  <c15:showDataLabelsRange val="0"/>
                </c:ext>
                <c:ext xmlns:c16="http://schemas.microsoft.com/office/drawing/2014/chart" uri="{C3380CC4-5D6E-409C-BE32-E72D297353CC}">
                  <c16:uniqueId val="{000001AD-0A6B-4376-88DD-AB3AC92F78D4}"/>
                </c:ext>
              </c:extLst>
            </c:dLbl>
            <c:dLbl>
              <c:idx val="137"/>
              <c:tx>
                <c:strRef>
                  <c:f>Frontend!$BS$147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{6AE12F17-1989-444A-B414-FCDCFA3CF628}</c15:txfldGUID>
                      <c15:f>Frontend!$BS$147</c15:f>
                      <c15:dlblFieldTableCache>
                        <c:ptCount val="1"/>
                      </c15:dlblFieldTableCache>
                    </c15:dlblFTEntry>
                  </c15:dlblFieldTable>
                  <c15:showDataLabelsRange val="0"/>
                </c:ext>
                <c:ext xmlns:c16="http://schemas.microsoft.com/office/drawing/2014/chart" uri="{C3380CC4-5D6E-409C-BE32-E72D297353CC}">
                  <c16:uniqueId val="{000001AE-0A6B-4376-88DD-AB3AC92F78D4}"/>
                </c:ext>
              </c:extLst>
            </c:dLbl>
            <c:dLbl>
              <c:idx val="138"/>
              <c:tx>
                <c:strRef>
                  <c:f>Frontend!$BS$148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{27EB1B05-F456-4191-BE78-9568F4D5B89F}</c15:txfldGUID>
                      <c15:f>Frontend!$BS$148</c15:f>
                      <c15:dlblFieldTableCache>
                        <c:ptCount val="1"/>
                      </c15:dlblFieldTableCache>
                    </c15:dlblFTEntry>
                  </c15:dlblFieldTable>
                  <c15:showDataLabelsRange val="0"/>
                </c:ext>
                <c:ext xmlns:c16="http://schemas.microsoft.com/office/drawing/2014/chart" uri="{C3380CC4-5D6E-409C-BE32-E72D297353CC}">
                  <c16:uniqueId val="{000001AF-0A6B-4376-88DD-AB3AC92F78D4}"/>
                </c:ext>
              </c:extLst>
            </c:dLbl>
            <c:dLbl>
              <c:idx val="139"/>
              <c:tx>
                <c:strRef>
                  <c:f>Frontend!$BS$149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{A362DE7D-0498-4B70-8AA2-3689DA972471}</c15:txfldGUID>
                      <c15:f>Frontend!$BS$149</c15:f>
                      <c15:dlblFieldTableCache>
                        <c:ptCount val="1"/>
                      </c15:dlblFieldTableCache>
                    </c15:dlblFTEntry>
                  </c15:dlblFieldTable>
                  <c15:showDataLabelsRange val="0"/>
                </c:ext>
                <c:ext xmlns:c16="http://schemas.microsoft.com/office/drawing/2014/chart" uri="{C3380CC4-5D6E-409C-BE32-E72D297353CC}">
                  <c16:uniqueId val="{000001B0-0A6B-4376-88DD-AB3AC92F78D4}"/>
                </c:ext>
              </c:extLst>
            </c:dLbl>
            <c:dLbl>
              <c:idx val="140"/>
              <c:tx>
                <c:strRef>
                  <c:f>Frontend!$BS$150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{4C265CC4-BBF6-469F-8C93-B8B168337EB7}</c15:txfldGUID>
                      <c15:f>Frontend!$BS$150</c15:f>
                      <c15:dlblFieldTableCache>
                        <c:ptCount val="1"/>
                      </c15:dlblFieldTableCache>
                    </c15:dlblFTEntry>
                  </c15:dlblFieldTable>
                  <c15:showDataLabelsRange val="0"/>
                </c:ext>
                <c:ext xmlns:c16="http://schemas.microsoft.com/office/drawing/2014/chart" uri="{C3380CC4-5D6E-409C-BE32-E72D297353CC}">
                  <c16:uniqueId val="{000001B1-0A6B-4376-88DD-AB3AC92F78D4}"/>
                </c:ext>
              </c:extLst>
            </c:dLbl>
            <c:dLbl>
              <c:idx val="141"/>
              <c:tx>
                <c:strRef>
                  <c:f>Frontend!$BS$151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{96BC2EB7-1DDF-45F5-B8AC-2C705BD878EB}</c15:txfldGUID>
                      <c15:f>Frontend!$BS$151</c15:f>
                      <c15:dlblFieldTableCache>
                        <c:ptCount val="1"/>
                      </c15:dlblFieldTableCache>
                    </c15:dlblFTEntry>
                  </c15:dlblFieldTable>
                  <c15:showDataLabelsRange val="0"/>
                </c:ext>
                <c:ext xmlns:c16="http://schemas.microsoft.com/office/drawing/2014/chart" uri="{C3380CC4-5D6E-409C-BE32-E72D297353CC}">
                  <c16:uniqueId val="{000001B2-0A6B-4376-88DD-AB3AC92F78D4}"/>
                </c:ext>
              </c:extLst>
            </c:dLbl>
            <c:dLbl>
              <c:idx val="142"/>
              <c:tx>
                <c:strRef>
                  <c:f>Frontend!$BS$152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{D3E634B4-E4A6-4F37-BDC9-8A72297C978F}</c15:txfldGUID>
                      <c15:f>Frontend!$BS$152</c15:f>
                      <c15:dlblFieldTableCache>
                        <c:ptCount val="1"/>
                      </c15:dlblFieldTableCache>
                    </c15:dlblFTEntry>
                  </c15:dlblFieldTable>
                  <c15:showDataLabelsRange val="0"/>
                </c:ext>
                <c:ext xmlns:c16="http://schemas.microsoft.com/office/drawing/2014/chart" uri="{C3380CC4-5D6E-409C-BE32-E72D297353CC}">
                  <c16:uniqueId val="{000001B3-0A6B-4376-88DD-AB3AC92F78D4}"/>
                </c:ext>
              </c:extLst>
            </c:dLbl>
            <c:dLbl>
              <c:idx val="143"/>
              <c:tx>
                <c:strRef>
                  <c:f>Frontend!$BS$153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{EF176E18-DC31-45E9-B6B5-0479E61CD719}</c15:txfldGUID>
                      <c15:f>Frontend!$BS$153</c15:f>
                      <c15:dlblFieldTableCache>
                        <c:ptCount val="1"/>
                      </c15:dlblFieldTableCache>
                    </c15:dlblFTEntry>
                  </c15:dlblFieldTable>
                  <c15:showDataLabelsRange val="0"/>
                </c:ext>
                <c:ext xmlns:c16="http://schemas.microsoft.com/office/drawing/2014/chart" uri="{C3380CC4-5D6E-409C-BE32-E72D297353CC}">
                  <c16:uniqueId val="{000001B4-0A6B-4376-88DD-AB3AC92F78D4}"/>
                </c:ext>
              </c:extLst>
            </c:dLbl>
            <c:dLbl>
              <c:idx val="144"/>
              <c:tx>
                <c:strRef>
                  <c:f>Frontend!$BS$154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{79624D1C-C3BB-47A9-9957-0430F6B7E513}</c15:txfldGUID>
                      <c15:f>Frontend!$BS$154</c15:f>
                      <c15:dlblFieldTableCache>
                        <c:ptCount val="1"/>
                      </c15:dlblFieldTableCache>
                    </c15:dlblFTEntry>
                  </c15:dlblFieldTable>
                  <c15:showDataLabelsRange val="0"/>
                </c:ext>
                <c:ext xmlns:c16="http://schemas.microsoft.com/office/drawing/2014/chart" uri="{C3380CC4-5D6E-409C-BE32-E72D297353CC}">
                  <c16:uniqueId val="{000001B5-0A6B-4376-88DD-AB3AC92F78D4}"/>
                </c:ext>
              </c:extLst>
            </c:dLbl>
            <c:dLbl>
              <c:idx val="145"/>
              <c:tx>
                <c:strRef>
                  <c:f>Frontend!$BS$155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{C5EE8069-CF04-4E5E-AA04-768FC7B9CFC8}</c15:txfldGUID>
                      <c15:f>Frontend!$BS$155</c15:f>
                      <c15:dlblFieldTableCache>
                        <c:ptCount val="1"/>
                      </c15:dlblFieldTableCache>
                    </c15:dlblFTEntry>
                  </c15:dlblFieldTable>
                  <c15:showDataLabelsRange val="0"/>
                </c:ext>
                <c:ext xmlns:c16="http://schemas.microsoft.com/office/drawing/2014/chart" uri="{C3380CC4-5D6E-409C-BE32-E72D297353CC}">
                  <c16:uniqueId val="{000001B6-0A6B-4376-88DD-AB3AC92F78D4}"/>
                </c:ext>
              </c:extLst>
            </c:dLbl>
            <c:dLbl>
              <c:idx val="146"/>
              <c:tx>
                <c:strRef>
                  <c:f>Frontend!$BS$156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{1E052CD8-7CCD-4931-ABB2-6F9503F57557}</c15:txfldGUID>
                      <c15:f>Frontend!$BS$156</c15:f>
                      <c15:dlblFieldTableCache>
                        <c:ptCount val="1"/>
                      </c15:dlblFieldTableCache>
                    </c15:dlblFTEntry>
                  </c15:dlblFieldTable>
                  <c15:showDataLabelsRange val="0"/>
                </c:ext>
                <c:ext xmlns:c16="http://schemas.microsoft.com/office/drawing/2014/chart" uri="{C3380CC4-5D6E-409C-BE32-E72D297353CC}">
                  <c16:uniqueId val="{000001B7-0A6B-4376-88DD-AB3AC92F78D4}"/>
                </c:ext>
              </c:extLst>
            </c:dLbl>
            <c:dLbl>
              <c:idx val="147"/>
              <c:tx>
                <c:strRef>
                  <c:f>Frontend!$BS$157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{55FA6C28-0757-4F1C-BF81-377FF3AEAA4D}</c15:txfldGUID>
                      <c15:f>Frontend!$BS$157</c15:f>
                      <c15:dlblFieldTableCache>
                        <c:ptCount val="1"/>
                      </c15:dlblFieldTableCache>
                    </c15:dlblFTEntry>
                  </c15:dlblFieldTable>
                  <c15:showDataLabelsRange val="0"/>
                </c:ext>
                <c:ext xmlns:c16="http://schemas.microsoft.com/office/drawing/2014/chart" uri="{C3380CC4-5D6E-409C-BE32-E72D297353CC}">
                  <c16:uniqueId val="{000001B8-0A6B-4376-88DD-AB3AC92F78D4}"/>
                </c:ext>
              </c:extLst>
            </c:dLbl>
            <c:dLbl>
              <c:idx val="148"/>
              <c:tx>
                <c:strRef>
                  <c:f>Frontend!$BS$158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{0AAEE816-0E31-4B76-B6D6-F06B252EBBBE}</c15:txfldGUID>
                      <c15:f>Frontend!$BS$158</c15:f>
                      <c15:dlblFieldTableCache>
                        <c:ptCount val="1"/>
                      </c15:dlblFieldTableCache>
                    </c15:dlblFTEntry>
                  </c15:dlblFieldTable>
                  <c15:showDataLabelsRange val="0"/>
                </c:ext>
                <c:ext xmlns:c16="http://schemas.microsoft.com/office/drawing/2014/chart" uri="{C3380CC4-5D6E-409C-BE32-E72D297353CC}">
                  <c16:uniqueId val="{000001B9-0A6B-4376-88DD-AB3AC92F78D4}"/>
                </c:ext>
              </c:extLst>
            </c:dLbl>
            <c:dLbl>
              <c:idx val="149"/>
              <c:tx>
                <c:strRef>
                  <c:f>Frontend!$BS$159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{086B1D8C-EE3C-47E5-8300-B62B081EA65B}</c15:txfldGUID>
                      <c15:f>Frontend!$BS$159</c15:f>
                      <c15:dlblFieldTableCache>
                        <c:ptCount val="1"/>
                      </c15:dlblFieldTableCache>
                    </c15:dlblFTEntry>
                  </c15:dlblFieldTable>
                  <c15:showDataLabelsRange val="0"/>
                </c:ext>
                <c:ext xmlns:c16="http://schemas.microsoft.com/office/drawing/2014/chart" uri="{C3380CC4-5D6E-409C-BE32-E72D297353CC}">
                  <c16:uniqueId val="{000001BA-0A6B-4376-88DD-AB3AC92F78D4}"/>
                </c:ext>
              </c:extLst>
            </c:dLbl>
            <c:dLbl>
              <c:idx val="150"/>
              <c:tx>
                <c:strRef>
                  <c:f>Frontend!$BS$160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{412EDDF7-7D76-4DA0-9941-D719BE521308}</c15:txfldGUID>
                      <c15:f>Frontend!$BS$160</c15:f>
                      <c15:dlblFieldTableCache>
                        <c:ptCount val="1"/>
                      </c15:dlblFieldTableCache>
                    </c15:dlblFTEntry>
                  </c15:dlblFieldTable>
                  <c15:showDataLabelsRange val="0"/>
                </c:ext>
                <c:ext xmlns:c16="http://schemas.microsoft.com/office/drawing/2014/chart" uri="{C3380CC4-5D6E-409C-BE32-E72D297353CC}">
                  <c16:uniqueId val="{000001BB-0A6B-4376-88DD-AB3AC92F78D4}"/>
                </c:ext>
              </c:extLst>
            </c:dLbl>
            <c:dLbl>
              <c:idx val="151"/>
              <c:tx>
                <c:strRef>
                  <c:f>Frontend!$BS$161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{2EA38A1B-571C-447E-930A-6024C2406A01}</c15:txfldGUID>
                      <c15:f>Frontend!$BS$161</c15:f>
                      <c15:dlblFieldTableCache>
                        <c:ptCount val="1"/>
                      </c15:dlblFieldTableCache>
                    </c15:dlblFTEntry>
                  </c15:dlblFieldTable>
                  <c15:showDataLabelsRange val="0"/>
                </c:ext>
                <c:ext xmlns:c16="http://schemas.microsoft.com/office/drawing/2014/chart" uri="{C3380CC4-5D6E-409C-BE32-E72D297353CC}">
                  <c16:uniqueId val="{000001BC-0A6B-4376-88DD-AB3AC92F78D4}"/>
                </c:ext>
              </c:extLst>
            </c:dLbl>
            <c:dLbl>
              <c:idx val="152"/>
              <c:tx>
                <c:strRef>
                  <c:f>Frontend!$BS$162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{B398B30F-FF65-4405-93B9-7A831FA123EC}</c15:txfldGUID>
                      <c15:f>Frontend!$BS$162</c15:f>
                      <c15:dlblFieldTableCache>
                        <c:ptCount val="1"/>
                      </c15:dlblFieldTableCache>
                    </c15:dlblFTEntry>
                  </c15:dlblFieldTable>
                  <c15:showDataLabelsRange val="0"/>
                </c:ext>
                <c:ext xmlns:c16="http://schemas.microsoft.com/office/drawing/2014/chart" uri="{C3380CC4-5D6E-409C-BE32-E72D297353CC}">
                  <c16:uniqueId val="{000001BD-0A6B-4376-88DD-AB3AC92F78D4}"/>
                </c:ext>
              </c:extLst>
            </c:dLbl>
            <c:dLbl>
              <c:idx val="153"/>
              <c:tx>
                <c:strRef>
                  <c:f>Frontend!$BS$163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{F21B1B66-A392-4C3E-A38D-86A2B8D812C2}</c15:txfldGUID>
                      <c15:f>Frontend!$BS$163</c15:f>
                      <c15:dlblFieldTableCache>
                        <c:ptCount val="1"/>
                      </c15:dlblFieldTableCache>
                    </c15:dlblFTEntry>
                  </c15:dlblFieldTable>
                  <c15:showDataLabelsRange val="0"/>
                </c:ext>
                <c:ext xmlns:c16="http://schemas.microsoft.com/office/drawing/2014/chart" uri="{C3380CC4-5D6E-409C-BE32-E72D297353CC}">
                  <c16:uniqueId val="{000001BE-0A6B-4376-88DD-AB3AC92F78D4}"/>
                </c:ext>
              </c:extLst>
            </c:dLbl>
            <c:dLbl>
              <c:idx val="154"/>
              <c:tx>
                <c:strRef>
                  <c:f>Frontend!$BS$164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{2A754B78-711E-408D-9D5C-5E4773E9B7B9}</c15:txfldGUID>
                      <c15:f>Frontend!$BS$164</c15:f>
                      <c15:dlblFieldTableCache>
                        <c:ptCount val="1"/>
                      </c15:dlblFieldTableCache>
                    </c15:dlblFTEntry>
                  </c15:dlblFieldTable>
                  <c15:showDataLabelsRange val="0"/>
                </c:ext>
                <c:ext xmlns:c16="http://schemas.microsoft.com/office/drawing/2014/chart" uri="{C3380CC4-5D6E-409C-BE32-E72D297353CC}">
                  <c16:uniqueId val="{000001BF-0A6B-4376-88DD-AB3AC92F78D4}"/>
                </c:ext>
              </c:extLst>
            </c:dLbl>
            <c:dLbl>
              <c:idx val="155"/>
              <c:tx>
                <c:strRef>
                  <c:f>Frontend!$BS$165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{F55AC6FF-71C3-4030-83D5-B736B624B280}</c15:txfldGUID>
                      <c15:f>Frontend!$BS$165</c15:f>
                      <c15:dlblFieldTableCache>
                        <c:ptCount val="1"/>
                      </c15:dlblFieldTableCache>
                    </c15:dlblFTEntry>
                  </c15:dlblFieldTable>
                  <c15:showDataLabelsRange val="0"/>
                </c:ext>
                <c:ext xmlns:c16="http://schemas.microsoft.com/office/drawing/2014/chart" uri="{C3380CC4-5D6E-409C-BE32-E72D297353CC}">
                  <c16:uniqueId val="{000001C0-0A6B-4376-88DD-AB3AC92F78D4}"/>
                </c:ext>
              </c:extLst>
            </c:dLbl>
            <c:dLbl>
              <c:idx val="156"/>
              <c:tx>
                <c:strRef>
                  <c:f>Frontend!$BS$166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{3C798E9B-57F3-4452-84C1-DE2862EBBC0B}</c15:txfldGUID>
                      <c15:f>Frontend!$BS$166</c15:f>
                      <c15:dlblFieldTableCache>
                        <c:ptCount val="1"/>
                      </c15:dlblFieldTableCache>
                    </c15:dlblFTEntry>
                  </c15:dlblFieldTable>
                  <c15:showDataLabelsRange val="0"/>
                </c:ext>
                <c:ext xmlns:c16="http://schemas.microsoft.com/office/drawing/2014/chart" uri="{C3380CC4-5D6E-409C-BE32-E72D297353CC}">
                  <c16:uniqueId val="{000001C1-0A6B-4376-88DD-AB3AC92F78D4}"/>
                </c:ext>
              </c:extLst>
            </c:dLbl>
            <c:dLbl>
              <c:idx val="157"/>
              <c:tx>
                <c:strRef>
                  <c:f>Frontend!$BS$167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{6D92628E-6A4E-44EC-A2D4-0294208CCFEE}</c15:txfldGUID>
                      <c15:f>Frontend!$BS$167</c15:f>
                      <c15:dlblFieldTableCache>
                        <c:ptCount val="1"/>
                      </c15:dlblFieldTableCache>
                    </c15:dlblFTEntry>
                  </c15:dlblFieldTable>
                  <c15:showDataLabelsRange val="0"/>
                </c:ext>
                <c:ext xmlns:c16="http://schemas.microsoft.com/office/drawing/2014/chart" uri="{C3380CC4-5D6E-409C-BE32-E72D297353CC}">
                  <c16:uniqueId val="{000001C2-0A6B-4376-88DD-AB3AC92F78D4}"/>
                </c:ext>
              </c:extLst>
            </c:dLbl>
            <c:dLbl>
              <c:idx val="158"/>
              <c:tx>
                <c:strRef>
                  <c:f>Frontend!$BS$168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{DD6E99EE-FA6B-4B7A-9FBE-DA0DB784E3F3}</c15:txfldGUID>
                      <c15:f>Frontend!$BS$168</c15:f>
                      <c15:dlblFieldTableCache>
                        <c:ptCount val="1"/>
                      </c15:dlblFieldTableCache>
                    </c15:dlblFTEntry>
                  </c15:dlblFieldTable>
                  <c15:showDataLabelsRange val="0"/>
                </c:ext>
                <c:ext xmlns:c16="http://schemas.microsoft.com/office/drawing/2014/chart" uri="{C3380CC4-5D6E-409C-BE32-E72D297353CC}">
                  <c16:uniqueId val="{000001C3-0A6B-4376-88DD-AB3AC92F78D4}"/>
                </c:ext>
              </c:extLst>
            </c:dLbl>
            <c:dLbl>
              <c:idx val="159"/>
              <c:tx>
                <c:strRef>
                  <c:f>Frontend!$BS$169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{81FD7C4E-26EA-4328-A5EA-31CB8C7497E5}</c15:txfldGUID>
                      <c15:f>Frontend!$BS$169</c15:f>
                      <c15:dlblFieldTableCache>
                        <c:ptCount val="1"/>
                      </c15:dlblFieldTableCache>
                    </c15:dlblFTEntry>
                  </c15:dlblFieldTable>
                  <c15:showDataLabelsRange val="0"/>
                </c:ext>
                <c:ext xmlns:c16="http://schemas.microsoft.com/office/drawing/2014/chart" uri="{C3380CC4-5D6E-409C-BE32-E72D297353CC}">
                  <c16:uniqueId val="{000001C4-0A6B-4376-88DD-AB3AC92F78D4}"/>
                </c:ext>
              </c:extLst>
            </c:dLbl>
            <c:dLbl>
              <c:idx val="160"/>
              <c:tx>
                <c:strRef>
                  <c:f>Frontend!$BS$170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{3CC58C9F-F393-4998-A23B-002D1967D803}</c15:txfldGUID>
                      <c15:f>Frontend!$BS$170</c15:f>
                      <c15:dlblFieldTableCache>
                        <c:ptCount val="1"/>
                      </c15:dlblFieldTableCache>
                    </c15:dlblFTEntry>
                  </c15:dlblFieldTable>
                  <c15:showDataLabelsRange val="0"/>
                </c:ext>
                <c:ext xmlns:c16="http://schemas.microsoft.com/office/drawing/2014/chart" uri="{C3380CC4-5D6E-409C-BE32-E72D297353CC}">
                  <c16:uniqueId val="{000001C5-0A6B-4376-88DD-AB3AC92F78D4}"/>
                </c:ext>
              </c:extLst>
            </c:dLbl>
            <c:dLbl>
              <c:idx val="161"/>
              <c:tx>
                <c:strRef>
                  <c:f>Frontend!$BS$171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{7153BAA8-092E-407C-86EA-4082225A7D9F}</c15:txfldGUID>
                      <c15:f>Frontend!$BS$171</c15:f>
                      <c15:dlblFieldTableCache>
                        <c:ptCount val="1"/>
                      </c15:dlblFieldTableCache>
                    </c15:dlblFTEntry>
                  </c15:dlblFieldTable>
                  <c15:showDataLabelsRange val="0"/>
                </c:ext>
                <c:ext xmlns:c16="http://schemas.microsoft.com/office/drawing/2014/chart" uri="{C3380CC4-5D6E-409C-BE32-E72D297353CC}">
                  <c16:uniqueId val="{000001C6-0A6B-4376-88DD-AB3AC92F78D4}"/>
                </c:ext>
              </c:extLst>
            </c:dLbl>
            <c:dLbl>
              <c:idx val="162"/>
              <c:tx>
                <c:strRef>
                  <c:f>Frontend!$BS$172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{D4975C6E-1E82-4133-B725-565DB23FF2FC}</c15:txfldGUID>
                      <c15:f>Frontend!$BS$172</c15:f>
                      <c15:dlblFieldTableCache>
                        <c:ptCount val="1"/>
                      </c15:dlblFieldTableCache>
                    </c15:dlblFTEntry>
                  </c15:dlblFieldTable>
                  <c15:showDataLabelsRange val="0"/>
                </c:ext>
                <c:ext xmlns:c16="http://schemas.microsoft.com/office/drawing/2014/chart" uri="{C3380CC4-5D6E-409C-BE32-E72D297353CC}">
                  <c16:uniqueId val="{000001C7-0A6B-4376-88DD-AB3AC92F78D4}"/>
                </c:ext>
              </c:extLst>
            </c:dLbl>
            <c:dLbl>
              <c:idx val="163"/>
              <c:tx>
                <c:strRef>
                  <c:f>Frontend!$BS$173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{8AECF9CB-0C86-442C-9AF1-78A5E19807FE}</c15:txfldGUID>
                      <c15:f>Frontend!$BS$173</c15:f>
                      <c15:dlblFieldTableCache>
                        <c:ptCount val="1"/>
                      </c15:dlblFieldTableCache>
                    </c15:dlblFTEntry>
                  </c15:dlblFieldTable>
                  <c15:showDataLabelsRange val="0"/>
                </c:ext>
                <c:ext xmlns:c16="http://schemas.microsoft.com/office/drawing/2014/chart" uri="{C3380CC4-5D6E-409C-BE32-E72D297353CC}">
                  <c16:uniqueId val="{000001C8-0A6B-4376-88DD-AB3AC92F78D4}"/>
                </c:ext>
              </c:extLst>
            </c:dLbl>
            <c:dLbl>
              <c:idx val="164"/>
              <c:tx>
                <c:strRef>
                  <c:f>Frontend!$BS$174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{0B504B80-6F70-4069-9228-057844B59C9E}</c15:txfldGUID>
                      <c15:f>Frontend!$BS$174</c15:f>
                      <c15:dlblFieldTableCache>
                        <c:ptCount val="1"/>
                      </c15:dlblFieldTableCache>
                    </c15:dlblFTEntry>
                  </c15:dlblFieldTable>
                  <c15:showDataLabelsRange val="0"/>
                </c:ext>
                <c:ext xmlns:c16="http://schemas.microsoft.com/office/drawing/2014/chart" uri="{C3380CC4-5D6E-409C-BE32-E72D297353CC}">
                  <c16:uniqueId val="{000001C9-0A6B-4376-88DD-AB3AC92F78D4}"/>
                </c:ext>
              </c:extLst>
            </c:dLbl>
            <c:dLbl>
              <c:idx val="165"/>
              <c:tx>
                <c:strRef>
                  <c:f>Frontend!$BS$175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{9F28B0B0-8670-4694-B07F-3824C961487A}</c15:txfldGUID>
                      <c15:f>Frontend!$BS$175</c15:f>
                      <c15:dlblFieldTableCache>
                        <c:ptCount val="1"/>
                      </c15:dlblFieldTableCache>
                    </c15:dlblFTEntry>
                  </c15:dlblFieldTable>
                  <c15:showDataLabelsRange val="0"/>
                </c:ext>
                <c:ext xmlns:c16="http://schemas.microsoft.com/office/drawing/2014/chart" uri="{C3380CC4-5D6E-409C-BE32-E72D297353CC}">
                  <c16:uniqueId val="{000001CA-0A6B-4376-88DD-AB3AC92F78D4}"/>
                </c:ext>
              </c:extLst>
            </c:dLbl>
            <c:dLbl>
              <c:idx val="166"/>
              <c:tx>
                <c:strRef>
                  <c:f>Frontend!$BS$176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{B1872389-CDE5-46A8-BD90-B1CD1BB9C99F}</c15:txfldGUID>
                      <c15:f>Frontend!$BS$176</c15:f>
                      <c15:dlblFieldTableCache>
                        <c:ptCount val="1"/>
                      </c15:dlblFieldTableCache>
                    </c15:dlblFTEntry>
                  </c15:dlblFieldTable>
                  <c15:showDataLabelsRange val="0"/>
                </c:ext>
                <c:ext xmlns:c16="http://schemas.microsoft.com/office/drawing/2014/chart" uri="{C3380CC4-5D6E-409C-BE32-E72D297353CC}">
                  <c16:uniqueId val="{000001CB-0A6B-4376-88DD-AB3AC92F78D4}"/>
                </c:ext>
              </c:extLst>
            </c:dLbl>
            <c:dLbl>
              <c:idx val="167"/>
              <c:tx>
                <c:strRef>
                  <c:f>Frontend!$BS$177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{13B23208-2243-428A-82C6-E033C4EBB65D}</c15:txfldGUID>
                      <c15:f>Frontend!$BS$177</c15:f>
                      <c15:dlblFieldTableCache>
                        <c:ptCount val="1"/>
                      </c15:dlblFieldTableCache>
                    </c15:dlblFTEntry>
                  </c15:dlblFieldTable>
                  <c15:showDataLabelsRange val="0"/>
                </c:ext>
                <c:ext xmlns:c16="http://schemas.microsoft.com/office/drawing/2014/chart" uri="{C3380CC4-5D6E-409C-BE32-E72D297353CC}">
                  <c16:uniqueId val="{000001CC-0A6B-4376-88DD-AB3AC92F78D4}"/>
                </c:ext>
              </c:extLst>
            </c:dLbl>
            <c:dLbl>
              <c:idx val="168"/>
              <c:tx>
                <c:strRef>
                  <c:f>Frontend!$BS$178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{230D9A7A-43E3-46CF-B22A-15676BD89506}</c15:txfldGUID>
                      <c15:f>Frontend!$BS$178</c15:f>
                      <c15:dlblFieldTableCache>
                        <c:ptCount val="1"/>
                      </c15:dlblFieldTableCache>
                    </c15:dlblFTEntry>
                  </c15:dlblFieldTable>
                  <c15:showDataLabelsRange val="0"/>
                </c:ext>
                <c:ext xmlns:c16="http://schemas.microsoft.com/office/drawing/2014/chart" uri="{C3380CC4-5D6E-409C-BE32-E72D297353CC}">
                  <c16:uniqueId val="{000001CD-0A6B-4376-88DD-AB3AC92F78D4}"/>
                </c:ext>
              </c:extLst>
            </c:dLbl>
            <c:dLbl>
              <c:idx val="169"/>
              <c:tx>
                <c:strRef>
                  <c:f>Frontend!$BS$179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{C7D984D5-15CE-4BED-84F3-5E86EB9754A3}</c15:txfldGUID>
                      <c15:f>Frontend!$BS$179</c15:f>
                      <c15:dlblFieldTableCache>
                        <c:ptCount val="1"/>
                      </c15:dlblFieldTableCache>
                    </c15:dlblFTEntry>
                  </c15:dlblFieldTable>
                  <c15:showDataLabelsRange val="0"/>
                </c:ext>
                <c:ext xmlns:c16="http://schemas.microsoft.com/office/drawing/2014/chart" uri="{C3380CC4-5D6E-409C-BE32-E72D297353CC}">
                  <c16:uniqueId val="{000001CE-0A6B-4376-88DD-AB3AC92F78D4}"/>
                </c:ext>
              </c:extLst>
            </c:dLbl>
            <c:dLbl>
              <c:idx val="170"/>
              <c:tx>
                <c:strRef>
                  <c:f>Frontend!$BS$180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{AE8C6659-A029-46BF-8DD5-915869A57612}</c15:txfldGUID>
                      <c15:f>Frontend!$BS$180</c15:f>
                      <c15:dlblFieldTableCache>
                        <c:ptCount val="1"/>
                      </c15:dlblFieldTableCache>
                    </c15:dlblFTEntry>
                  </c15:dlblFieldTable>
                  <c15:showDataLabelsRange val="0"/>
                </c:ext>
                <c:ext xmlns:c16="http://schemas.microsoft.com/office/drawing/2014/chart" uri="{C3380CC4-5D6E-409C-BE32-E72D297353CC}">
                  <c16:uniqueId val="{000001CF-0A6B-4376-88DD-AB3AC92F78D4}"/>
                </c:ext>
              </c:extLst>
            </c:dLbl>
            <c:dLbl>
              <c:idx val="171"/>
              <c:tx>
                <c:strRef>
                  <c:f>Frontend!$BS$181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{C98B5170-5F8C-44A7-9917-BCF13E3EE63D}</c15:txfldGUID>
                      <c15:f>Frontend!$BS$181</c15:f>
                      <c15:dlblFieldTableCache>
                        <c:ptCount val="1"/>
                      </c15:dlblFieldTableCache>
                    </c15:dlblFTEntry>
                  </c15:dlblFieldTable>
                  <c15:showDataLabelsRange val="0"/>
                </c:ext>
                <c:ext xmlns:c16="http://schemas.microsoft.com/office/drawing/2014/chart" uri="{C3380CC4-5D6E-409C-BE32-E72D297353CC}">
                  <c16:uniqueId val="{000001D0-0A6B-4376-88DD-AB3AC92F78D4}"/>
                </c:ext>
              </c:extLst>
            </c:dLbl>
            <c:dLbl>
              <c:idx val="172"/>
              <c:tx>
                <c:strRef>
                  <c:f>Frontend!$BS$182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{6694F41F-5DB5-46BC-9DE8-A155199AB0A2}</c15:txfldGUID>
                      <c15:f>Frontend!$BS$182</c15:f>
                      <c15:dlblFieldTableCache>
                        <c:ptCount val="1"/>
                      </c15:dlblFieldTableCache>
                    </c15:dlblFTEntry>
                  </c15:dlblFieldTable>
                  <c15:showDataLabelsRange val="0"/>
                </c:ext>
                <c:ext xmlns:c16="http://schemas.microsoft.com/office/drawing/2014/chart" uri="{C3380CC4-5D6E-409C-BE32-E72D297353CC}">
                  <c16:uniqueId val="{000001D1-0A6B-4376-88DD-AB3AC92F78D4}"/>
                </c:ext>
              </c:extLst>
            </c:dLbl>
            <c:dLbl>
              <c:idx val="173"/>
              <c:tx>
                <c:strRef>
                  <c:f>Frontend!$BS$183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{5A53D55B-54DF-4D45-B257-CE5E02A31B18}</c15:txfldGUID>
                      <c15:f>Frontend!$BS$183</c15:f>
                      <c15:dlblFieldTableCache>
                        <c:ptCount val="1"/>
                      </c15:dlblFieldTableCache>
                    </c15:dlblFTEntry>
                  </c15:dlblFieldTable>
                  <c15:showDataLabelsRange val="0"/>
                </c:ext>
                <c:ext xmlns:c16="http://schemas.microsoft.com/office/drawing/2014/chart" uri="{C3380CC4-5D6E-409C-BE32-E72D297353CC}">
                  <c16:uniqueId val="{000001D2-0A6B-4376-88DD-AB3AC92F78D4}"/>
                </c:ext>
              </c:extLst>
            </c:dLbl>
            <c:dLbl>
              <c:idx val="174"/>
              <c:tx>
                <c:strRef>
                  <c:f>Frontend!$BS$184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{84CA0A36-5B84-4D82-9FB9-B5D156DDA3A4}</c15:txfldGUID>
                      <c15:f>Frontend!$BS$184</c15:f>
                      <c15:dlblFieldTableCache>
                        <c:ptCount val="1"/>
                      </c15:dlblFieldTableCache>
                    </c15:dlblFTEntry>
                  </c15:dlblFieldTable>
                  <c15:showDataLabelsRange val="0"/>
                </c:ext>
                <c:ext xmlns:c16="http://schemas.microsoft.com/office/drawing/2014/chart" uri="{C3380CC4-5D6E-409C-BE32-E72D297353CC}">
                  <c16:uniqueId val="{000001D3-0A6B-4376-88DD-AB3AC92F78D4}"/>
                </c:ext>
              </c:extLst>
            </c:dLbl>
            <c:dLbl>
              <c:idx val="175"/>
              <c:tx>
                <c:strRef>
                  <c:f>Frontend!$BS$185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{E32A827A-A574-4277-BABE-1422DC1A20A9}</c15:txfldGUID>
                      <c15:f>Frontend!$BS$185</c15:f>
                      <c15:dlblFieldTableCache>
                        <c:ptCount val="1"/>
                      </c15:dlblFieldTableCache>
                    </c15:dlblFTEntry>
                  </c15:dlblFieldTable>
                  <c15:showDataLabelsRange val="0"/>
                </c:ext>
                <c:ext xmlns:c16="http://schemas.microsoft.com/office/drawing/2014/chart" uri="{C3380CC4-5D6E-409C-BE32-E72D297353CC}">
                  <c16:uniqueId val="{000001D4-0A6B-4376-88DD-AB3AC92F78D4}"/>
                </c:ext>
              </c:extLst>
            </c:dLbl>
            <c:dLbl>
              <c:idx val="176"/>
              <c:tx>
                <c:strRef>
                  <c:f>Frontend!$BS$186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{84985027-D021-45F9-B494-44593BB8A317}</c15:txfldGUID>
                      <c15:f>Frontend!$BS$186</c15:f>
                      <c15:dlblFieldTableCache>
                        <c:ptCount val="1"/>
                      </c15:dlblFieldTableCache>
                    </c15:dlblFTEntry>
                  </c15:dlblFieldTable>
                  <c15:showDataLabelsRange val="0"/>
                </c:ext>
                <c:ext xmlns:c16="http://schemas.microsoft.com/office/drawing/2014/chart" uri="{C3380CC4-5D6E-409C-BE32-E72D297353CC}">
                  <c16:uniqueId val="{000001D5-0A6B-4376-88DD-AB3AC92F78D4}"/>
                </c:ext>
              </c:extLst>
            </c:dLbl>
            <c:dLbl>
              <c:idx val="177"/>
              <c:tx>
                <c:strRef>
                  <c:f>Frontend!$BS$187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{619D42CC-E952-4504-B959-C6E66DFA14B3}</c15:txfldGUID>
                      <c15:f>Frontend!$BS$187</c15:f>
                      <c15:dlblFieldTableCache>
                        <c:ptCount val="1"/>
                      </c15:dlblFieldTableCache>
                    </c15:dlblFTEntry>
                  </c15:dlblFieldTable>
                  <c15:showDataLabelsRange val="0"/>
                </c:ext>
                <c:ext xmlns:c16="http://schemas.microsoft.com/office/drawing/2014/chart" uri="{C3380CC4-5D6E-409C-BE32-E72D297353CC}">
                  <c16:uniqueId val="{000001D6-0A6B-4376-88DD-AB3AC92F78D4}"/>
                </c:ext>
              </c:extLst>
            </c:dLbl>
            <c:dLbl>
              <c:idx val="178"/>
              <c:tx>
                <c:strRef>
                  <c:f>Frontend!$BS$188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{3E82BC20-2A56-4A97-B0FA-57478B8D96BC}</c15:txfldGUID>
                      <c15:f>Frontend!$BS$188</c15:f>
                      <c15:dlblFieldTableCache>
                        <c:ptCount val="1"/>
                      </c15:dlblFieldTableCache>
                    </c15:dlblFTEntry>
                  </c15:dlblFieldTable>
                  <c15:showDataLabelsRange val="0"/>
                </c:ext>
                <c:ext xmlns:c16="http://schemas.microsoft.com/office/drawing/2014/chart" uri="{C3380CC4-5D6E-409C-BE32-E72D297353CC}">
                  <c16:uniqueId val="{000001D7-0A6B-4376-88DD-AB3AC92F78D4}"/>
                </c:ext>
              </c:extLst>
            </c:dLbl>
            <c:dLbl>
              <c:idx val="179"/>
              <c:tx>
                <c:strRef>
                  <c:f>Frontend!$BS$189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{F658129E-4AEC-42BD-87FA-0E0E84B613E7}</c15:txfldGUID>
                      <c15:f>Frontend!$BS$189</c15:f>
                      <c15:dlblFieldTableCache>
                        <c:ptCount val="1"/>
                      </c15:dlblFieldTableCache>
                    </c15:dlblFTEntry>
                  </c15:dlblFieldTable>
                  <c15:showDataLabelsRange val="0"/>
                </c:ext>
                <c:ext xmlns:c16="http://schemas.microsoft.com/office/drawing/2014/chart" uri="{C3380CC4-5D6E-409C-BE32-E72D297353CC}">
                  <c16:uniqueId val="{000001D8-0A6B-4376-88DD-AB3AC92F78D4}"/>
                </c:ext>
              </c:extLst>
            </c:dLbl>
            <c:dLbl>
              <c:idx val="180"/>
              <c:tx>
                <c:strRef>
                  <c:f>Frontend!$BS$190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{BE6B2CE8-C716-43F6-BD92-34519F915A4E}</c15:txfldGUID>
                      <c15:f>Frontend!$BS$190</c15:f>
                      <c15:dlblFieldTableCache>
                        <c:ptCount val="1"/>
                      </c15:dlblFieldTableCache>
                    </c15:dlblFTEntry>
                  </c15:dlblFieldTable>
                  <c15:showDataLabelsRange val="0"/>
                </c:ext>
                <c:ext xmlns:c16="http://schemas.microsoft.com/office/drawing/2014/chart" uri="{C3380CC4-5D6E-409C-BE32-E72D297353CC}">
                  <c16:uniqueId val="{000001D9-0A6B-4376-88DD-AB3AC92F78D4}"/>
                </c:ext>
              </c:extLst>
            </c:dLbl>
            <c:dLbl>
              <c:idx val="181"/>
              <c:tx>
                <c:strRef>
                  <c:f>Frontend!$BS$191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{067303FD-05AC-4358-8790-9C68F4D071E0}</c15:txfldGUID>
                      <c15:f>Frontend!$BS$191</c15:f>
                      <c15:dlblFieldTableCache>
                        <c:ptCount val="1"/>
                      </c15:dlblFieldTableCache>
                    </c15:dlblFTEntry>
                  </c15:dlblFieldTable>
                  <c15:showDataLabelsRange val="0"/>
                </c:ext>
                <c:ext xmlns:c16="http://schemas.microsoft.com/office/drawing/2014/chart" uri="{C3380CC4-5D6E-409C-BE32-E72D297353CC}">
                  <c16:uniqueId val="{000001DA-0A6B-4376-88DD-AB3AC92F78D4}"/>
                </c:ext>
              </c:extLst>
            </c:dLbl>
            <c:dLbl>
              <c:idx val="182"/>
              <c:tx>
                <c:strRef>
                  <c:f>Frontend!$BS$192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{524CB984-88FF-4E6D-A46B-FFB0A68688AF}</c15:txfldGUID>
                      <c15:f>Frontend!$BS$192</c15:f>
                      <c15:dlblFieldTableCache>
                        <c:ptCount val="1"/>
                      </c15:dlblFieldTableCache>
                    </c15:dlblFTEntry>
                  </c15:dlblFieldTable>
                  <c15:showDataLabelsRange val="0"/>
                </c:ext>
                <c:ext xmlns:c16="http://schemas.microsoft.com/office/drawing/2014/chart" uri="{C3380CC4-5D6E-409C-BE32-E72D297353CC}">
                  <c16:uniqueId val="{000001DB-0A6B-4376-88DD-AB3AC92F78D4}"/>
                </c:ext>
              </c:extLst>
            </c:dLbl>
            <c:dLbl>
              <c:idx val="183"/>
              <c:tx>
                <c:strRef>
                  <c:f>Frontend!$BS$193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{7A51F2D3-9FC6-40FC-86BC-15610A19F9AE}</c15:txfldGUID>
                      <c15:f>Frontend!$BS$193</c15:f>
                      <c15:dlblFieldTableCache>
                        <c:ptCount val="1"/>
                      </c15:dlblFieldTableCache>
                    </c15:dlblFTEntry>
                  </c15:dlblFieldTable>
                  <c15:showDataLabelsRange val="0"/>
                </c:ext>
                <c:ext xmlns:c16="http://schemas.microsoft.com/office/drawing/2014/chart" uri="{C3380CC4-5D6E-409C-BE32-E72D297353CC}">
                  <c16:uniqueId val="{000001DC-0A6B-4376-88DD-AB3AC92F78D4}"/>
                </c:ext>
              </c:extLst>
            </c:dLbl>
            <c:dLbl>
              <c:idx val="184"/>
              <c:tx>
                <c:strRef>
                  <c:f>Frontend!$BS$194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{639693E3-B5D4-4A9E-B196-B411123DCAE6}</c15:txfldGUID>
                      <c15:f>Frontend!$BS$194</c15:f>
                      <c15:dlblFieldTableCache>
                        <c:ptCount val="1"/>
                      </c15:dlblFieldTableCache>
                    </c15:dlblFTEntry>
                  </c15:dlblFieldTable>
                  <c15:showDataLabelsRange val="0"/>
                </c:ext>
                <c:ext xmlns:c16="http://schemas.microsoft.com/office/drawing/2014/chart" uri="{C3380CC4-5D6E-409C-BE32-E72D297353CC}">
                  <c16:uniqueId val="{000001DD-0A6B-4376-88DD-AB3AC92F78D4}"/>
                </c:ext>
              </c:extLst>
            </c:dLbl>
            <c:dLbl>
              <c:idx val="185"/>
              <c:tx>
                <c:strRef>
                  <c:f>Frontend!$BS$195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{E750A4FB-03A6-4CFD-8B2C-F006C5C33F20}</c15:txfldGUID>
                      <c15:f>Frontend!$BS$195</c15:f>
                      <c15:dlblFieldTableCache>
                        <c:ptCount val="1"/>
                      </c15:dlblFieldTableCache>
                    </c15:dlblFTEntry>
                  </c15:dlblFieldTable>
                  <c15:showDataLabelsRange val="0"/>
                </c:ext>
                <c:ext xmlns:c16="http://schemas.microsoft.com/office/drawing/2014/chart" uri="{C3380CC4-5D6E-409C-BE32-E72D297353CC}">
                  <c16:uniqueId val="{000001DE-0A6B-4376-88DD-AB3AC92F78D4}"/>
                </c:ext>
              </c:extLst>
            </c:dLbl>
            <c:dLbl>
              <c:idx val="186"/>
              <c:tx>
                <c:strRef>
                  <c:f>Frontend!$BS$196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{5B35B39E-EF9C-4480-918B-8E31FB9563FC}</c15:txfldGUID>
                      <c15:f>Frontend!$BS$196</c15:f>
                      <c15:dlblFieldTableCache>
                        <c:ptCount val="1"/>
                      </c15:dlblFieldTableCache>
                    </c15:dlblFTEntry>
                  </c15:dlblFieldTable>
                  <c15:showDataLabelsRange val="0"/>
                </c:ext>
                <c:ext xmlns:c16="http://schemas.microsoft.com/office/drawing/2014/chart" uri="{C3380CC4-5D6E-409C-BE32-E72D297353CC}">
                  <c16:uniqueId val="{000001DF-0A6B-4376-88DD-AB3AC92F78D4}"/>
                </c:ext>
              </c:extLst>
            </c:dLbl>
            <c:dLbl>
              <c:idx val="187"/>
              <c:tx>
                <c:strRef>
                  <c:f>Frontend!$BS$197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{1F0BB85C-3346-4789-B952-0886E953017D}</c15:txfldGUID>
                      <c15:f>Frontend!$BS$197</c15:f>
                      <c15:dlblFieldTableCache>
                        <c:ptCount val="1"/>
                      </c15:dlblFieldTableCache>
                    </c15:dlblFTEntry>
                  </c15:dlblFieldTable>
                  <c15:showDataLabelsRange val="0"/>
                </c:ext>
                <c:ext xmlns:c16="http://schemas.microsoft.com/office/drawing/2014/chart" uri="{C3380CC4-5D6E-409C-BE32-E72D297353CC}">
                  <c16:uniqueId val="{000001E0-0A6B-4376-88DD-AB3AC92F78D4}"/>
                </c:ext>
              </c:extLst>
            </c:dLbl>
            <c:dLbl>
              <c:idx val="188"/>
              <c:tx>
                <c:strRef>
                  <c:f>Frontend!$BS$198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{8A10AA61-4F56-4112-94D1-EA2A7E2F8216}</c15:txfldGUID>
                      <c15:f>Frontend!$BS$198</c15:f>
                      <c15:dlblFieldTableCache>
                        <c:ptCount val="1"/>
                      </c15:dlblFieldTableCache>
                    </c15:dlblFTEntry>
                  </c15:dlblFieldTable>
                  <c15:showDataLabelsRange val="0"/>
                </c:ext>
                <c:ext xmlns:c16="http://schemas.microsoft.com/office/drawing/2014/chart" uri="{C3380CC4-5D6E-409C-BE32-E72D297353CC}">
                  <c16:uniqueId val="{000001E1-0A6B-4376-88DD-AB3AC92F78D4}"/>
                </c:ext>
              </c:extLst>
            </c:dLbl>
            <c:dLbl>
              <c:idx val="189"/>
              <c:tx>
                <c:strRef>
                  <c:f>Frontend!$BS$199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{7D7FA64B-8921-44A2-8952-16BC44AFD157}</c15:txfldGUID>
                      <c15:f>Frontend!$BS$199</c15:f>
                      <c15:dlblFieldTableCache>
                        <c:ptCount val="1"/>
                      </c15:dlblFieldTableCache>
                    </c15:dlblFTEntry>
                  </c15:dlblFieldTable>
                  <c15:showDataLabelsRange val="0"/>
                </c:ext>
                <c:ext xmlns:c16="http://schemas.microsoft.com/office/drawing/2014/chart" uri="{C3380CC4-5D6E-409C-BE32-E72D297353CC}">
                  <c16:uniqueId val="{000001E2-0A6B-4376-88DD-AB3AC92F78D4}"/>
                </c:ext>
              </c:extLst>
            </c:dLbl>
            <c:dLbl>
              <c:idx val="190"/>
              <c:tx>
                <c:strRef>
                  <c:f>Frontend!$BS$200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{0B61A1FB-D5D1-462B-AD37-306788D566E2}</c15:txfldGUID>
                      <c15:f>Frontend!$BS$200</c15:f>
                      <c15:dlblFieldTableCache>
                        <c:ptCount val="1"/>
                      </c15:dlblFieldTableCache>
                    </c15:dlblFTEntry>
                  </c15:dlblFieldTable>
                  <c15:showDataLabelsRange val="0"/>
                </c:ext>
                <c:ext xmlns:c16="http://schemas.microsoft.com/office/drawing/2014/chart" uri="{C3380CC4-5D6E-409C-BE32-E72D297353CC}">
                  <c16:uniqueId val="{000001E3-0A6B-4376-88DD-AB3AC92F78D4}"/>
                </c:ext>
              </c:extLst>
            </c:dLbl>
            <c:dLbl>
              <c:idx val="191"/>
              <c:tx>
                <c:strRef>
                  <c:f>Frontend!$BS$201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{68C03DE2-B924-4DDC-BCBD-EDCFDA073F1B}</c15:txfldGUID>
                      <c15:f>Frontend!$BS$201</c15:f>
                      <c15:dlblFieldTableCache>
                        <c:ptCount val="1"/>
                      </c15:dlblFieldTableCache>
                    </c15:dlblFTEntry>
                  </c15:dlblFieldTable>
                  <c15:showDataLabelsRange val="0"/>
                </c:ext>
                <c:ext xmlns:c16="http://schemas.microsoft.com/office/drawing/2014/chart" uri="{C3380CC4-5D6E-409C-BE32-E72D297353CC}">
                  <c16:uniqueId val="{000001E4-0A6B-4376-88DD-AB3AC92F78D4}"/>
                </c:ext>
              </c:extLst>
            </c:dLbl>
            <c:dLbl>
              <c:idx val="192"/>
              <c:tx>
                <c:strRef>
                  <c:f>Frontend!$BS$202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{88BC4FF4-6BA3-46B1-886C-AE50F1806588}</c15:txfldGUID>
                      <c15:f>Frontend!$BS$202</c15:f>
                      <c15:dlblFieldTableCache>
                        <c:ptCount val="1"/>
                      </c15:dlblFieldTableCache>
                    </c15:dlblFTEntry>
                  </c15:dlblFieldTable>
                  <c15:showDataLabelsRange val="0"/>
                </c:ext>
                <c:ext xmlns:c16="http://schemas.microsoft.com/office/drawing/2014/chart" uri="{C3380CC4-5D6E-409C-BE32-E72D297353CC}">
                  <c16:uniqueId val="{000001E5-0A6B-4376-88DD-AB3AC92F78D4}"/>
                </c:ext>
              </c:extLst>
            </c:dLbl>
            <c:dLbl>
              <c:idx val="193"/>
              <c:tx>
                <c:strRef>
                  <c:f>Frontend!$BS$203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{0C5B3F2E-C0ED-4C69-BC74-E25D1D611F86}</c15:txfldGUID>
                      <c15:f>Frontend!$BS$203</c15:f>
                      <c15:dlblFieldTableCache>
                        <c:ptCount val="1"/>
                      </c15:dlblFieldTableCache>
                    </c15:dlblFTEntry>
                  </c15:dlblFieldTable>
                  <c15:showDataLabelsRange val="0"/>
                </c:ext>
                <c:ext xmlns:c16="http://schemas.microsoft.com/office/drawing/2014/chart" uri="{C3380CC4-5D6E-409C-BE32-E72D297353CC}">
                  <c16:uniqueId val="{000001E6-0A6B-4376-88DD-AB3AC92F78D4}"/>
                </c:ext>
              </c:extLst>
            </c:dLbl>
            <c:dLbl>
              <c:idx val="194"/>
              <c:tx>
                <c:strRef>
                  <c:f>Frontend!$BS$204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{E34F9568-DFA0-424D-85F9-F3C4FF7063FD}</c15:txfldGUID>
                      <c15:f>Frontend!$BS$204</c15:f>
                      <c15:dlblFieldTableCache>
                        <c:ptCount val="1"/>
                      </c15:dlblFieldTableCache>
                    </c15:dlblFTEntry>
                  </c15:dlblFieldTable>
                  <c15:showDataLabelsRange val="0"/>
                </c:ext>
                <c:ext xmlns:c16="http://schemas.microsoft.com/office/drawing/2014/chart" uri="{C3380CC4-5D6E-409C-BE32-E72D297353CC}">
                  <c16:uniqueId val="{000001E7-0A6B-4376-88DD-AB3AC92F78D4}"/>
                </c:ext>
              </c:extLst>
            </c:dLbl>
            <c:dLbl>
              <c:idx val="195"/>
              <c:tx>
                <c:strRef>
                  <c:f>Frontend!$BS$205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{141A81BF-584F-4909-B7CA-46F23A80EFF3}</c15:txfldGUID>
                      <c15:f>Frontend!$BS$205</c15:f>
                      <c15:dlblFieldTableCache>
                        <c:ptCount val="1"/>
                      </c15:dlblFieldTableCache>
                    </c15:dlblFTEntry>
                  </c15:dlblFieldTable>
                  <c15:showDataLabelsRange val="0"/>
                </c:ext>
                <c:ext xmlns:c16="http://schemas.microsoft.com/office/drawing/2014/chart" uri="{C3380CC4-5D6E-409C-BE32-E72D297353CC}">
                  <c16:uniqueId val="{000001E8-0A6B-4376-88DD-AB3AC92F78D4}"/>
                </c:ext>
              </c:extLst>
            </c:dLbl>
            <c:dLbl>
              <c:idx val="196"/>
              <c:tx>
                <c:strRef>
                  <c:f>Frontend!$BS$206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{3E39FD2B-8A93-4E15-A611-62648DF31484}</c15:txfldGUID>
                      <c15:f>Frontend!$BS$206</c15:f>
                      <c15:dlblFieldTableCache>
                        <c:ptCount val="1"/>
                      </c15:dlblFieldTableCache>
                    </c15:dlblFTEntry>
                  </c15:dlblFieldTable>
                  <c15:showDataLabelsRange val="0"/>
                </c:ext>
                <c:ext xmlns:c16="http://schemas.microsoft.com/office/drawing/2014/chart" uri="{C3380CC4-5D6E-409C-BE32-E72D297353CC}">
                  <c16:uniqueId val="{000001E9-0A6B-4376-88DD-AB3AC92F78D4}"/>
                </c:ext>
              </c:extLst>
            </c:dLbl>
            <c:dLbl>
              <c:idx val="197"/>
              <c:tx>
                <c:strRef>
                  <c:f>Frontend!$BS$207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{5EB74768-E56D-4D6A-A58E-9463CDE3228A}</c15:txfldGUID>
                      <c15:f>Frontend!$BS$207</c15:f>
                      <c15:dlblFieldTableCache>
                        <c:ptCount val="1"/>
                      </c15:dlblFieldTableCache>
                    </c15:dlblFTEntry>
                  </c15:dlblFieldTable>
                  <c15:showDataLabelsRange val="0"/>
                </c:ext>
                <c:ext xmlns:c16="http://schemas.microsoft.com/office/drawing/2014/chart" uri="{C3380CC4-5D6E-409C-BE32-E72D297353CC}">
                  <c16:uniqueId val="{000001EA-0A6B-4376-88DD-AB3AC92F78D4}"/>
                </c:ext>
              </c:extLst>
            </c:dLbl>
            <c:dLbl>
              <c:idx val="198"/>
              <c:tx>
                <c:strRef>
                  <c:f>Frontend!$BS$208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{2AD415BE-E98B-45C3-B309-C22CE2412FF2}</c15:txfldGUID>
                      <c15:f>Frontend!$BS$208</c15:f>
                      <c15:dlblFieldTableCache>
                        <c:ptCount val="1"/>
                      </c15:dlblFieldTableCache>
                    </c15:dlblFTEntry>
                  </c15:dlblFieldTable>
                  <c15:showDataLabelsRange val="0"/>
                </c:ext>
                <c:ext xmlns:c16="http://schemas.microsoft.com/office/drawing/2014/chart" uri="{C3380CC4-5D6E-409C-BE32-E72D297353CC}">
                  <c16:uniqueId val="{000001EB-0A6B-4376-88DD-AB3AC92F78D4}"/>
                </c:ext>
              </c:extLst>
            </c:dLbl>
            <c:dLbl>
              <c:idx val="199"/>
              <c:tx>
                <c:strRef>
                  <c:f>Frontend!$BS$209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{D0E50A5A-031A-481F-BAD0-3FE0D6723096}</c15:txfldGUID>
                      <c15:f>Frontend!$BS$209</c15:f>
                      <c15:dlblFieldTableCache>
                        <c:ptCount val="1"/>
                      </c15:dlblFieldTableCache>
                    </c15:dlblFTEntry>
                  </c15:dlblFieldTable>
                  <c15:showDataLabelsRange val="0"/>
                </c:ext>
                <c:ext xmlns:c16="http://schemas.microsoft.com/office/drawing/2014/chart" uri="{C3380CC4-5D6E-409C-BE32-E72D297353CC}">
                  <c16:uniqueId val="{000001EC-0A6B-4376-88DD-AB3AC92F78D4}"/>
                </c:ext>
              </c:extLst>
            </c:dLbl>
            <c:dLbl>
              <c:idx val="200"/>
              <c:tx>
                <c:strRef>
                  <c:f>Frontend!$BS$210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{CF333B61-7424-44B3-8CA4-B451D1BE69F8}</c15:txfldGUID>
                      <c15:f>Frontend!$BS$210</c15:f>
                      <c15:dlblFieldTableCache>
                        <c:ptCount val="1"/>
                      </c15:dlblFieldTableCache>
                    </c15:dlblFTEntry>
                  </c15:dlblFieldTable>
                  <c15:showDataLabelsRange val="0"/>
                </c:ext>
                <c:ext xmlns:c16="http://schemas.microsoft.com/office/drawing/2014/chart" uri="{C3380CC4-5D6E-409C-BE32-E72D297353CC}">
                  <c16:uniqueId val="{000001ED-0A6B-4376-88DD-AB3AC92F78D4}"/>
                </c:ext>
              </c:extLst>
            </c:dLbl>
            <c:dLbl>
              <c:idx val="201"/>
              <c:tx>
                <c:strRef>
                  <c:f>Frontend!$BS$211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{821AB306-26A4-47B4-8C0F-17E711BCB1DE}</c15:txfldGUID>
                      <c15:f>Frontend!$BS$211</c15:f>
                      <c15:dlblFieldTableCache>
                        <c:ptCount val="1"/>
                      </c15:dlblFieldTableCache>
                    </c15:dlblFTEntry>
                  </c15:dlblFieldTable>
                  <c15:showDataLabelsRange val="0"/>
                </c:ext>
                <c:ext xmlns:c16="http://schemas.microsoft.com/office/drawing/2014/chart" uri="{C3380CC4-5D6E-409C-BE32-E72D297353CC}">
                  <c16:uniqueId val="{000001EE-0A6B-4376-88DD-AB3AC92F78D4}"/>
                </c:ext>
              </c:extLst>
            </c:dLbl>
            <c:dLbl>
              <c:idx val="202"/>
              <c:tx>
                <c:strRef>
                  <c:f>Frontend!$BS$212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{F6F25E23-4309-4429-82D7-7400E2B21220}</c15:txfldGUID>
                      <c15:f>Frontend!$BS$212</c15:f>
                      <c15:dlblFieldTableCache>
                        <c:ptCount val="1"/>
                      </c15:dlblFieldTableCache>
                    </c15:dlblFTEntry>
                  </c15:dlblFieldTable>
                  <c15:showDataLabelsRange val="0"/>
                </c:ext>
                <c:ext xmlns:c16="http://schemas.microsoft.com/office/drawing/2014/chart" uri="{C3380CC4-5D6E-409C-BE32-E72D297353CC}">
                  <c16:uniqueId val="{000001EF-0A6B-4376-88DD-AB3AC92F78D4}"/>
                </c:ext>
              </c:extLst>
            </c:dLbl>
            <c:dLbl>
              <c:idx val="203"/>
              <c:tx>
                <c:strRef>
                  <c:f>Frontend!$BS$213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{B44BCE02-E231-49C7-9315-2A8EB2B13E65}</c15:txfldGUID>
                      <c15:f>Frontend!$BS$213</c15:f>
                      <c15:dlblFieldTableCache>
                        <c:ptCount val="1"/>
                      </c15:dlblFieldTableCache>
                    </c15:dlblFTEntry>
                  </c15:dlblFieldTable>
                  <c15:showDataLabelsRange val="0"/>
                </c:ext>
                <c:ext xmlns:c16="http://schemas.microsoft.com/office/drawing/2014/chart" uri="{C3380CC4-5D6E-409C-BE32-E72D297353CC}">
                  <c16:uniqueId val="{000001F0-0A6B-4376-88DD-AB3AC92F78D4}"/>
                </c:ext>
              </c:extLst>
            </c:dLbl>
            <c:dLbl>
              <c:idx val="204"/>
              <c:tx>
                <c:strRef>
                  <c:f>Frontend!$BS$214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{42230F93-568D-4D9F-A492-1ECF7227D3B7}</c15:txfldGUID>
                      <c15:f>Frontend!$BS$214</c15:f>
                      <c15:dlblFieldTableCache>
                        <c:ptCount val="1"/>
                      </c15:dlblFieldTableCache>
                    </c15:dlblFTEntry>
                  </c15:dlblFieldTable>
                  <c15:showDataLabelsRange val="0"/>
                </c:ext>
                <c:ext xmlns:c16="http://schemas.microsoft.com/office/drawing/2014/chart" uri="{C3380CC4-5D6E-409C-BE32-E72D297353CC}">
                  <c16:uniqueId val="{000001F1-0A6B-4376-88DD-AB3AC92F78D4}"/>
                </c:ext>
              </c:extLst>
            </c:dLbl>
            <c:dLbl>
              <c:idx val="205"/>
              <c:tx>
                <c:strRef>
                  <c:f>Frontend!$BS$215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{AC6093B0-66D8-418B-93E7-E0B95115C9F4}</c15:txfldGUID>
                      <c15:f>Frontend!$BS$215</c15:f>
                      <c15:dlblFieldTableCache>
                        <c:ptCount val="1"/>
                      </c15:dlblFieldTableCache>
                    </c15:dlblFTEntry>
                  </c15:dlblFieldTable>
                  <c15:showDataLabelsRange val="0"/>
                </c:ext>
                <c:ext xmlns:c16="http://schemas.microsoft.com/office/drawing/2014/chart" uri="{C3380CC4-5D6E-409C-BE32-E72D297353CC}">
                  <c16:uniqueId val="{000001F2-0A6B-4376-88DD-AB3AC92F78D4}"/>
                </c:ext>
              </c:extLst>
            </c:dLbl>
            <c:dLbl>
              <c:idx val="206"/>
              <c:tx>
                <c:strRef>
                  <c:f>Frontend!$BS$216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{C7ECBD58-7A7C-45AF-9303-EE40ACC07AD4}</c15:txfldGUID>
                      <c15:f>Frontend!$BS$216</c15:f>
                      <c15:dlblFieldTableCache>
                        <c:ptCount val="1"/>
                      </c15:dlblFieldTableCache>
                    </c15:dlblFTEntry>
                  </c15:dlblFieldTable>
                  <c15:showDataLabelsRange val="0"/>
                </c:ext>
                <c:ext xmlns:c16="http://schemas.microsoft.com/office/drawing/2014/chart" uri="{C3380CC4-5D6E-409C-BE32-E72D297353CC}">
                  <c16:uniqueId val="{000001F3-0A6B-4376-88DD-AB3AC92F78D4}"/>
                </c:ext>
              </c:extLst>
            </c:dLbl>
            <c:dLbl>
              <c:idx val="207"/>
              <c:tx>
                <c:strRef>
                  <c:f>Frontend!$BS$217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{36DDAD17-4499-4FF2-BB44-1653EC1DB8FF}</c15:txfldGUID>
                      <c15:f>Frontend!$BS$217</c15:f>
                      <c15:dlblFieldTableCache>
                        <c:ptCount val="1"/>
                      </c15:dlblFieldTableCache>
                    </c15:dlblFTEntry>
                  </c15:dlblFieldTable>
                  <c15:showDataLabelsRange val="0"/>
                </c:ext>
                <c:ext xmlns:c16="http://schemas.microsoft.com/office/drawing/2014/chart" uri="{C3380CC4-5D6E-409C-BE32-E72D297353CC}">
                  <c16:uniqueId val="{000001F4-0A6B-4376-88DD-AB3AC92F78D4}"/>
                </c:ext>
              </c:extLst>
            </c:dLbl>
            <c:dLbl>
              <c:idx val="208"/>
              <c:tx>
                <c:strRef>
                  <c:f>Frontend!$BS$218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{39D2BF9C-C6C9-4C66-AA03-50A733D338EC}</c15:txfldGUID>
                      <c15:f>Frontend!$BS$218</c15:f>
                      <c15:dlblFieldTableCache>
                        <c:ptCount val="1"/>
                      </c15:dlblFieldTableCache>
                    </c15:dlblFTEntry>
                  </c15:dlblFieldTable>
                  <c15:showDataLabelsRange val="0"/>
                </c:ext>
                <c:ext xmlns:c16="http://schemas.microsoft.com/office/drawing/2014/chart" uri="{C3380CC4-5D6E-409C-BE32-E72D297353CC}">
                  <c16:uniqueId val="{000001F5-0A6B-4376-88DD-AB3AC92F78D4}"/>
                </c:ext>
              </c:extLst>
            </c:dLbl>
            <c:dLbl>
              <c:idx val="209"/>
              <c:tx>
                <c:strRef>
                  <c:f>Frontend!$BS$219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{B3A9DAA2-F8D5-4FB5-A7F3-B59A348A8686}</c15:txfldGUID>
                      <c15:f>Frontend!$BS$219</c15:f>
                      <c15:dlblFieldTableCache>
                        <c:ptCount val="1"/>
                      </c15:dlblFieldTableCache>
                    </c15:dlblFTEntry>
                  </c15:dlblFieldTable>
                  <c15:showDataLabelsRange val="0"/>
                </c:ext>
                <c:ext xmlns:c16="http://schemas.microsoft.com/office/drawing/2014/chart" uri="{C3380CC4-5D6E-409C-BE32-E72D297353CC}">
                  <c16:uniqueId val="{000001F6-0A6B-4376-88DD-AB3AC92F78D4}"/>
                </c:ext>
              </c:extLst>
            </c:dLbl>
            <c:dLbl>
              <c:idx val="210"/>
              <c:tx>
                <c:strRef>
                  <c:f>Frontend!$BS$220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{9F4AFAC8-F30A-4A50-8791-C4AFB5D0B062}</c15:txfldGUID>
                      <c15:f>Frontend!$BS$220</c15:f>
                      <c15:dlblFieldTableCache>
                        <c:ptCount val="1"/>
                      </c15:dlblFieldTableCache>
                    </c15:dlblFTEntry>
                  </c15:dlblFieldTable>
                  <c15:showDataLabelsRange val="0"/>
                </c:ext>
                <c:ext xmlns:c16="http://schemas.microsoft.com/office/drawing/2014/chart" uri="{C3380CC4-5D6E-409C-BE32-E72D297353CC}">
                  <c16:uniqueId val="{000001F7-0A6B-4376-88DD-AB3AC92F78D4}"/>
                </c:ext>
              </c:extLst>
            </c:dLbl>
            <c:dLbl>
              <c:idx val="211"/>
              <c:tx>
                <c:strRef>
                  <c:f>Frontend!$BS$221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{64B398E2-688C-492C-9639-34C5E6476186}</c15:txfldGUID>
                      <c15:f>Frontend!$BS$221</c15:f>
                      <c15:dlblFieldTableCache>
                        <c:ptCount val="1"/>
                      </c15:dlblFieldTableCache>
                    </c15:dlblFTEntry>
                  </c15:dlblFieldTable>
                  <c15:showDataLabelsRange val="0"/>
                </c:ext>
                <c:ext xmlns:c16="http://schemas.microsoft.com/office/drawing/2014/chart" uri="{C3380CC4-5D6E-409C-BE32-E72D297353CC}">
                  <c16:uniqueId val="{000001F8-0A6B-4376-88DD-AB3AC92F78D4}"/>
                </c:ext>
              </c:extLst>
            </c:dLbl>
            <c:dLbl>
              <c:idx val="212"/>
              <c:tx>
                <c:strRef>
                  <c:f>Frontend!$BS$222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{6DD2FCA8-4EE3-4A21-8B95-C6B20F3BF70F}</c15:txfldGUID>
                      <c15:f>Frontend!$BS$222</c15:f>
                      <c15:dlblFieldTableCache>
                        <c:ptCount val="1"/>
                      </c15:dlblFieldTableCache>
                    </c15:dlblFTEntry>
                  </c15:dlblFieldTable>
                  <c15:showDataLabelsRange val="0"/>
                </c:ext>
                <c:ext xmlns:c16="http://schemas.microsoft.com/office/drawing/2014/chart" uri="{C3380CC4-5D6E-409C-BE32-E72D297353CC}">
                  <c16:uniqueId val="{000001F9-0A6B-4376-88DD-AB3AC92F78D4}"/>
                </c:ext>
              </c:extLst>
            </c:dLbl>
            <c:dLbl>
              <c:idx val="213"/>
              <c:tx>
                <c:strRef>
                  <c:f>Frontend!$BS$223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{BEC519B3-3011-4F12-873B-9EC9D7F2FF8A}</c15:txfldGUID>
                      <c15:f>Frontend!$BS$223</c15:f>
                      <c15:dlblFieldTableCache>
                        <c:ptCount val="1"/>
                      </c15:dlblFieldTableCache>
                    </c15:dlblFTEntry>
                  </c15:dlblFieldTable>
                  <c15:showDataLabelsRange val="0"/>
                </c:ext>
                <c:ext xmlns:c16="http://schemas.microsoft.com/office/drawing/2014/chart" uri="{C3380CC4-5D6E-409C-BE32-E72D297353CC}">
                  <c16:uniqueId val="{000001FA-0A6B-4376-88DD-AB3AC92F78D4}"/>
                </c:ext>
              </c:extLst>
            </c:dLbl>
            <c:dLbl>
              <c:idx val="214"/>
              <c:tx>
                <c:strRef>
                  <c:f>Frontend!$BS$224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{FB452A9D-09FA-4DAB-BAE8-2E87AD795443}</c15:txfldGUID>
                      <c15:f>Frontend!$BS$224</c15:f>
                      <c15:dlblFieldTableCache>
                        <c:ptCount val="1"/>
                      </c15:dlblFieldTableCache>
                    </c15:dlblFTEntry>
                  </c15:dlblFieldTable>
                  <c15:showDataLabelsRange val="0"/>
                </c:ext>
                <c:ext xmlns:c16="http://schemas.microsoft.com/office/drawing/2014/chart" uri="{C3380CC4-5D6E-409C-BE32-E72D297353CC}">
                  <c16:uniqueId val="{000001FB-0A6B-4376-88DD-AB3AC92F78D4}"/>
                </c:ext>
              </c:extLst>
            </c:dLbl>
            <c:dLbl>
              <c:idx val="215"/>
              <c:tx>
                <c:strRef>
                  <c:f>Frontend!$BS$225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{36DDB87D-E4B7-4B49-950D-7B8F4179E389}</c15:txfldGUID>
                      <c15:f>Frontend!$BS$225</c15:f>
                      <c15:dlblFieldTableCache>
                        <c:ptCount val="1"/>
                      </c15:dlblFieldTableCache>
                    </c15:dlblFTEntry>
                  </c15:dlblFieldTable>
                  <c15:showDataLabelsRange val="0"/>
                </c:ext>
                <c:ext xmlns:c16="http://schemas.microsoft.com/office/drawing/2014/chart" uri="{C3380CC4-5D6E-409C-BE32-E72D297353CC}">
                  <c16:uniqueId val="{000001FC-0A6B-4376-88DD-AB3AC92F78D4}"/>
                </c:ext>
              </c:extLst>
            </c:dLbl>
            <c:dLbl>
              <c:idx val="216"/>
              <c:tx>
                <c:strRef>
                  <c:f>Frontend!$BS$226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{D2CE0649-3FE4-41F4-BFEF-E959A2C8B63A}</c15:txfldGUID>
                      <c15:f>Frontend!$BS$226</c15:f>
                      <c15:dlblFieldTableCache>
                        <c:ptCount val="1"/>
                      </c15:dlblFieldTableCache>
                    </c15:dlblFTEntry>
                  </c15:dlblFieldTable>
                  <c15:showDataLabelsRange val="0"/>
                </c:ext>
                <c:ext xmlns:c16="http://schemas.microsoft.com/office/drawing/2014/chart" uri="{C3380CC4-5D6E-409C-BE32-E72D297353CC}">
                  <c16:uniqueId val="{000001FD-0A6B-4376-88DD-AB3AC92F78D4}"/>
                </c:ext>
              </c:extLst>
            </c:dLbl>
            <c:dLbl>
              <c:idx val="217"/>
              <c:tx>
                <c:strRef>
                  <c:f>Frontend!$BS$227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{58539B2F-020E-4861-8C85-32A922CE77AF}</c15:txfldGUID>
                      <c15:f>Frontend!$BS$227</c15:f>
                      <c15:dlblFieldTableCache>
                        <c:ptCount val="1"/>
                      </c15:dlblFieldTableCache>
                    </c15:dlblFTEntry>
                  </c15:dlblFieldTable>
                  <c15:showDataLabelsRange val="0"/>
                </c:ext>
                <c:ext xmlns:c16="http://schemas.microsoft.com/office/drawing/2014/chart" uri="{C3380CC4-5D6E-409C-BE32-E72D297353CC}">
                  <c16:uniqueId val="{000001FE-0A6B-4376-88DD-AB3AC92F78D4}"/>
                </c:ext>
              </c:extLst>
            </c:dLbl>
            <c:dLbl>
              <c:idx val="218"/>
              <c:tx>
                <c:strRef>
                  <c:f>Frontend!$BS$228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{D196CB11-C547-4621-906E-EBCE1819DE52}</c15:txfldGUID>
                      <c15:f>Frontend!$BS$228</c15:f>
                      <c15:dlblFieldTableCache>
                        <c:ptCount val="1"/>
                      </c15:dlblFieldTableCache>
                    </c15:dlblFTEntry>
                  </c15:dlblFieldTable>
                  <c15:showDataLabelsRange val="0"/>
                </c:ext>
                <c:ext xmlns:c16="http://schemas.microsoft.com/office/drawing/2014/chart" uri="{C3380CC4-5D6E-409C-BE32-E72D297353CC}">
                  <c16:uniqueId val="{000001FF-0A6B-4376-88DD-AB3AC92F78D4}"/>
                </c:ext>
              </c:extLst>
            </c:dLbl>
            <c:dLbl>
              <c:idx val="219"/>
              <c:tx>
                <c:strRef>
                  <c:f>Frontend!$BS$229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{B025CA68-AAD6-4C8F-B77E-8C494EB7404C}</c15:txfldGUID>
                      <c15:f>Frontend!$BS$229</c15:f>
                      <c15:dlblFieldTableCache>
                        <c:ptCount val="1"/>
                      </c15:dlblFieldTableCache>
                    </c15:dlblFTEntry>
                  </c15:dlblFieldTable>
                  <c15:showDataLabelsRange val="0"/>
                </c:ext>
                <c:ext xmlns:c16="http://schemas.microsoft.com/office/drawing/2014/chart" uri="{C3380CC4-5D6E-409C-BE32-E72D297353CC}">
                  <c16:uniqueId val="{00000200-0A6B-4376-88DD-AB3AC92F78D4}"/>
                </c:ext>
              </c:extLst>
            </c:dLbl>
            <c:dLbl>
              <c:idx val="220"/>
              <c:tx>
                <c:strRef>
                  <c:f>Frontend!$BS$230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{40D12193-3D3D-40D0-BE4C-41E0EC4A8C08}</c15:txfldGUID>
                      <c15:f>Frontend!$BS$230</c15:f>
                      <c15:dlblFieldTableCache>
                        <c:ptCount val="1"/>
                      </c15:dlblFieldTableCache>
                    </c15:dlblFTEntry>
                  </c15:dlblFieldTable>
                  <c15:showDataLabelsRange val="0"/>
                </c:ext>
                <c:ext xmlns:c16="http://schemas.microsoft.com/office/drawing/2014/chart" uri="{C3380CC4-5D6E-409C-BE32-E72D297353CC}">
                  <c16:uniqueId val="{00000201-0A6B-4376-88DD-AB3AC92F78D4}"/>
                </c:ext>
              </c:extLst>
            </c:dLbl>
            <c:dLbl>
              <c:idx val="221"/>
              <c:tx>
                <c:strRef>
                  <c:f>Frontend!$BS$231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{145E5199-A071-46EB-A903-C8B14EEA16D2}</c15:txfldGUID>
                      <c15:f>Frontend!$BS$231</c15:f>
                      <c15:dlblFieldTableCache>
                        <c:ptCount val="1"/>
                      </c15:dlblFieldTableCache>
                    </c15:dlblFTEntry>
                  </c15:dlblFieldTable>
                  <c15:showDataLabelsRange val="0"/>
                </c:ext>
                <c:ext xmlns:c16="http://schemas.microsoft.com/office/drawing/2014/chart" uri="{C3380CC4-5D6E-409C-BE32-E72D297353CC}">
                  <c16:uniqueId val="{00000202-0A6B-4376-88DD-AB3AC92F78D4}"/>
                </c:ext>
              </c:extLst>
            </c:dLbl>
            <c:dLbl>
              <c:idx val="222"/>
              <c:tx>
                <c:strRef>
                  <c:f>Frontend!$BS$232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{06120417-D4C9-40CB-A11B-286172CDBDB7}</c15:txfldGUID>
                      <c15:f>Frontend!$BS$232</c15:f>
                      <c15:dlblFieldTableCache>
                        <c:ptCount val="1"/>
                      </c15:dlblFieldTableCache>
                    </c15:dlblFTEntry>
                  </c15:dlblFieldTable>
                  <c15:showDataLabelsRange val="0"/>
                </c:ext>
                <c:ext xmlns:c16="http://schemas.microsoft.com/office/drawing/2014/chart" uri="{C3380CC4-5D6E-409C-BE32-E72D297353CC}">
                  <c16:uniqueId val="{00000203-0A6B-4376-88DD-AB3AC92F78D4}"/>
                </c:ext>
              </c:extLst>
            </c:dLbl>
            <c:dLbl>
              <c:idx val="223"/>
              <c:tx>
                <c:strRef>
                  <c:f>Frontend!$BS$233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{C06867D7-0330-4357-BA7B-E9B4780A2C95}</c15:txfldGUID>
                      <c15:f>Frontend!$BS$233</c15:f>
                      <c15:dlblFieldTableCache>
                        <c:ptCount val="1"/>
                      </c15:dlblFieldTableCache>
                    </c15:dlblFTEntry>
                  </c15:dlblFieldTable>
                  <c15:showDataLabelsRange val="0"/>
                </c:ext>
                <c:ext xmlns:c16="http://schemas.microsoft.com/office/drawing/2014/chart" uri="{C3380CC4-5D6E-409C-BE32-E72D297353CC}">
                  <c16:uniqueId val="{00000204-0A6B-4376-88DD-AB3AC92F78D4}"/>
                </c:ext>
              </c:extLst>
            </c:dLbl>
            <c:dLbl>
              <c:idx val="224"/>
              <c:tx>
                <c:strRef>
                  <c:f>Frontend!$BS$234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{B57EDE4D-6428-42F7-BA14-3C7FB4E2677B}</c15:txfldGUID>
                      <c15:f>Frontend!$BS$234</c15:f>
                      <c15:dlblFieldTableCache>
                        <c:ptCount val="1"/>
                      </c15:dlblFieldTableCache>
                    </c15:dlblFTEntry>
                  </c15:dlblFieldTable>
                  <c15:showDataLabelsRange val="0"/>
                </c:ext>
                <c:ext xmlns:c16="http://schemas.microsoft.com/office/drawing/2014/chart" uri="{C3380CC4-5D6E-409C-BE32-E72D297353CC}">
                  <c16:uniqueId val="{00000205-0A6B-4376-88DD-AB3AC92F78D4}"/>
                </c:ext>
              </c:extLst>
            </c:dLbl>
            <c:dLbl>
              <c:idx val="225"/>
              <c:tx>
                <c:strRef>
                  <c:f>Frontend!$BS$235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{EB23B854-BF2B-4B18-829C-7D441277D882}</c15:txfldGUID>
                      <c15:f>Frontend!$BS$235</c15:f>
                      <c15:dlblFieldTableCache>
                        <c:ptCount val="1"/>
                      </c15:dlblFieldTableCache>
                    </c15:dlblFTEntry>
                  </c15:dlblFieldTable>
                  <c15:showDataLabelsRange val="0"/>
                </c:ext>
                <c:ext xmlns:c16="http://schemas.microsoft.com/office/drawing/2014/chart" uri="{C3380CC4-5D6E-409C-BE32-E72D297353CC}">
                  <c16:uniqueId val="{00000206-0A6B-4376-88DD-AB3AC92F78D4}"/>
                </c:ext>
              </c:extLst>
            </c:dLbl>
            <c:dLbl>
              <c:idx val="226"/>
              <c:tx>
                <c:strRef>
                  <c:f>Frontend!$BS$236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{A976D894-FE09-41F7-9BCE-334ECD9877CA}</c15:txfldGUID>
                      <c15:f>Frontend!$BS$236</c15:f>
                      <c15:dlblFieldTableCache>
                        <c:ptCount val="1"/>
                      </c15:dlblFieldTableCache>
                    </c15:dlblFTEntry>
                  </c15:dlblFieldTable>
                  <c15:showDataLabelsRange val="0"/>
                </c:ext>
                <c:ext xmlns:c16="http://schemas.microsoft.com/office/drawing/2014/chart" uri="{C3380CC4-5D6E-409C-BE32-E72D297353CC}">
                  <c16:uniqueId val="{00000207-0A6B-4376-88DD-AB3AC92F78D4}"/>
                </c:ext>
              </c:extLst>
            </c:dLbl>
            <c:dLbl>
              <c:idx val="227"/>
              <c:tx>
                <c:strRef>
                  <c:f>Frontend!$BS$237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{3B1D37B3-76B7-4722-9E43-720A3AC04A97}</c15:txfldGUID>
                      <c15:f>Frontend!$BS$237</c15:f>
                      <c15:dlblFieldTableCache>
                        <c:ptCount val="1"/>
                      </c15:dlblFieldTableCache>
                    </c15:dlblFTEntry>
                  </c15:dlblFieldTable>
                  <c15:showDataLabelsRange val="0"/>
                </c:ext>
                <c:ext xmlns:c16="http://schemas.microsoft.com/office/drawing/2014/chart" uri="{C3380CC4-5D6E-409C-BE32-E72D297353CC}">
                  <c16:uniqueId val="{00000208-0A6B-4376-88DD-AB3AC92F78D4}"/>
                </c:ext>
              </c:extLst>
            </c:dLbl>
            <c:dLbl>
              <c:idx val="228"/>
              <c:tx>
                <c:strRef>
                  <c:f>Frontend!$BS$238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{E10100CF-827F-4521-B6C5-EBA72FB004C0}</c15:txfldGUID>
                      <c15:f>Frontend!$BS$238</c15:f>
                      <c15:dlblFieldTableCache>
                        <c:ptCount val="1"/>
                      </c15:dlblFieldTableCache>
                    </c15:dlblFTEntry>
                  </c15:dlblFieldTable>
                  <c15:showDataLabelsRange val="0"/>
                </c:ext>
                <c:ext xmlns:c16="http://schemas.microsoft.com/office/drawing/2014/chart" uri="{C3380CC4-5D6E-409C-BE32-E72D297353CC}">
                  <c16:uniqueId val="{00000209-0A6B-4376-88DD-AB3AC92F78D4}"/>
                </c:ext>
              </c:extLst>
            </c:dLbl>
            <c:dLbl>
              <c:idx val="229"/>
              <c:tx>
                <c:strRef>
                  <c:f>Frontend!$BS$239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{DD13203C-A155-4ADF-A96F-1E48EE79CAED}</c15:txfldGUID>
                      <c15:f>Frontend!$BS$239</c15:f>
                      <c15:dlblFieldTableCache>
                        <c:ptCount val="1"/>
                      </c15:dlblFieldTableCache>
                    </c15:dlblFTEntry>
                  </c15:dlblFieldTable>
                  <c15:showDataLabelsRange val="0"/>
                </c:ext>
                <c:ext xmlns:c16="http://schemas.microsoft.com/office/drawing/2014/chart" uri="{C3380CC4-5D6E-409C-BE32-E72D297353CC}">
                  <c16:uniqueId val="{0000020A-0A6B-4376-88DD-AB3AC92F78D4}"/>
                </c:ext>
              </c:extLst>
            </c:dLbl>
            <c:dLbl>
              <c:idx val="230"/>
              <c:tx>
                <c:strRef>
                  <c:f>Frontend!$BS$240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{164DC2B4-9290-48DE-8053-573E37B62B4B}</c15:txfldGUID>
                      <c15:f>Frontend!$BS$240</c15:f>
                      <c15:dlblFieldTableCache>
                        <c:ptCount val="1"/>
                      </c15:dlblFieldTableCache>
                    </c15:dlblFTEntry>
                  </c15:dlblFieldTable>
                  <c15:showDataLabelsRange val="0"/>
                </c:ext>
                <c:ext xmlns:c16="http://schemas.microsoft.com/office/drawing/2014/chart" uri="{C3380CC4-5D6E-409C-BE32-E72D297353CC}">
                  <c16:uniqueId val="{0000020B-0A6B-4376-88DD-AB3AC92F78D4}"/>
                </c:ext>
              </c:extLst>
            </c:dLbl>
            <c:dLbl>
              <c:idx val="231"/>
              <c:tx>
                <c:strRef>
                  <c:f>Frontend!$BS$241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{8765C145-CAA3-4632-A1E4-09DF4D6063C2}</c15:txfldGUID>
                      <c15:f>Frontend!$BS$241</c15:f>
                      <c15:dlblFieldTableCache>
                        <c:ptCount val="1"/>
                      </c15:dlblFieldTableCache>
                    </c15:dlblFTEntry>
                  </c15:dlblFieldTable>
                  <c15:showDataLabelsRange val="0"/>
                </c:ext>
                <c:ext xmlns:c16="http://schemas.microsoft.com/office/drawing/2014/chart" uri="{C3380CC4-5D6E-409C-BE32-E72D297353CC}">
                  <c16:uniqueId val="{0000020C-0A6B-4376-88DD-AB3AC92F78D4}"/>
                </c:ext>
              </c:extLst>
            </c:dLbl>
            <c:dLbl>
              <c:idx val="232"/>
              <c:tx>
                <c:strRef>
                  <c:f>Frontend!$BS$242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{043700EE-00D7-49C2-AF7E-4812F6C2C86B}</c15:txfldGUID>
                      <c15:f>Frontend!$BS$242</c15:f>
                      <c15:dlblFieldTableCache>
                        <c:ptCount val="1"/>
                      </c15:dlblFieldTableCache>
                    </c15:dlblFTEntry>
                  </c15:dlblFieldTable>
                  <c15:showDataLabelsRange val="0"/>
                </c:ext>
                <c:ext xmlns:c16="http://schemas.microsoft.com/office/drawing/2014/chart" uri="{C3380CC4-5D6E-409C-BE32-E72D297353CC}">
                  <c16:uniqueId val="{0000020D-0A6B-4376-88DD-AB3AC92F78D4}"/>
                </c:ext>
              </c:extLst>
            </c:dLbl>
            <c:dLbl>
              <c:idx val="233"/>
              <c:tx>
                <c:strRef>
                  <c:f>Frontend!$BS$243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{1BEAA8E4-D860-4FF2-A444-70456242153C}</c15:txfldGUID>
                      <c15:f>Frontend!$BS$243</c15:f>
                      <c15:dlblFieldTableCache>
                        <c:ptCount val="1"/>
                      </c15:dlblFieldTableCache>
                    </c15:dlblFTEntry>
                  </c15:dlblFieldTable>
                  <c15:showDataLabelsRange val="0"/>
                </c:ext>
                <c:ext xmlns:c16="http://schemas.microsoft.com/office/drawing/2014/chart" uri="{C3380CC4-5D6E-409C-BE32-E72D297353CC}">
                  <c16:uniqueId val="{0000020E-0A6B-4376-88DD-AB3AC92F78D4}"/>
                </c:ext>
              </c:extLst>
            </c:dLbl>
            <c:dLbl>
              <c:idx val="234"/>
              <c:tx>
                <c:strRef>
                  <c:f>Frontend!$BS$244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{EC8AD955-219A-4A97-A3AB-B0E9FE2E67E8}</c15:txfldGUID>
                      <c15:f>Frontend!$BS$244</c15:f>
                      <c15:dlblFieldTableCache>
                        <c:ptCount val="1"/>
                      </c15:dlblFieldTableCache>
                    </c15:dlblFTEntry>
                  </c15:dlblFieldTable>
                  <c15:showDataLabelsRange val="0"/>
                </c:ext>
                <c:ext xmlns:c16="http://schemas.microsoft.com/office/drawing/2014/chart" uri="{C3380CC4-5D6E-409C-BE32-E72D297353CC}">
                  <c16:uniqueId val="{0000020F-0A6B-4376-88DD-AB3AC92F78D4}"/>
                </c:ext>
              </c:extLst>
            </c:dLbl>
            <c:dLbl>
              <c:idx val="235"/>
              <c:tx>
                <c:strRef>
                  <c:f>Frontend!$BS$245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{146DA37B-4A99-41AC-984C-B5D66030862A}</c15:txfldGUID>
                      <c15:f>Frontend!$BS$245</c15:f>
                      <c15:dlblFieldTableCache>
                        <c:ptCount val="1"/>
                      </c15:dlblFieldTableCache>
                    </c15:dlblFTEntry>
                  </c15:dlblFieldTable>
                  <c15:showDataLabelsRange val="0"/>
                </c:ext>
                <c:ext xmlns:c16="http://schemas.microsoft.com/office/drawing/2014/chart" uri="{C3380CC4-5D6E-409C-BE32-E72D297353CC}">
                  <c16:uniqueId val="{00000210-0A6B-4376-88DD-AB3AC92F78D4}"/>
                </c:ext>
              </c:extLst>
            </c:dLbl>
            <c:dLbl>
              <c:idx val="236"/>
              <c:tx>
                <c:strRef>
                  <c:f>Frontend!$BS$246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{8CE13F78-1812-4086-A002-2EE7246FD544}</c15:txfldGUID>
                      <c15:f>Frontend!$BS$246</c15:f>
                      <c15:dlblFieldTableCache>
                        <c:ptCount val="1"/>
                      </c15:dlblFieldTableCache>
                    </c15:dlblFTEntry>
                  </c15:dlblFieldTable>
                  <c15:showDataLabelsRange val="0"/>
                </c:ext>
                <c:ext xmlns:c16="http://schemas.microsoft.com/office/drawing/2014/chart" uri="{C3380CC4-5D6E-409C-BE32-E72D297353CC}">
                  <c16:uniqueId val="{00000211-0A6B-4376-88DD-AB3AC92F78D4}"/>
                </c:ext>
              </c:extLst>
            </c:dLbl>
            <c:dLbl>
              <c:idx val="237"/>
              <c:tx>
                <c:strRef>
                  <c:f>Frontend!$BS$247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{6ACD1E3F-D535-4BEA-8694-923FEACA26B5}</c15:txfldGUID>
                      <c15:f>Frontend!$BS$247</c15:f>
                      <c15:dlblFieldTableCache>
                        <c:ptCount val="1"/>
                      </c15:dlblFieldTableCache>
                    </c15:dlblFTEntry>
                  </c15:dlblFieldTable>
                  <c15:showDataLabelsRange val="0"/>
                </c:ext>
                <c:ext xmlns:c16="http://schemas.microsoft.com/office/drawing/2014/chart" uri="{C3380CC4-5D6E-409C-BE32-E72D297353CC}">
                  <c16:uniqueId val="{00000212-0A6B-4376-88DD-AB3AC92F78D4}"/>
                </c:ext>
              </c:extLst>
            </c:dLbl>
            <c:dLbl>
              <c:idx val="238"/>
              <c:tx>
                <c:strRef>
                  <c:f>Frontend!$BS$248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{245542DD-F2F5-4446-A0F8-1254919E257D}</c15:txfldGUID>
                      <c15:f>Frontend!$BS$248</c15:f>
                      <c15:dlblFieldTableCache>
                        <c:ptCount val="1"/>
                      </c15:dlblFieldTableCache>
                    </c15:dlblFTEntry>
                  </c15:dlblFieldTable>
                  <c15:showDataLabelsRange val="0"/>
                </c:ext>
                <c:ext xmlns:c16="http://schemas.microsoft.com/office/drawing/2014/chart" uri="{C3380CC4-5D6E-409C-BE32-E72D297353CC}">
                  <c16:uniqueId val="{00000213-0A6B-4376-88DD-AB3AC92F78D4}"/>
                </c:ext>
              </c:extLst>
            </c:dLbl>
            <c:dLbl>
              <c:idx val="239"/>
              <c:tx>
                <c:strRef>
                  <c:f>Frontend!$BS$249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{D3551F7F-8CD5-49CD-A21E-7BD269B55D23}</c15:txfldGUID>
                      <c15:f>Frontend!$BS$249</c15:f>
                      <c15:dlblFieldTableCache>
                        <c:ptCount val="1"/>
                      </c15:dlblFieldTableCache>
                    </c15:dlblFTEntry>
                  </c15:dlblFieldTable>
                  <c15:showDataLabelsRange val="0"/>
                </c:ext>
                <c:ext xmlns:c16="http://schemas.microsoft.com/office/drawing/2014/chart" uri="{C3380CC4-5D6E-409C-BE32-E72D297353CC}">
                  <c16:uniqueId val="{00000214-0A6B-4376-88DD-AB3AC92F78D4}"/>
                </c:ext>
              </c:extLst>
            </c:dLbl>
            <c:dLbl>
              <c:idx val="240"/>
              <c:tx>
                <c:strRef>
                  <c:f>Frontend!$BS$250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{0C06F441-E892-4791-A945-6436DFA8424D}</c15:txfldGUID>
                      <c15:f>Frontend!$BS$250</c15:f>
                      <c15:dlblFieldTableCache>
                        <c:ptCount val="1"/>
                      </c15:dlblFieldTableCache>
                    </c15:dlblFTEntry>
                  </c15:dlblFieldTable>
                  <c15:showDataLabelsRange val="0"/>
                </c:ext>
                <c:ext xmlns:c16="http://schemas.microsoft.com/office/drawing/2014/chart" uri="{C3380CC4-5D6E-409C-BE32-E72D297353CC}">
                  <c16:uniqueId val="{00000215-0A6B-4376-88DD-AB3AC92F78D4}"/>
                </c:ext>
              </c:extLst>
            </c:dLbl>
            <c:dLbl>
              <c:idx val="241"/>
              <c:tx>
                <c:strRef>
                  <c:f>Frontend!$BS$251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{B62B2789-9E77-43D8-A387-887B864BF660}</c15:txfldGUID>
                      <c15:f>Frontend!$BS$251</c15:f>
                      <c15:dlblFieldTableCache>
                        <c:ptCount val="1"/>
                      </c15:dlblFieldTableCache>
                    </c15:dlblFTEntry>
                  </c15:dlblFieldTable>
                  <c15:showDataLabelsRange val="0"/>
                </c:ext>
                <c:ext xmlns:c16="http://schemas.microsoft.com/office/drawing/2014/chart" uri="{C3380CC4-5D6E-409C-BE32-E72D297353CC}">
                  <c16:uniqueId val="{00000216-0A6B-4376-88DD-AB3AC92F78D4}"/>
                </c:ext>
              </c:extLst>
            </c:dLbl>
            <c:dLbl>
              <c:idx val="242"/>
              <c:tx>
                <c:strRef>
                  <c:f>Frontend!$BS$252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{AEDEB0C2-0F01-4483-BDC7-48DBA01F6C3B}</c15:txfldGUID>
                      <c15:f>Frontend!$BS$252</c15:f>
                      <c15:dlblFieldTableCache>
                        <c:ptCount val="1"/>
                      </c15:dlblFieldTableCache>
                    </c15:dlblFTEntry>
                  </c15:dlblFieldTable>
                  <c15:showDataLabelsRange val="0"/>
                </c:ext>
                <c:ext xmlns:c16="http://schemas.microsoft.com/office/drawing/2014/chart" uri="{C3380CC4-5D6E-409C-BE32-E72D297353CC}">
                  <c16:uniqueId val="{00000217-0A6B-4376-88DD-AB3AC92F78D4}"/>
                </c:ext>
              </c:extLst>
            </c:dLbl>
            <c:dLbl>
              <c:idx val="243"/>
              <c:tx>
                <c:strRef>
                  <c:f>Frontend!$BS$253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{3891FAC8-AE06-4290-95DE-74697B63CDA4}</c15:txfldGUID>
                      <c15:f>Frontend!$BS$253</c15:f>
                      <c15:dlblFieldTableCache>
                        <c:ptCount val="1"/>
                      </c15:dlblFieldTableCache>
                    </c15:dlblFTEntry>
                  </c15:dlblFieldTable>
                  <c15:showDataLabelsRange val="0"/>
                </c:ext>
                <c:ext xmlns:c16="http://schemas.microsoft.com/office/drawing/2014/chart" uri="{C3380CC4-5D6E-409C-BE32-E72D297353CC}">
                  <c16:uniqueId val="{00000218-0A6B-4376-88DD-AB3AC92F78D4}"/>
                </c:ext>
              </c:extLst>
            </c:dLbl>
            <c:dLbl>
              <c:idx val="244"/>
              <c:tx>
                <c:strRef>
                  <c:f>Frontend!$BS$254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{B998DA02-EC92-4D4F-A5DE-776151EC5372}</c15:txfldGUID>
                      <c15:f>Frontend!$BS$254</c15:f>
                      <c15:dlblFieldTableCache>
                        <c:ptCount val="1"/>
                      </c15:dlblFieldTableCache>
                    </c15:dlblFTEntry>
                  </c15:dlblFieldTable>
                  <c15:showDataLabelsRange val="0"/>
                </c:ext>
                <c:ext xmlns:c16="http://schemas.microsoft.com/office/drawing/2014/chart" uri="{C3380CC4-5D6E-409C-BE32-E72D297353CC}">
                  <c16:uniqueId val="{00000219-0A6B-4376-88DD-AB3AC92F78D4}"/>
                </c:ext>
              </c:extLst>
            </c:dLbl>
            <c:dLbl>
              <c:idx val="245"/>
              <c:tx>
                <c:strRef>
                  <c:f>Frontend!$BS$255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{9407AA4F-D02C-4392-91BD-282E3A8F8B8B}</c15:txfldGUID>
                      <c15:f>Frontend!$BS$255</c15:f>
                      <c15:dlblFieldTableCache>
                        <c:ptCount val="1"/>
                      </c15:dlblFieldTableCache>
                    </c15:dlblFTEntry>
                  </c15:dlblFieldTable>
                  <c15:showDataLabelsRange val="0"/>
                </c:ext>
                <c:ext xmlns:c16="http://schemas.microsoft.com/office/drawing/2014/chart" uri="{C3380CC4-5D6E-409C-BE32-E72D297353CC}">
                  <c16:uniqueId val="{0000021A-0A6B-4376-88DD-AB3AC92F78D4}"/>
                </c:ext>
              </c:extLst>
            </c:dLbl>
            <c:dLbl>
              <c:idx val="246"/>
              <c:tx>
                <c:strRef>
                  <c:f>Frontend!$BS$256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{6E747B41-E2C9-4159-B45E-71D1F4243EFB}</c15:txfldGUID>
                      <c15:f>Frontend!$BS$256</c15:f>
                      <c15:dlblFieldTableCache>
                        <c:ptCount val="1"/>
                      </c15:dlblFieldTableCache>
                    </c15:dlblFTEntry>
                  </c15:dlblFieldTable>
                  <c15:showDataLabelsRange val="0"/>
                </c:ext>
                <c:ext xmlns:c16="http://schemas.microsoft.com/office/drawing/2014/chart" uri="{C3380CC4-5D6E-409C-BE32-E72D297353CC}">
                  <c16:uniqueId val="{0000021B-0A6B-4376-88DD-AB3AC92F78D4}"/>
                </c:ext>
              </c:extLst>
            </c:dLbl>
            <c:dLbl>
              <c:idx val="247"/>
              <c:tx>
                <c:strRef>
                  <c:f>Frontend!$BS$257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{B27A6994-88A4-45E7-A55D-AF84D3F9DD0F}</c15:txfldGUID>
                      <c15:f>Frontend!$BS$257</c15:f>
                      <c15:dlblFieldTableCache>
                        <c:ptCount val="1"/>
                      </c15:dlblFieldTableCache>
                    </c15:dlblFTEntry>
                  </c15:dlblFieldTable>
                  <c15:showDataLabelsRange val="0"/>
                </c:ext>
                <c:ext xmlns:c16="http://schemas.microsoft.com/office/drawing/2014/chart" uri="{C3380CC4-5D6E-409C-BE32-E72D297353CC}">
                  <c16:uniqueId val="{0000021C-0A6B-4376-88DD-AB3AC92F78D4}"/>
                </c:ext>
              </c:extLst>
            </c:dLbl>
            <c:dLbl>
              <c:idx val="248"/>
              <c:tx>
                <c:strRef>
                  <c:f>Frontend!$BS$258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{5F42243D-25D1-40D7-B2FF-52E1867C9708}</c15:txfldGUID>
                      <c15:f>Frontend!$BS$258</c15:f>
                      <c15:dlblFieldTableCache>
                        <c:ptCount val="1"/>
                      </c15:dlblFieldTableCache>
                    </c15:dlblFTEntry>
                  </c15:dlblFieldTable>
                  <c15:showDataLabelsRange val="0"/>
                </c:ext>
                <c:ext xmlns:c16="http://schemas.microsoft.com/office/drawing/2014/chart" uri="{C3380CC4-5D6E-409C-BE32-E72D297353CC}">
                  <c16:uniqueId val="{0000021D-0A6B-4376-88DD-AB3AC92F78D4}"/>
                </c:ext>
              </c:extLst>
            </c:dLbl>
            <c:dLbl>
              <c:idx val="249"/>
              <c:tx>
                <c:strRef>
                  <c:f>Frontend!$BS$259</c:f>
                  <c:strCache>
                    <c:ptCount val="1"/>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{03F0F3FF-7E32-436C-ACEE-4C89D0EC2D5D}</c15:txfldGUID>
                      <c15:f>Frontend!$BS$259</c15:f>
                      <c15:dlblFieldTableCache>
                        <c:ptCount val="1"/>
                      </c15:dlblFieldTableCache>
                    </c15:dlblFTEntry>
                  </c15:dlblFieldTable>
                  <c15:showDataLabelsRange val="0"/>
                </c:ext>
                <c:ext xmlns:c16="http://schemas.microsoft.com/office/drawing/2014/chart" uri="{C3380CC4-5D6E-409C-BE32-E72D297353CC}">
                  <c16:uniqueId val="{0000021E-0A6B-4376-88DD-AB3AC92F78D4}"/>
                </c:ext>
              </c:extLst>
            </c:dLbl>
            <c:dLbl>
              <c:idx val="250"/>
              <c:tx>
                <c:strRef>
                  <c:f>Frontend!$BS$260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{01553377-EA65-4959-AAD0-A2369F9FE69A}</c15:txfldGUID>
                      <c15:f>Frontend!$BS$260</c15:f>
                      <c15:dlblFieldTableCache>
                        <c:ptCount val="1"/>
                      </c15:dlblFieldTableCache>
                    </c15:dlblFTEntry>
                  </c15:dlblFieldTable>
                  <c15:showDataLabelsRange val="0"/>
                </c:ext>
                <c:ext xmlns:c16="http://schemas.microsoft.com/office/drawing/2014/chart" uri="{C3380CC4-5D6E-409C-BE32-E72D297353CC}">
                  <c16:uniqueId val="{0000021F-0A6B-4376-88DD-AB3AC92F78D4}"/>
                </c:ext>
              </c:extLst>
            </c:dLbl>
            <c:dLbl>
              <c:idx val="251"/>
              <c:tx>
                <c:strRef>
                  <c:f>Frontend!$BS$261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{1CA9954F-F60B-4867-B127-657FFAB5CEB9}</c15:txfldGUID>
                      <c15:f>Frontend!$BS$261</c15:f>
                      <c15:dlblFieldTableCache>
                        <c:ptCount val="1"/>
                      </c15:dlblFieldTableCache>
                    </c15:dlblFTEntry>
                  </c15:dlblFieldTable>
                  <c15:showDataLabelsRange val="0"/>
                </c:ext>
                <c:ext xmlns:c16="http://schemas.microsoft.com/office/drawing/2014/chart" uri="{C3380CC4-5D6E-409C-BE32-E72D297353CC}">
                  <c16:uniqueId val="{00000220-0A6B-4376-88DD-AB3AC92F78D4}"/>
                </c:ext>
              </c:extLst>
            </c:dLbl>
            <c:dLbl>
              <c:idx val="252"/>
              <c:tx>
                <c:strRef>
                  <c:f>Frontend!$BS$262</c:f>
                  <c:strCache>
                    <c:ptCount val="1"/>
                    <c:pt idx="0">
                      <c:v> 14.26 (-1.0%)</c:v>
                    </c:pt>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{0909DB65-1D72-4CFD-8C71-C3DA53DBA1F6}</c15:txfldGUID>
                      <c15:f>Frontend!$BS$262</c15:f>
                      <c15:dlblFieldTableCache>
                        <c:ptCount val="1"/>
                        <c:pt idx="0">
                          <c:v> 14.26 (-1.0%)</c:v>
                        </c:pt>
                      </c15:dlblFieldTableCache>
                    </c15:dlblFTEntry>
                  </c15:dlblFieldTable>
                  <c15:showDataLabelsRange val="0"/>
                </c:ext>
                <c:ext xmlns:c16="http://schemas.microsoft.com/office/drawing/2014/chart" uri="{C3380CC4-5D6E-409C-BE32-E72D297353CC}">
                  <c16:uniqueId val="{00000221-0A6B-4376-88DD-AB3AC92F78D4}"/>
                </c:ext>
              </c:extLst>
            </c:dLbl>
            <c:dLbl>
              <c:idx val="253"/>
              <c:tx>
                <c:strRef>
                  <c:f>Frontend!$BS$263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{0E30393E-0EB2-4062-BCA9-E0292819CE60}</c15:txfldGUID>
                      <c15:f>Frontend!$BS$263</c15:f>
                      <c15:dlblFieldTableCache>
                        <c:ptCount val="1"/>
                      </c15:dlblFieldTableCache>
                    </c15:dlblFTEntry>
                  </c15:dlblFieldTable>
                  <c15:showDataLabelsRange val="0"/>
                </c:ext>
                <c:ext xmlns:c16="http://schemas.microsoft.com/office/drawing/2014/chart" uri="{C3380CC4-5D6E-409C-BE32-E72D297353CC}">
                  <c16:uniqueId val="{00000222-0A6B-4376-88DD-AB3AC92F78D4}"/>
                </c:ext>
              </c:extLst>
            </c:dLbl>
            <c:dLbl>
              <c:idx val="254"/>
              <c:tx>
                <c:strRef>
                  <c:f>Frontend!$BS$264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{7E185F0C-A39D-4EED-9141-BB840269655B}</c15:txfldGUID>
                      <c15:f>Frontend!$BS$264</c15:f>
                      <c15:dlblFieldTableCache>
                        <c:ptCount val="1"/>
                      </c15:dlblFieldTableCache>
                    </c15:dlblFTEntry>
                  </c15:dlblFieldTable>
                  <c15:showDataLabelsRange val="0"/>
                </c:ext>
                <c:ext xmlns:c16="http://schemas.microsoft.com/office/drawing/2014/chart" uri="{C3380CC4-5D6E-409C-BE32-E72D297353CC}">
                  <c16:uniqueId val="{00000223-0A6B-4376-88DD-AB3AC92F78D4}"/>
                </c:ext>
              </c:extLst>
            </c:dLbl>
            <c:dLbl>
              <c:idx val="255"/>
              <c:tx>
                <c:strRef>
                  <c:f>Frontend!$BS$265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{EC7E4C1C-D80A-41D5-B945-F832DDB16517}</c15:txfldGUID>
                      <c15:f>Frontend!$BS$265</c15:f>
                      <c15:dlblFieldTableCache>
                        <c:ptCount val="1"/>
                      </c15:dlblFieldTableCache>
                    </c15:dlblFTEntry>
                  </c15:dlblFieldTable>
                  <c15:showDataLabelsRange val="0"/>
                </c:ext>
                <c:ext xmlns:c16="http://schemas.microsoft.com/office/drawing/2014/chart" uri="{C3380CC4-5D6E-409C-BE32-E72D297353CC}">
                  <c16:uniqueId val="{00000224-0A6B-4376-88DD-AB3AC92F78D4}"/>
                </c:ext>
              </c:extLst>
            </c:dLbl>
            <c:dLbl>
              <c:idx val="256"/>
              <c:tx>
                <c:strRef>
                  <c:f>Frontend!$BS$266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{4D867433-4D3E-420B-86EC-C021E5C04247}</c15:txfldGUID>
                      <c15:f>Frontend!$BS$266</c15:f>
                      <c15:dlblFieldTableCache>
                        <c:ptCount val="1"/>
                      </c15:dlblFieldTableCache>
                    </c15:dlblFTEntry>
                  </c15:dlblFieldTable>
                  <c15:showDataLabelsRange val="0"/>
                </c:ext>
                <c:ext xmlns:c16="http://schemas.microsoft.com/office/drawing/2014/chart" uri="{C3380CC4-5D6E-409C-BE32-E72D297353CC}">
                  <c16:uniqueId val="{00000225-0A6B-4376-88DD-AB3AC92F78D4}"/>
                </c:ext>
              </c:extLst>
            </c:dLbl>
            <c:dLbl>
              <c:idx val="257"/>
              <c:tx>
                <c:strRef>
                  <c:f>Frontend!$BS$267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{465633F3-8B8B-40AE-93FC-15278FC20D4B}</c15:txfldGUID>
                      <c15:f>Frontend!$BS$267</c15:f>
                      <c15:dlblFieldTableCache>
                        <c:ptCount val="1"/>
                      </c15:dlblFieldTableCache>
                    </c15:dlblFTEntry>
                  </c15:dlblFieldTable>
                  <c15:showDataLabelsRange val="0"/>
                </c:ext>
                <c:ext xmlns:c16="http://schemas.microsoft.com/office/drawing/2014/chart" uri="{C3380CC4-5D6E-409C-BE32-E72D297353CC}">
                  <c16:uniqueId val="{00000226-0A6B-4376-88DD-AB3AC92F78D4}"/>
                </c:ext>
              </c:extLst>
            </c:dLbl>
            <c:dLbl>
              <c:idx val="258"/>
              <c:tx>
                <c:strRef>
                  <c:f>Frontend!$BS$268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{68F784AE-452C-4C84-900B-89AAE6E7C5E0}</c15:txfldGUID>
                      <c15:f>Frontend!$BS$268</c15:f>
                      <c15:dlblFieldTableCache>
                        <c:ptCount val="1"/>
                      </c15:dlblFieldTableCache>
                    </c15:dlblFTEntry>
                  </c15:dlblFieldTable>
                  <c15:showDataLabelsRange val="0"/>
                </c:ext>
                <c:ext xmlns:c16="http://schemas.microsoft.com/office/drawing/2014/chart" uri="{C3380CC4-5D6E-409C-BE32-E72D297353CC}">
                  <c16:uniqueId val="{00000227-0A6B-4376-88DD-AB3AC92F78D4}"/>
                </c:ext>
              </c:extLst>
            </c:dLbl>
            <c:dLbl>
              <c:idx val="259"/>
              <c:tx>
                <c:strRef>
                  <c:f>Frontend!$BS$269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{1668BB14-17C4-4D2C-B174-E4C726C92FF1}</c15:txfldGUID>
                      <c15:f>Frontend!$BS$269</c15:f>
                      <c15:dlblFieldTableCache>
                        <c:ptCount val="1"/>
                      </c15:dlblFieldTableCache>
                    </c15:dlblFTEntry>
                  </c15:dlblFieldTable>
                  <c15:showDataLabelsRange val="0"/>
                </c:ext>
                <c:ext xmlns:c16="http://schemas.microsoft.com/office/drawing/2014/chart" uri="{C3380CC4-5D6E-409C-BE32-E72D297353CC}">
                  <c16:uniqueId val="{00000228-0A6B-4376-88DD-AB3AC92F78D4}"/>
                </c:ext>
              </c:extLst>
            </c:dLbl>
            <c:dLbl>
              <c:idx val="260"/>
              <c:tx>
                <c:strRef>
                  <c:f>Frontend!$BS$270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{D11543DB-6AF8-42A8-9C1A-3BFD5FB5C236}</c15:txfldGUID>
                      <c15:f>Frontend!$BS$270</c15:f>
                      <c15:dlblFieldTableCache>
                        <c:ptCount val="1"/>
                      </c15:dlblFieldTableCache>
                    </c15:dlblFTEntry>
                  </c15:dlblFieldTable>
                  <c15:showDataLabelsRange val="0"/>
                </c:ext>
                <c:ext xmlns:c16="http://schemas.microsoft.com/office/drawing/2014/chart" uri="{C3380CC4-5D6E-409C-BE32-E72D297353CC}">
                  <c16:uniqueId val="{00000229-0A6B-4376-88DD-AB3AC92F78D4}"/>
                </c:ext>
              </c:extLst>
            </c:dLbl>
            <c:dLbl>
              <c:idx val="261"/>
              <c:tx>
                <c:strRef>
                  <c:f>Frontend!$BS$271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{1C8C27E3-FD9E-45A6-BAEF-8E99057750E7}</c15:txfldGUID>
                      <c15:f>Frontend!$BS$271</c15:f>
                      <c15:dlblFieldTableCache>
                        <c:ptCount val="1"/>
                      </c15:dlblFieldTableCache>
                    </c15:dlblFTEntry>
                  </c15:dlblFieldTable>
                  <c15:showDataLabelsRange val="0"/>
                </c:ext>
                <c:ext xmlns:c16="http://schemas.microsoft.com/office/drawing/2014/chart" uri="{C3380CC4-5D6E-409C-BE32-E72D297353CC}">
                  <c16:uniqueId val="{0000022A-0A6B-4376-88DD-AB3AC92F78D4}"/>
                </c:ext>
              </c:extLst>
            </c:dLbl>
            <c:dLbl>
              <c:idx val="262"/>
              <c:tx>
                <c:strRef>
                  <c:f>Frontend!$BS$272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{078C2122-05FB-4B9A-9BF8-BD05225A5F34}</c15:txfldGUID>
                      <c15:f>Frontend!$BS$272</c15:f>
                      <c15:dlblFieldTableCache>
                        <c:ptCount val="1"/>
                      </c15:dlblFieldTableCache>
                    </c15:dlblFTEntry>
                  </c15:dlblFieldTable>
                  <c15:showDataLabelsRange val="0"/>
                </c:ext>
                <c:ext xmlns:c16="http://schemas.microsoft.com/office/drawing/2014/chart" uri="{C3380CC4-5D6E-409C-BE32-E72D297353CC}">
                  <c16:uniqueId val="{0000022B-0A6B-4376-88DD-AB3AC92F78D4}"/>
                </c:ext>
              </c:extLst>
            </c:dLbl>
            <c:dLbl>
              <c:idx val="263"/>
              <c:tx>
                <c:strRef>
                  <c:f>Frontend!$BS$273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{16092E12-F143-4271-8405-448C7276C298}</c15:txfldGUID>
                      <c15:f>Frontend!$BS$273</c15:f>
                      <c15:dlblFieldTableCache>
                        <c:ptCount val="1"/>
                      </c15:dlblFieldTableCache>
                    </c15:dlblFTEntry>
                  </c15:dlblFieldTable>
                  <c15:showDataLabelsRange val="0"/>
                </c:ext>
                <c:ext xmlns:c16="http://schemas.microsoft.com/office/drawing/2014/chart" uri="{C3380CC4-5D6E-409C-BE32-E72D297353CC}">
                  <c16:uniqueId val="{0000022C-0A6B-4376-88DD-AB3AC92F78D4}"/>
                </c:ext>
              </c:extLst>
            </c:dLbl>
            <c:dLbl>
              <c:idx val="264"/>
              <c:tx>
                <c:strRef>
                  <c:f>Frontend!$BS$274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{6D20EAFE-0FC5-445D-8AB1-E9B25E704706}</c15:txfldGUID>
                      <c15:f>Frontend!$BS$274</c15:f>
                      <c15:dlblFieldTableCache>
                        <c:ptCount val="1"/>
                      </c15:dlblFieldTableCache>
                    </c15:dlblFTEntry>
                  </c15:dlblFieldTable>
                  <c15:showDataLabelsRange val="0"/>
                </c:ext>
                <c:ext xmlns:c16="http://schemas.microsoft.com/office/drawing/2014/chart" uri="{C3380CC4-5D6E-409C-BE32-E72D297353CC}">
                  <c16:uniqueId val="{0000022D-0A6B-4376-88DD-AB3AC92F78D4}"/>
                </c:ext>
              </c:extLst>
            </c:dLbl>
            <c:dLbl>
              <c:idx val="265"/>
              <c:tx>
                <c:strRef>
                  <c:f>Frontend!$BS$275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{EB7E7689-5E11-4123-9510-CDF91780889C}</c15:txfldGUID>
                      <c15:f>Frontend!$BS$275</c15:f>
                      <c15:dlblFieldTableCache>
                        <c:ptCount val="1"/>
                      </c15:dlblFieldTableCache>
                    </c15:dlblFTEntry>
                  </c15:dlblFieldTable>
                  <c15:showDataLabelsRange val="0"/>
                </c:ext>
                <c:ext xmlns:c16="http://schemas.microsoft.com/office/drawing/2014/chart" uri="{C3380CC4-5D6E-409C-BE32-E72D297353CC}">
                  <c16:uniqueId val="{0000022E-0A6B-4376-88DD-AB3AC92F78D4}"/>
                </c:ext>
              </c:extLst>
            </c:dLbl>
            <c:dLbl>
              <c:idx val="266"/>
              <c:tx>
                <c:strRef>
                  <c:f>Frontend!$BS$276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{5FB5EB39-1B0D-4F26-80E5-40E3235A4E20}</c15:txfldGUID>
                      <c15:f>Frontend!$BS$276</c15:f>
                      <c15:dlblFieldTableCache>
                        <c:ptCount val="1"/>
                      </c15:dlblFieldTableCache>
                    </c15:dlblFTEntry>
                  </c15:dlblFieldTable>
                  <c15:showDataLabelsRange val="0"/>
                </c:ext>
                <c:ext xmlns:c16="http://schemas.microsoft.com/office/drawing/2014/chart" uri="{C3380CC4-5D6E-409C-BE32-E72D297353CC}">
                  <c16:uniqueId val="{0000022F-0A6B-4376-88DD-AB3AC92F78D4}"/>
                </c:ext>
              </c:extLst>
            </c:dLbl>
            <c:dLbl>
              <c:idx val="267"/>
              <c:tx>
                <c:strRef>
                  <c:f>Frontend!$BS$277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{40F8EF16-779C-45A7-939F-610D8278B214}</c15:txfldGUID>
                      <c15:f>Frontend!$BS$277</c15:f>
                      <c15:dlblFieldTableCache>
                        <c:ptCount val="1"/>
                      </c15:dlblFieldTableCache>
                    </c15:dlblFTEntry>
                  </c15:dlblFieldTable>
                  <c15:showDataLabelsRange val="0"/>
                </c:ext>
                <c:ext xmlns:c16="http://schemas.microsoft.com/office/drawing/2014/chart" uri="{C3380CC4-5D6E-409C-BE32-E72D297353CC}">
                  <c16:uniqueId val="{00000230-0A6B-4376-88DD-AB3AC92F78D4}"/>
                </c:ext>
              </c:extLst>
            </c:dLbl>
            <c:dLbl>
              <c:idx val="268"/>
              <c:tx>
                <c:strRef>
                  <c:f>Frontend!$BS$278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{C939EC09-432F-47C8-814C-8CB3595522A7}</c15:txfldGUID>
                      <c15:f>Frontend!$BS$278</c15:f>
                      <c15:dlblFieldTableCache>
                        <c:ptCount val="1"/>
                      </c15:dlblFieldTableCache>
                    </c15:dlblFTEntry>
                  </c15:dlblFieldTable>
                  <c15:showDataLabelsRange val="0"/>
                </c:ext>
                <c:ext xmlns:c16="http://schemas.microsoft.com/office/drawing/2014/chart" uri="{C3380CC4-5D6E-409C-BE32-E72D297353CC}">
                  <c16:uniqueId val="{00000231-0A6B-4376-88DD-AB3AC92F78D4}"/>
                </c:ext>
              </c:extLst>
            </c:dLbl>
            <c:dLbl>
              <c:idx val="269"/>
              <c:tx>
                <c:strRef>
                  <c:f>Frontend!$BS$279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{655DF2DC-01FE-4886-955A-CB1EAD27971D}</c15:txfldGUID>
                      <c15:f>Frontend!$BS$279</c15:f>
                      <c15:dlblFieldTableCache>
                        <c:ptCount val="1"/>
                      </c15:dlblFieldTableCache>
                    </c15:dlblFTEntry>
                  </c15:dlblFieldTable>
                  <c15:showDataLabelsRange val="0"/>
                </c:ext>
                <c:ext xmlns:c16="http://schemas.microsoft.com/office/drawing/2014/chart" uri="{C3380CC4-5D6E-409C-BE32-E72D297353CC}">
                  <c16:uniqueId val="{00000232-0A6B-4376-88DD-AB3AC92F78D4}"/>
                </c:ext>
              </c:extLst>
            </c:dLbl>
            <c:dLbl>
              <c:idx val="270"/>
              <c:tx>
                <c:strRef>
                  <c:f>Frontend!$BS$280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{F4C51001-D960-4F7F-9780-E710C7EA252B}</c15:txfldGUID>
                      <c15:f>Frontend!$BS$280</c15:f>
                      <c15:dlblFieldTableCache>
                        <c:ptCount val="1"/>
                      </c15:dlblFieldTableCache>
                    </c15:dlblFTEntry>
                  </c15:dlblFieldTable>
                  <c15:showDataLabelsRange val="0"/>
                </c:ext>
                <c:ext xmlns:c16="http://schemas.microsoft.com/office/drawing/2014/chart" uri="{C3380CC4-5D6E-409C-BE32-E72D297353CC}">
                  <c16:uniqueId val="{00000233-0A6B-4376-88DD-AB3AC92F78D4}"/>
                </c:ext>
              </c:extLst>
            </c:dLbl>
            <c:dLbl>
              <c:idx val="271"/>
              <c:tx>
                <c:strRef>
                  <c:f>Frontend!$BS$281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{E84C0BE1-368E-4523-A097-C429A4F2F600}</c15:txfldGUID>
                      <c15:f>Frontend!$BS$281</c15:f>
                      <c15:dlblFieldTableCache>
                        <c:ptCount val="1"/>
                      </c15:dlblFieldTableCache>
                    </c15:dlblFTEntry>
                  </c15:dlblFieldTable>
                  <c15:showDataLabelsRange val="0"/>
                </c:ext>
                <c:ext xmlns:c16="http://schemas.microsoft.com/office/drawing/2014/chart" uri="{C3380CC4-5D6E-409C-BE32-E72D297353CC}">
                  <c16:uniqueId val="{00000234-0A6B-4376-88DD-AB3AC92F78D4}"/>
                </c:ext>
              </c:extLst>
            </c:dLbl>
            <c:dLbl>
              <c:idx val="272"/>
              <c:tx>
                <c:strRef>
                  <c:f>Frontend!$BS$282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{FBD360DF-F2A2-4AD3-9C75-F19F549B1E5B}</c15:txfldGUID>
                      <c15:f>Frontend!$BS$282</c15:f>
                      <c15:dlblFieldTableCache>
                        <c:ptCount val="1"/>
                      </c15:dlblFieldTableCache>
                    </c15:dlblFTEntry>
                  </c15:dlblFieldTable>
                  <c15:showDataLabelsRange val="0"/>
                </c:ext>
                <c:ext xmlns:c16="http://schemas.microsoft.com/office/drawing/2014/chart" uri="{C3380CC4-5D6E-409C-BE32-E72D297353CC}">
                  <c16:uniqueId val="{00000235-0A6B-4376-88DD-AB3AC92F78D4}"/>
                </c:ext>
              </c:extLst>
            </c:dLbl>
            <c:dLbl>
              <c:idx val="273"/>
              <c:tx>
                <c:strRef>
                  <c:f>Frontend!$BS$283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{6571397B-3E1B-4957-A321-EC095473D5C9}</c15:txfldGUID>
                      <c15:f>Frontend!$BS$283</c15:f>
                      <c15:dlblFieldTableCache>
                        <c:ptCount val="1"/>
                      </c15:dlblFieldTableCache>
                    </c15:dlblFTEntry>
                  </c15:dlblFieldTable>
                  <c15:showDataLabelsRange val="0"/>
                </c:ext>
                <c:ext xmlns:c16="http://schemas.microsoft.com/office/drawing/2014/chart" uri="{C3380CC4-5D6E-409C-BE32-E72D297353CC}">
                  <c16:uniqueId val="{00000236-0A6B-4376-88DD-AB3AC92F78D4}"/>
                </c:ext>
              </c:extLst>
            </c:dLbl>
            <c:dLbl>
              <c:idx val="274"/>
              <c:tx>
                <c:strRef>
                  <c:f>Frontend!$BS$284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{1F5700FF-9651-4D67-9B91-9E002F565864}</c15:txfldGUID>
                      <c15:f>Frontend!$BS$284</c15:f>
                      <c15:dlblFieldTableCache>
                        <c:ptCount val="1"/>
                      </c15:dlblFieldTableCache>
                    </c15:dlblFTEntry>
                  </c15:dlblFieldTable>
                  <c15:showDataLabelsRange val="0"/>
                </c:ext>
                <c:ext xmlns:c16="http://schemas.microsoft.com/office/drawing/2014/chart" uri="{C3380CC4-5D6E-409C-BE32-E72D297353CC}">
                  <c16:uniqueId val="{00000237-0A6B-4376-88DD-AB3AC92F78D4}"/>
                </c:ext>
              </c:extLst>
            </c:dLbl>
            <c:dLbl>
              <c:idx val="275"/>
              <c:tx>
                <c:strRef>
                  <c:f>Frontend!$BS$285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{EDCE38CC-4A53-4618-9AC4-CCA9A7FBCE57}</c15:txfldGUID>
                      <c15:f>Frontend!$BS$285</c15:f>
                      <c15:dlblFieldTableCache>
                        <c:ptCount val="1"/>
                      </c15:dlblFieldTableCache>
                    </c15:dlblFTEntry>
                  </c15:dlblFieldTable>
                  <c15:showDataLabelsRange val="0"/>
                </c:ext>
                <c:ext xmlns:c16="http://schemas.microsoft.com/office/drawing/2014/chart" uri="{C3380CC4-5D6E-409C-BE32-E72D297353CC}">
                  <c16:uniqueId val="{00000238-0A6B-4376-88DD-AB3AC92F78D4}"/>
                </c:ext>
              </c:extLst>
            </c:dLbl>
            <c:dLbl>
              <c:idx val="276"/>
              <c:tx>
                <c:strRef>
                  <c:f>Frontend!$BS$286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{9C253B41-88A0-479C-ACAA-5DA01883DB5E}</c15:txfldGUID>
                      <c15:f>Frontend!$BS$286</c15:f>
                      <c15:dlblFieldTableCache>
                        <c:ptCount val="1"/>
                      </c15:dlblFieldTableCache>
                    </c15:dlblFTEntry>
                  </c15:dlblFieldTable>
                  <c15:showDataLabelsRange val="0"/>
                </c:ext>
                <c:ext xmlns:c16="http://schemas.microsoft.com/office/drawing/2014/chart" uri="{C3380CC4-5D6E-409C-BE32-E72D297353CC}">
                  <c16:uniqueId val="{00000239-0A6B-4376-88DD-AB3AC92F78D4}"/>
                </c:ext>
              </c:extLst>
            </c:dLbl>
            <c:dLbl>
              <c:idx val="277"/>
              <c:tx>
                <c:strRef>
                  <c:f>Frontend!$BS$287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{634AE33E-BA4D-4697-9A00-CB6D068FA7F2}</c15:txfldGUID>
                      <c15:f>Frontend!$BS$287</c15:f>
                      <c15:dlblFieldTableCache>
                        <c:ptCount val="1"/>
                      </c15:dlblFieldTableCache>
                    </c15:dlblFTEntry>
                  </c15:dlblFieldTable>
                  <c15:showDataLabelsRange val="0"/>
                </c:ext>
                <c:ext xmlns:c16="http://schemas.microsoft.com/office/drawing/2014/chart" uri="{C3380CC4-5D6E-409C-BE32-E72D297353CC}">
                  <c16:uniqueId val="{0000023A-0A6B-4376-88DD-AB3AC92F78D4}"/>
                </c:ext>
              </c:extLst>
            </c:dLbl>
            <c:dLbl>
              <c:idx val="278"/>
              <c:tx>
                <c:strRef>
                  <c:f>Frontend!$BS$288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{506C5E01-5F26-47F1-B927-399050A9CD9E}</c15:txfldGUID>
                      <c15:f>Frontend!$BS$288</c15:f>
                      <c15:dlblFieldTableCache>
                        <c:ptCount val="1"/>
                      </c15:dlblFieldTableCache>
                    </c15:dlblFTEntry>
                  </c15:dlblFieldTable>
                  <c15:showDataLabelsRange val="0"/>
                </c:ext>
                <c:ext xmlns:c16="http://schemas.microsoft.com/office/drawing/2014/chart" uri="{C3380CC4-5D6E-409C-BE32-E72D297353CC}">
                  <c16:uniqueId val="{0000023B-0A6B-4376-88DD-AB3AC92F78D4}"/>
                </c:ext>
              </c:extLst>
            </c:dLbl>
            <c:dLbl>
              <c:idx val="279"/>
              <c:tx>
                <c:strRef>
                  <c:f>Frontend!$BS$289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{C374672D-6101-47E8-802F-F6330D5076B6}</c15:txfldGUID>
                      <c15:f>Frontend!$BS$289</c15:f>
                      <c15:dlblFieldTableCache>
                        <c:ptCount val="1"/>
                      </c15:dlblFieldTableCache>
                    </c15:dlblFTEntry>
                  </c15:dlblFieldTable>
                  <c15:showDataLabelsRange val="0"/>
                </c:ext>
                <c:ext xmlns:c16="http://schemas.microsoft.com/office/drawing/2014/chart" uri="{C3380CC4-5D6E-409C-BE32-E72D297353CC}">
                  <c16:uniqueId val="{0000023C-0A6B-4376-88DD-AB3AC92F78D4}"/>
                </c:ext>
              </c:extLst>
            </c:dLbl>
            <c:dLbl>
              <c:idx val="280"/>
              <c:tx>
                <c:strRef>
                  <c:f>Frontend!$BS$290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{70C25A6C-5463-4410-A7F5-2738AAF59F5B}</c15:txfldGUID>
                      <c15:f>Frontend!$BS$290</c15:f>
                      <c15:dlblFieldTableCache>
                        <c:ptCount val="1"/>
                      </c15:dlblFieldTableCache>
                    </c15:dlblFTEntry>
                  </c15:dlblFieldTable>
                  <c15:showDataLabelsRange val="0"/>
                </c:ext>
                <c:ext xmlns:c16="http://schemas.microsoft.com/office/drawing/2014/chart" uri="{C3380CC4-5D6E-409C-BE32-E72D297353CC}">
                  <c16:uniqueId val="{0000023D-0A6B-4376-88DD-AB3AC92F78D4}"/>
                </c:ext>
              </c:extLst>
            </c:dLbl>
            <c:dLbl>
              <c:idx val="281"/>
              <c:tx>
                <c:strRef>
                  <c:f>Frontend!$BS$291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{15D86984-5715-424E-9257-ABF38876056F}</c15:txfldGUID>
                      <c15:f>Frontend!$BS$291</c15:f>
                      <c15:dlblFieldTableCache>
                        <c:ptCount val="1"/>
                      </c15:dlblFieldTableCache>
                    </c15:dlblFTEntry>
                  </c15:dlblFieldTable>
                  <c15:showDataLabelsRange val="0"/>
                </c:ext>
                <c:ext xmlns:c16="http://schemas.microsoft.com/office/drawing/2014/chart" uri="{C3380CC4-5D6E-409C-BE32-E72D297353CC}">
                  <c16:uniqueId val="{0000023E-0A6B-4376-88DD-AB3AC92F78D4}"/>
                </c:ext>
              </c:extLst>
            </c:dLbl>
            <c:dLbl>
              <c:idx val="282"/>
              <c:tx>
                <c:strRef>
                  <c:f>Frontend!$BS$292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{ABE3949C-7BED-4D6A-9AFD-F0814ED196E7}</c15:txfldGUID>
                      <c15:f>Frontend!$BS$292</c15:f>
                      <c15:dlblFieldTableCache>
                        <c:ptCount val="1"/>
                      </c15:dlblFieldTableCache>
                    </c15:dlblFTEntry>
                  </c15:dlblFieldTable>
                  <c15:showDataLabelsRange val="0"/>
                </c:ext>
                <c:ext xmlns:c16="http://schemas.microsoft.com/office/drawing/2014/chart" uri="{C3380CC4-5D6E-409C-BE32-E72D297353CC}">
                  <c16:uniqueId val="{0000023F-0A6B-4376-88DD-AB3AC92F78D4}"/>
                </c:ext>
              </c:extLst>
            </c:dLbl>
            <c:dLbl>
              <c:idx val="283"/>
              <c:tx>
                <c:strRef>
                  <c:f>Frontend!$BS$293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{31928FDD-C9FE-4943-A5F3-8CA6046894B3}</c15:txfldGUID>
                      <c15:f>Frontend!$BS$293</c15:f>
                      <c15:dlblFieldTableCache>
                        <c:ptCount val="1"/>
                      </c15:dlblFieldTableCache>
                    </c15:dlblFTEntry>
                  </c15:dlblFieldTable>
                  <c15:showDataLabelsRange val="0"/>
                </c:ext>
                <c:ext xmlns:c16="http://schemas.microsoft.com/office/drawing/2014/chart" uri="{C3380CC4-5D6E-409C-BE32-E72D297353CC}">
                  <c16:uniqueId val="{00000240-0A6B-4376-88DD-AB3AC92F78D4}"/>
                </c:ext>
              </c:extLst>
            </c:dLbl>
            <c:dLbl>
              <c:idx val="284"/>
              <c:tx>
                <c:strRef>
                  <c:f>Frontend!$BS$294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{4CB51B82-B4FA-4818-9107-F920DA3A154C}</c15:txfldGUID>
                      <c15:f>Frontend!$BS$294</c15:f>
                      <c15:dlblFieldTableCache>
                        <c:ptCount val="1"/>
                      </c15:dlblFieldTableCache>
                    </c15:dlblFTEntry>
                  </c15:dlblFieldTable>
                  <c15:showDataLabelsRange val="0"/>
                </c:ext>
                <c:ext xmlns:c16="http://schemas.microsoft.com/office/drawing/2014/chart" uri="{C3380CC4-5D6E-409C-BE32-E72D297353CC}">
                  <c16:uniqueId val="{00000241-0A6B-4376-88DD-AB3AC92F78D4}"/>
                </c:ext>
              </c:extLst>
            </c:dLbl>
            <c:dLbl>
              <c:idx val="285"/>
              <c:tx>
                <c:strRef>
                  <c:f>Frontend!$BS$295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{568810DF-3933-4A58-A2BB-84095A70730A}</c15:txfldGUID>
                      <c15:f>Frontend!$BS$295</c15:f>
                      <c15:dlblFieldTableCache>
                        <c:ptCount val="1"/>
                      </c15:dlblFieldTableCache>
                    </c15:dlblFTEntry>
                  </c15:dlblFieldTable>
                  <c15:showDataLabelsRange val="0"/>
                </c:ext>
                <c:ext xmlns:c16="http://schemas.microsoft.com/office/drawing/2014/chart" uri="{C3380CC4-5D6E-409C-BE32-E72D297353CC}">
                  <c16:uniqueId val="{00000242-0A6B-4376-88DD-AB3AC92F78D4}"/>
                </c:ext>
              </c:extLst>
            </c:dLbl>
            <c:dLbl>
              <c:idx val="286"/>
              <c:tx>
                <c:strRef>
                  <c:f>Frontend!$BS$296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{13BB03B3-AEDE-4132-830E-0E47413DCA5C}</c15:txfldGUID>
                      <c15:f>Frontend!$BS$296</c15:f>
                      <c15:dlblFieldTableCache>
                        <c:ptCount val="1"/>
                      </c15:dlblFieldTableCache>
                    </c15:dlblFTEntry>
                  </c15:dlblFieldTable>
                  <c15:showDataLabelsRange val="0"/>
                </c:ext>
                <c:ext xmlns:c16="http://schemas.microsoft.com/office/drawing/2014/chart" uri="{C3380CC4-5D6E-409C-BE32-E72D297353CC}">
                  <c16:uniqueId val="{00000243-0A6B-4376-88DD-AB3AC92F78D4}"/>
                </c:ext>
              </c:extLst>
            </c:dLbl>
            <c:dLbl>
              <c:idx val="287"/>
              <c:tx>
                <c:strRef>
                  <c:f>Frontend!$BS$297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{36B77B74-4424-4B2E-9C14-EA35F2425D00}</c15:txfldGUID>
                      <c15:f>Frontend!$BS$297</c15:f>
                      <c15:dlblFieldTableCache>
                        <c:ptCount val="1"/>
                      </c15:dlblFieldTableCache>
                    </c15:dlblFTEntry>
                  </c15:dlblFieldTable>
                  <c15:showDataLabelsRange val="0"/>
                </c:ext>
                <c:ext xmlns:c16="http://schemas.microsoft.com/office/drawing/2014/chart" uri="{C3380CC4-5D6E-409C-BE32-E72D297353CC}">
                  <c16:uniqueId val="{00000244-0A6B-4376-88DD-AB3AC92F78D4}"/>
                </c:ext>
              </c:extLst>
            </c:dLbl>
            <c:dLbl>
              <c:idx val="288"/>
              <c:tx>
                <c:strRef>
                  <c:f>Frontend!$BS$298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{2771D442-F43A-4642-8455-6880753013F3}</c15:txfldGUID>
                      <c15:f>Frontend!$BS$298</c15:f>
                      <c15:dlblFieldTableCache>
                        <c:ptCount val="1"/>
                      </c15:dlblFieldTableCache>
                    </c15:dlblFTEntry>
                  </c15:dlblFieldTable>
                  <c15:showDataLabelsRange val="0"/>
                </c:ext>
                <c:ext xmlns:c16="http://schemas.microsoft.com/office/drawing/2014/chart" uri="{C3380CC4-5D6E-409C-BE32-E72D297353CC}">
                  <c16:uniqueId val="{00000245-0A6B-4376-88DD-AB3AC92F78D4}"/>
                </c:ext>
              </c:extLst>
            </c:dLbl>
            <c:dLbl>
              <c:idx val="289"/>
              <c:tx>
                <c:strRef>
                  <c:f>Frontend!$BS$299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{3304169B-93DE-4D21-B155-2D1E5F1AF3DA}</c15:txfldGUID>
                      <c15:f>Frontend!$BS$299</c15:f>
                      <c15:dlblFieldTableCache>
                        <c:ptCount val="1"/>
                      </c15:dlblFieldTableCache>
                    </c15:dlblFTEntry>
                  </c15:dlblFieldTable>
                  <c15:showDataLabelsRange val="0"/>
                </c:ext>
                <c:ext xmlns:c16="http://schemas.microsoft.com/office/drawing/2014/chart" uri="{C3380CC4-5D6E-409C-BE32-E72D297353CC}">
                  <c16:uniqueId val="{00000246-0A6B-4376-88DD-AB3AC92F78D4}"/>
                </c:ext>
              </c:extLst>
            </c:dLbl>
            <c:dLbl>
              <c:idx val="290"/>
              <c:tx>
                <c:strRef>
                  <c:f>Frontend!$BS$300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{9D0A8890-95A4-4DA6-BB34-A90AF7708986}</c15:txfldGUID>
                      <c15:f>Frontend!$BS$300</c15:f>
                      <c15:dlblFieldTableCache>
                        <c:ptCount val="1"/>
                      </c15:dlblFieldTableCache>
                    </c15:dlblFTEntry>
                  </c15:dlblFieldTable>
                  <c15:showDataLabelsRange val="0"/>
                </c:ext>
                <c:ext xmlns:c16="http://schemas.microsoft.com/office/drawing/2014/chart" uri="{C3380CC4-5D6E-409C-BE32-E72D297353CC}">
                  <c16:uniqueId val="{00000247-0A6B-4376-88DD-AB3AC92F78D4}"/>
                </c:ext>
              </c:extLst>
            </c:dLbl>
            <c:dLbl>
              <c:idx val="291"/>
              <c:tx>
                <c:strRef>
                  <c:f>Frontend!$BS$301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{7D1D5013-A96B-4AB5-B168-567864426ED6}</c15:txfldGUID>
                      <c15:f>Frontend!$BS$301</c15:f>
                      <c15:dlblFieldTableCache>
                        <c:ptCount val="1"/>
                      </c15:dlblFieldTableCache>
                    </c15:dlblFTEntry>
                  </c15:dlblFieldTable>
                  <c15:showDataLabelsRange val="0"/>
                </c:ext>
                <c:ext xmlns:c16="http://schemas.microsoft.com/office/drawing/2014/chart" uri="{C3380CC4-5D6E-409C-BE32-E72D297353CC}">
                  <c16:uniqueId val="{00000248-0A6B-4376-88DD-AB3AC92F78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Frontend!$BL$10:$BL$301</c:f>
              <c:numCache>
                <c:formatCode>d\-mmm\-yy</c:formatCode>
                <c:ptCount val="292"/>
                <c:pt idx="0">
                  <c:v>44705</c:v>
                </c:pt>
                <c:pt idx="1">
                  <c:v>44705</c:v>
                </c:pt>
                <c:pt idx="2">
                  <c:v>44706</c:v>
                </c:pt>
                <c:pt idx="3">
                  <c:v>44707</c:v>
                </c:pt>
                <c:pt idx="4">
                  <c:v>44708</c:v>
                </c:pt>
                <c:pt idx="5">
                  <c:v>44711</c:v>
                </c:pt>
                <c:pt idx="6">
                  <c:v>44712</c:v>
                </c:pt>
                <c:pt idx="7">
                  <c:v>44713</c:v>
                </c:pt>
                <c:pt idx="8">
                  <c:v>44714</c:v>
                </c:pt>
                <c:pt idx="9">
                  <c:v>44715</c:v>
                </c:pt>
                <c:pt idx="10">
                  <c:v>44718</c:v>
                </c:pt>
                <c:pt idx="11">
                  <c:v>44719</c:v>
                </c:pt>
                <c:pt idx="12">
                  <c:v>44720</c:v>
                </c:pt>
                <c:pt idx="13">
                  <c:v>44721</c:v>
                </c:pt>
                <c:pt idx="14">
                  <c:v>44722</c:v>
                </c:pt>
                <c:pt idx="15">
                  <c:v>44725</c:v>
                </c:pt>
                <c:pt idx="16">
                  <c:v>44726</c:v>
                </c:pt>
                <c:pt idx="17">
                  <c:v>44727</c:v>
                </c:pt>
                <c:pt idx="18">
                  <c:v>44729</c:v>
                </c:pt>
                <c:pt idx="19">
                  <c:v>44732</c:v>
                </c:pt>
                <c:pt idx="20">
                  <c:v>44733</c:v>
                </c:pt>
                <c:pt idx="21">
                  <c:v>44734</c:v>
                </c:pt>
                <c:pt idx="22">
                  <c:v>44735</c:v>
                </c:pt>
                <c:pt idx="23">
                  <c:v>44736</c:v>
                </c:pt>
                <c:pt idx="24">
                  <c:v>44739</c:v>
                </c:pt>
                <c:pt idx="25">
                  <c:v>44740</c:v>
                </c:pt>
                <c:pt idx="26">
                  <c:v>44741</c:v>
                </c:pt>
                <c:pt idx="27">
                  <c:v>44742</c:v>
                </c:pt>
                <c:pt idx="28">
                  <c:v>44743</c:v>
                </c:pt>
                <c:pt idx="29">
                  <c:v>44746</c:v>
                </c:pt>
                <c:pt idx="30">
                  <c:v>44747</c:v>
                </c:pt>
                <c:pt idx="31">
                  <c:v>44748</c:v>
                </c:pt>
                <c:pt idx="32">
                  <c:v>44749</c:v>
                </c:pt>
                <c:pt idx="33">
                  <c:v>44750</c:v>
                </c:pt>
                <c:pt idx="34">
                  <c:v>44753</c:v>
                </c:pt>
                <c:pt idx="35">
                  <c:v>44754</c:v>
                </c:pt>
                <c:pt idx="36">
                  <c:v>44755</c:v>
                </c:pt>
                <c:pt idx="37">
                  <c:v>44756</c:v>
                </c:pt>
                <c:pt idx="38">
                  <c:v>44757</c:v>
                </c:pt>
                <c:pt idx="39">
                  <c:v>44760</c:v>
                </c:pt>
                <c:pt idx="40">
                  <c:v>44761</c:v>
                </c:pt>
                <c:pt idx="41">
                  <c:v>44762</c:v>
                </c:pt>
                <c:pt idx="42">
                  <c:v>44763</c:v>
                </c:pt>
                <c:pt idx="43">
                  <c:v>44764</c:v>
                </c:pt>
                <c:pt idx="44">
                  <c:v>44767</c:v>
                </c:pt>
                <c:pt idx="45">
                  <c:v>44768</c:v>
                </c:pt>
                <c:pt idx="46">
                  <c:v>44769</c:v>
                </c:pt>
                <c:pt idx="47">
                  <c:v>44770</c:v>
                </c:pt>
                <c:pt idx="48">
                  <c:v>44771</c:v>
                </c:pt>
                <c:pt idx="49">
                  <c:v>44774</c:v>
                </c:pt>
                <c:pt idx="50">
                  <c:v>44775</c:v>
                </c:pt>
                <c:pt idx="51">
                  <c:v>44776</c:v>
                </c:pt>
                <c:pt idx="52">
                  <c:v>44777</c:v>
                </c:pt>
                <c:pt idx="53">
                  <c:v>44778</c:v>
                </c:pt>
                <c:pt idx="54">
                  <c:v>44781</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44820</c:v>
                </c:pt>
                <c:pt idx="83">
                  <c:v>44823</c:v>
                </c:pt>
                <c:pt idx="84">
                  <c:v>44824</c:v>
                </c:pt>
                <c:pt idx="85">
                  <c:v>44825</c:v>
                </c:pt>
                <c:pt idx="86">
                  <c:v>44826</c:v>
                </c:pt>
                <c:pt idx="87">
                  <c:v>44827</c:v>
                </c:pt>
                <c:pt idx="88">
                  <c:v>44830</c:v>
                </c:pt>
                <c:pt idx="89">
                  <c:v>44831</c:v>
                </c:pt>
                <c:pt idx="90">
                  <c:v>44832</c:v>
                </c:pt>
                <c:pt idx="91">
                  <c:v>44833</c:v>
                </c:pt>
                <c:pt idx="92">
                  <c:v>44834</c:v>
                </c:pt>
                <c:pt idx="93">
                  <c:v>44837</c:v>
                </c:pt>
                <c:pt idx="94">
                  <c:v>44838</c:v>
                </c:pt>
                <c:pt idx="95">
                  <c:v>44839</c:v>
                </c:pt>
                <c:pt idx="96">
                  <c:v>44840</c:v>
                </c:pt>
                <c:pt idx="97">
                  <c:v>44841</c:v>
                </c:pt>
                <c:pt idx="98">
                  <c:v>44844</c:v>
                </c:pt>
                <c:pt idx="99">
                  <c:v>44845</c:v>
                </c:pt>
                <c:pt idx="100">
                  <c:v>44846</c:v>
                </c:pt>
                <c:pt idx="101">
                  <c:v>44847</c:v>
                </c:pt>
                <c:pt idx="102">
                  <c:v>44848</c:v>
                </c:pt>
                <c:pt idx="103">
                  <c:v>44851</c:v>
                </c:pt>
                <c:pt idx="104">
                  <c:v>44852</c:v>
                </c:pt>
                <c:pt idx="105">
                  <c:v>44853</c:v>
                </c:pt>
                <c:pt idx="106">
                  <c:v>44854</c:v>
                </c:pt>
                <c:pt idx="107">
                  <c:v>44855</c:v>
                </c:pt>
                <c:pt idx="108">
                  <c:v>44858</c:v>
                </c:pt>
                <c:pt idx="109">
                  <c:v>44859</c:v>
                </c:pt>
                <c:pt idx="110">
                  <c:v>44860</c:v>
                </c:pt>
                <c:pt idx="111">
                  <c:v>44861</c:v>
                </c:pt>
                <c:pt idx="112">
                  <c:v>44862</c:v>
                </c:pt>
                <c:pt idx="113">
                  <c:v>44865</c:v>
                </c:pt>
                <c:pt idx="114">
                  <c:v>44866</c:v>
                </c:pt>
                <c:pt idx="115">
                  <c:v>44867</c:v>
                </c:pt>
                <c:pt idx="116">
                  <c:v>44868</c:v>
                </c:pt>
                <c:pt idx="117">
                  <c:v>44869</c:v>
                </c:pt>
                <c:pt idx="118">
                  <c:v>44872</c:v>
                </c:pt>
                <c:pt idx="119">
                  <c:v>44873</c:v>
                </c:pt>
                <c:pt idx="120">
                  <c:v>44874</c:v>
                </c:pt>
                <c:pt idx="121">
                  <c:v>44875</c:v>
                </c:pt>
                <c:pt idx="122">
                  <c:v>44876</c:v>
                </c:pt>
                <c:pt idx="123">
                  <c:v>44879</c:v>
                </c:pt>
                <c:pt idx="124">
                  <c:v>44880</c:v>
                </c:pt>
                <c:pt idx="125">
                  <c:v>44881</c:v>
                </c:pt>
                <c:pt idx="126">
                  <c:v>44882</c:v>
                </c:pt>
                <c:pt idx="127">
                  <c:v>44883</c:v>
                </c:pt>
                <c:pt idx="128">
                  <c:v>44886</c:v>
                </c:pt>
                <c:pt idx="129">
                  <c:v>44887</c:v>
                </c:pt>
                <c:pt idx="130">
                  <c:v>44888</c:v>
                </c:pt>
                <c:pt idx="131">
                  <c:v>44889</c:v>
                </c:pt>
                <c:pt idx="132">
                  <c:v>44890</c:v>
                </c:pt>
                <c:pt idx="133">
                  <c:v>44893</c:v>
                </c:pt>
                <c:pt idx="134">
                  <c:v>44894</c:v>
                </c:pt>
                <c:pt idx="135">
                  <c:v>44895</c:v>
                </c:pt>
                <c:pt idx="136">
                  <c:v>44896</c:v>
                </c:pt>
                <c:pt idx="137">
                  <c:v>44897</c:v>
                </c:pt>
                <c:pt idx="138">
                  <c:v>44900</c:v>
                </c:pt>
                <c:pt idx="139">
                  <c:v>44901</c:v>
                </c:pt>
                <c:pt idx="140">
                  <c:v>44902</c:v>
                </c:pt>
                <c:pt idx="141">
                  <c:v>44903</c:v>
                </c:pt>
                <c:pt idx="142">
                  <c:v>44904</c:v>
                </c:pt>
                <c:pt idx="143">
                  <c:v>44907</c:v>
                </c:pt>
                <c:pt idx="144">
                  <c:v>44908</c:v>
                </c:pt>
                <c:pt idx="145">
                  <c:v>44909</c:v>
                </c:pt>
                <c:pt idx="146">
                  <c:v>44910</c:v>
                </c:pt>
                <c:pt idx="147">
                  <c:v>44914</c:v>
                </c:pt>
                <c:pt idx="148">
                  <c:v>44915</c:v>
                </c:pt>
                <c:pt idx="149">
                  <c:v>44916</c:v>
                </c:pt>
                <c:pt idx="150">
                  <c:v>44917</c:v>
                </c:pt>
                <c:pt idx="151">
                  <c:v>44918</c:v>
                </c:pt>
                <c:pt idx="152">
                  <c:v>44923</c:v>
                </c:pt>
                <c:pt idx="153">
                  <c:v>44924</c:v>
                </c:pt>
                <c:pt idx="154">
                  <c:v>44925</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44963</c:v>
                </c:pt>
                <c:pt idx="180">
                  <c:v>44964</c:v>
                </c:pt>
                <c:pt idx="181">
                  <c:v>44965</c:v>
                </c:pt>
                <c:pt idx="182">
                  <c:v>44966</c:v>
                </c:pt>
                <c:pt idx="183">
                  <c:v>44967</c:v>
                </c:pt>
                <c:pt idx="184">
                  <c:v>44970</c:v>
                </c:pt>
                <c:pt idx="185">
                  <c:v>44971</c:v>
                </c:pt>
                <c:pt idx="186">
                  <c:v>44972</c:v>
                </c:pt>
                <c:pt idx="187">
                  <c:v>44973</c:v>
                </c:pt>
                <c:pt idx="188">
                  <c:v>44974</c:v>
                </c:pt>
                <c:pt idx="189">
                  <c:v>44977</c:v>
                </c:pt>
                <c:pt idx="190">
                  <c:v>44978</c:v>
                </c:pt>
                <c:pt idx="191">
                  <c:v>44979</c:v>
                </c:pt>
                <c:pt idx="192">
                  <c:v>44980</c:v>
                </c:pt>
                <c:pt idx="193">
                  <c:v>44981</c:v>
                </c:pt>
                <c:pt idx="194">
                  <c:v>44984</c:v>
                </c:pt>
                <c:pt idx="195">
                  <c:v>44985</c:v>
                </c:pt>
                <c:pt idx="196">
                  <c:v>44986</c:v>
                </c:pt>
                <c:pt idx="197">
                  <c:v>44987</c:v>
                </c:pt>
                <c:pt idx="198">
                  <c:v>44988</c:v>
                </c:pt>
                <c:pt idx="199">
                  <c:v>44991</c:v>
                </c:pt>
                <c:pt idx="200">
                  <c:v>44992</c:v>
                </c:pt>
                <c:pt idx="201">
                  <c:v>44993</c:v>
                </c:pt>
                <c:pt idx="202">
                  <c:v>44994</c:v>
                </c:pt>
                <c:pt idx="203">
                  <c:v>44995</c:v>
                </c:pt>
                <c:pt idx="204">
                  <c:v>44998</c:v>
                </c:pt>
                <c:pt idx="205">
                  <c:v>44999</c:v>
                </c:pt>
                <c:pt idx="206">
                  <c:v>45000</c:v>
                </c:pt>
                <c:pt idx="207">
                  <c:v>45001</c:v>
                </c:pt>
                <c:pt idx="208">
                  <c:v>45002</c:v>
                </c:pt>
                <c:pt idx="209">
                  <c:v>45005</c:v>
                </c:pt>
                <c:pt idx="210">
                  <c:v>45007</c:v>
                </c:pt>
                <c:pt idx="211">
                  <c:v>45008</c:v>
                </c:pt>
                <c:pt idx="212">
                  <c:v>45009</c:v>
                </c:pt>
                <c:pt idx="213">
                  <c:v>45012</c:v>
                </c:pt>
                <c:pt idx="214">
                  <c:v>45013</c:v>
                </c:pt>
                <c:pt idx="215">
                  <c:v>45014</c:v>
                </c:pt>
                <c:pt idx="216">
                  <c:v>45015</c:v>
                </c:pt>
                <c:pt idx="217">
                  <c:v>45016</c:v>
                </c:pt>
                <c:pt idx="218">
                  <c:v>45019</c:v>
                </c:pt>
                <c:pt idx="219">
                  <c:v>45020</c:v>
                </c:pt>
                <c:pt idx="220">
                  <c:v>45021</c:v>
                </c:pt>
                <c:pt idx="221">
                  <c:v>45022</c:v>
                </c:pt>
                <c:pt idx="222">
                  <c:v>45027</c:v>
                </c:pt>
                <c:pt idx="223">
                  <c:v>45028</c:v>
                </c:pt>
                <c:pt idx="224">
                  <c:v>45029</c:v>
                </c:pt>
                <c:pt idx="225">
                  <c:v>45030</c:v>
                </c:pt>
                <c:pt idx="226">
                  <c:v>45033</c:v>
                </c:pt>
                <c:pt idx="227">
                  <c:v>45034</c:v>
                </c:pt>
                <c:pt idx="228">
                  <c:v>45035</c:v>
                </c:pt>
                <c:pt idx="229">
                  <c:v>45036</c:v>
                </c:pt>
                <c:pt idx="230">
                  <c:v>45037</c:v>
                </c:pt>
                <c:pt idx="231">
                  <c:v>45040</c:v>
                </c:pt>
                <c:pt idx="232">
                  <c:v>45041</c:v>
                </c:pt>
                <c:pt idx="233">
                  <c:v>45042</c:v>
                </c:pt>
                <c:pt idx="234">
                  <c:v>45044</c:v>
                </c:pt>
                <c:pt idx="235">
                  <c:v>45048</c:v>
                </c:pt>
                <c:pt idx="236">
                  <c:v>45049</c:v>
                </c:pt>
                <c:pt idx="237">
                  <c:v>45050</c:v>
                </c:pt>
                <c:pt idx="238">
                  <c:v>45051</c:v>
                </c:pt>
                <c:pt idx="239">
                  <c:v>45054</c:v>
                </c:pt>
                <c:pt idx="240">
                  <c:v>45055</c:v>
                </c:pt>
                <c:pt idx="241">
                  <c:v>45056</c:v>
                </c:pt>
                <c:pt idx="242">
                  <c:v>45057</c:v>
                </c:pt>
                <c:pt idx="243">
                  <c:v>45058</c:v>
                </c:pt>
                <c:pt idx="244">
                  <c:v>45061</c:v>
                </c:pt>
                <c:pt idx="245">
                  <c:v>45062</c:v>
                </c:pt>
                <c:pt idx="246">
                  <c:v>45063</c:v>
                </c:pt>
                <c:pt idx="247">
                  <c:v>45064</c:v>
                </c:pt>
                <c:pt idx="248">
                  <c:v>45065</c:v>
                </c:pt>
                <c:pt idx="249">
                  <c:v>45068</c:v>
                </c:pt>
                <c:pt idx="250">
                  <c:v>45069</c:v>
                </c:pt>
                <c:pt idx="251">
                  <c:v>45070</c:v>
                </c:pt>
                <c:pt idx="252">
                  <c:v>45071</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cat>
          <c:val>
            <c:numRef>
              <c:f>Frontend!$BP$10:$BP$301</c:f>
              <c:numCache>
                <c:formatCode>#,##0.00</c:formatCode>
                <c:ptCount val="29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14.26</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val>
          <c:smooth val="0"/>
          <c:extLst>
            <c:ext xmlns:c16="http://schemas.microsoft.com/office/drawing/2014/chart" uri="{C3380CC4-5D6E-409C-BE32-E72D297353CC}">
              <c16:uniqueId val="{00000003-9E7E-44E2-8374-D52211F03D4F}"/>
            </c:ext>
          </c:extLst>
        </c:ser>
        <c:dLbls>
          <c:dLblPos val="r"/>
          <c:showLegendKey val="0"/>
          <c:showVal val="1"/>
          <c:showCatName val="0"/>
          <c:showSerName val="0"/>
          <c:showPercent val="0"/>
          <c:showBubbleSize val="0"/>
        </c:dLbls>
        <c:smooth val="0"/>
        <c:axId val="1248017711"/>
        <c:axId val="1248018127"/>
      </c:lineChart>
      <c:dateAx>
        <c:axId val="1248017711"/>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48018127"/>
        <c:crosses val="autoZero"/>
        <c:auto val="1"/>
        <c:lblOffset val="100"/>
        <c:baseTimeUnit val="days"/>
      </c:dateAx>
      <c:valAx>
        <c:axId val="1248018127"/>
        <c:scaling>
          <c:orientation val="minMax"/>
        </c:scaling>
        <c:delete val="0"/>
        <c:axPos val="l"/>
        <c:majorGridlines>
          <c:spPr>
            <a:ln w="9525" cap="flat" cmpd="sng" algn="ctr">
              <a:solidFill>
                <a:schemeClr val="bg1">
                  <a:lumMod val="95000"/>
                </a:schemeClr>
              </a:solidFill>
              <a:prstDash val="sysDash"/>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48017711"/>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Frontend!$BR$6</c:f>
          <c:strCache>
            <c:ptCount val="1"/>
            <c:pt idx="0">
              <c:v>NTC SJ Equity (ZAR): May22 - May23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rgbClr val="44546A"/>
              </a:solidFill>
              <a:latin typeface="+mn-lt"/>
              <a:ea typeface="+mn-ea"/>
              <a:cs typeface="+mn-cs"/>
            </a:defRPr>
          </a:pPr>
          <a:endParaRPr lang="en-US"/>
        </a:p>
      </c:txPr>
    </c:title>
    <c:autoTitleDeleted val="0"/>
    <c:plotArea>
      <c:layout>
        <c:manualLayout>
          <c:layoutTarget val="inner"/>
          <c:xMode val="edge"/>
          <c:yMode val="edge"/>
          <c:x val="0.11159705237246145"/>
          <c:y val="0.14924962194295249"/>
          <c:w val="0.69318009205010567"/>
          <c:h val="0.51785958874346005"/>
        </c:manualLayout>
      </c:layout>
      <c:lineChart>
        <c:grouping val="standard"/>
        <c:varyColors val="0"/>
        <c:ser>
          <c:idx val="0"/>
          <c:order val="0"/>
          <c:tx>
            <c:strRef>
              <c:f>Frontend!$BO$9</c:f>
              <c:strCache>
                <c:ptCount val="1"/>
                <c:pt idx="0">
                  <c:v>ZAR Price (1 Yr Return)</c:v>
                </c:pt>
              </c:strCache>
            </c:strRef>
          </c:tx>
          <c:spPr>
            <a:ln w="19050" cap="rnd">
              <a:solidFill>
                <a:srgbClr val="44546A"/>
              </a:solidFill>
              <a:round/>
            </a:ln>
            <a:effectLst/>
          </c:spPr>
          <c:marker>
            <c:symbol val="none"/>
          </c:marker>
          <c:dPt>
            <c:idx val="58"/>
            <c:marker>
              <c:symbol val="none"/>
            </c:marker>
            <c:bubble3D val="0"/>
            <c:extLst>
              <c:ext xmlns:c16="http://schemas.microsoft.com/office/drawing/2014/chart" uri="{C3380CC4-5D6E-409C-BE32-E72D297353CC}">
                <c16:uniqueId val="{00000000-504C-421D-AE36-2B15419FE06E}"/>
              </c:ext>
            </c:extLst>
          </c:dPt>
          <c:dLbls>
            <c:delete val="1"/>
          </c:dLbls>
          <c:cat>
            <c:numRef>
              <c:f>Frontend!$BL$10:$BL$301</c:f>
              <c:numCache>
                <c:formatCode>d\-mmm\-yy</c:formatCode>
                <c:ptCount val="292"/>
                <c:pt idx="0">
                  <c:v>44705</c:v>
                </c:pt>
                <c:pt idx="1">
                  <c:v>44705</c:v>
                </c:pt>
                <c:pt idx="2">
                  <c:v>44706</c:v>
                </c:pt>
                <c:pt idx="3">
                  <c:v>44707</c:v>
                </c:pt>
                <c:pt idx="4">
                  <c:v>44708</c:v>
                </c:pt>
                <c:pt idx="5">
                  <c:v>44711</c:v>
                </c:pt>
                <c:pt idx="6">
                  <c:v>44712</c:v>
                </c:pt>
                <c:pt idx="7">
                  <c:v>44713</c:v>
                </c:pt>
                <c:pt idx="8">
                  <c:v>44714</c:v>
                </c:pt>
                <c:pt idx="9">
                  <c:v>44715</c:v>
                </c:pt>
                <c:pt idx="10">
                  <c:v>44718</c:v>
                </c:pt>
                <c:pt idx="11">
                  <c:v>44719</c:v>
                </c:pt>
                <c:pt idx="12">
                  <c:v>44720</c:v>
                </c:pt>
                <c:pt idx="13">
                  <c:v>44721</c:v>
                </c:pt>
                <c:pt idx="14">
                  <c:v>44722</c:v>
                </c:pt>
                <c:pt idx="15">
                  <c:v>44725</c:v>
                </c:pt>
                <c:pt idx="16">
                  <c:v>44726</c:v>
                </c:pt>
                <c:pt idx="17">
                  <c:v>44727</c:v>
                </c:pt>
                <c:pt idx="18">
                  <c:v>44729</c:v>
                </c:pt>
                <c:pt idx="19">
                  <c:v>44732</c:v>
                </c:pt>
                <c:pt idx="20">
                  <c:v>44733</c:v>
                </c:pt>
                <c:pt idx="21">
                  <c:v>44734</c:v>
                </c:pt>
                <c:pt idx="22">
                  <c:v>44735</c:v>
                </c:pt>
                <c:pt idx="23">
                  <c:v>44736</c:v>
                </c:pt>
                <c:pt idx="24">
                  <c:v>44739</c:v>
                </c:pt>
                <c:pt idx="25">
                  <c:v>44740</c:v>
                </c:pt>
                <c:pt idx="26">
                  <c:v>44741</c:v>
                </c:pt>
                <c:pt idx="27">
                  <c:v>44742</c:v>
                </c:pt>
                <c:pt idx="28">
                  <c:v>44743</c:v>
                </c:pt>
                <c:pt idx="29">
                  <c:v>44746</c:v>
                </c:pt>
                <c:pt idx="30">
                  <c:v>44747</c:v>
                </c:pt>
                <c:pt idx="31">
                  <c:v>44748</c:v>
                </c:pt>
                <c:pt idx="32">
                  <c:v>44749</c:v>
                </c:pt>
                <c:pt idx="33">
                  <c:v>44750</c:v>
                </c:pt>
                <c:pt idx="34">
                  <c:v>44753</c:v>
                </c:pt>
                <c:pt idx="35">
                  <c:v>44754</c:v>
                </c:pt>
                <c:pt idx="36">
                  <c:v>44755</c:v>
                </c:pt>
                <c:pt idx="37">
                  <c:v>44756</c:v>
                </c:pt>
                <c:pt idx="38">
                  <c:v>44757</c:v>
                </c:pt>
                <c:pt idx="39">
                  <c:v>44760</c:v>
                </c:pt>
                <c:pt idx="40">
                  <c:v>44761</c:v>
                </c:pt>
                <c:pt idx="41">
                  <c:v>44762</c:v>
                </c:pt>
                <c:pt idx="42">
                  <c:v>44763</c:v>
                </c:pt>
                <c:pt idx="43">
                  <c:v>44764</c:v>
                </c:pt>
                <c:pt idx="44">
                  <c:v>44767</c:v>
                </c:pt>
                <c:pt idx="45">
                  <c:v>44768</c:v>
                </c:pt>
                <c:pt idx="46">
                  <c:v>44769</c:v>
                </c:pt>
                <c:pt idx="47">
                  <c:v>44770</c:v>
                </c:pt>
                <c:pt idx="48">
                  <c:v>44771</c:v>
                </c:pt>
                <c:pt idx="49">
                  <c:v>44774</c:v>
                </c:pt>
                <c:pt idx="50">
                  <c:v>44775</c:v>
                </c:pt>
                <c:pt idx="51">
                  <c:v>44776</c:v>
                </c:pt>
                <c:pt idx="52">
                  <c:v>44777</c:v>
                </c:pt>
                <c:pt idx="53">
                  <c:v>44778</c:v>
                </c:pt>
                <c:pt idx="54">
                  <c:v>44781</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44820</c:v>
                </c:pt>
                <c:pt idx="83">
                  <c:v>44823</c:v>
                </c:pt>
                <c:pt idx="84">
                  <c:v>44824</c:v>
                </c:pt>
                <c:pt idx="85">
                  <c:v>44825</c:v>
                </c:pt>
                <c:pt idx="86">
                  <c:v>44826</c:v>
                </c:pt>
                <c:pt idx="87">
                  <c:v>44827</c:v>
                </c:pt>
                <c:pt idx="88">
                  <c:v>44830</c:v>
                </c:pt>
                <c:pt idx="89">
                  <c:v>44831</c:v>
                </c:pt>
                <c:pt idx="90">
                  <c:v>44832</c:v>
                </c:pt>
                <c:pt idx="91">
                  <c:v>44833</c:v>
                </c:pt>
                <c:pt idx="92">
                  <c:v>44834</c:v>
                </c:pt>
                <c:pt idx="93">
                  <c:v>44837</c:v>
                </c:pt>
                <c:pt idx="94">
                  <c:v>44838</c:v>
                </c:pt>
                <c:pt idx="95">
                  <c:v>44839</c:v>
                </c:pt>
                <c:pt idx="96">
                  <c:v>44840</c:v>
                </c:pt>
                <c:pt idx="97">
                  <c:v>44841</c:v>
                </c:pt>
                <c:pt idx="98">
                  <c:v>44844</c:v>
                </c:pt>
                <c:pt idx="99">
                  <c:v>44845</c:v>
                </c:pt>
                <c:pt idx="100">
                  <c:v>44846</c:v>
                </c:pt>
                <c:pt idx="101">
                  <c:v>44847</c:v>
                </c:pt>
                <c:pt idx="102">
                  <c:v>44848</c:v>
                </c:pt>
                <c:pt idx="103">
                  <c:v>44851</c:v>
                </c:pt>
                <c:pt idx="104">
                  <c:v>44852</c:v>
                </c:pt>
                <c:pt idx="105">
                  <c:v>44853</c:v>
                </c:pt>
                <c:pt idx="106">
                  <c:v>44854</c:v>
                </c:pt>
                <c:pt idx="107">
                  <c:v>44855</c:v>
                </c:pt>
                <c:pt idx="108">
                  <c:v>44858</c:v>
                </c:pt>
                <c:pt idx="109">
                  <c:v>44859</c:v>
                </c:pt>
                <c:pt idx="110">
                  <c:v>44860</c:v>
                </c:pt>
                <c:pt idx="111">
                  <c:v>44861</c:v>
                </c:pt>
                <c:pt idx="112">
                  <c:v>44862</c:v>
                </c:pt>
                <c:pt idx="113">
                  <c:v>44865</c:v>
                </c:pt>
                <c:pt idx="114">
                  <c:v>44866</c:v>
                </c:pt>
                <c:pt idx="115">
                  <c:v>44867</c:v>
                </c:pt>
                <c:pt idx="116">
                  <c:v>44868</c:v>
                </c:pt>
                <c:pt idx="117">
                  <c:v>44869</c:v>
                </c:pt>
                <c:pt idx="118">
                  <c:v>44872</c:v>
                </c:pt>
                <c:pt idx="119">
                  <c:v>44873</c:v>
                </c:pt>
                <c:pt idx="120">
                  <c:v>44874</c:v>
                </c:pt>
                <c:pt idx="121">
                  <c:v>44875</c:v>
                </c:pt>
                <c:pt idx="122">
                  <c:v>44876</c:v>
                </c:pt>
                <c:pt idx="123">
                  <c:v>44879</c:v>
                </c:pt>
                <c:pt idx="124">
                  <c:v>44880</c:v>
                </c:pt>
                <c:pt idx="125">
                  <c:v>44881</c:v>
                </c:pt>
                <c:pt idx="126">
                  <c:v>44882</c:v>
                </c:pt>
                <c:pt idx="127">
                  <c:v>44883</c:v>
                </c:pt>
                <c:pt idx="128">
                  <c:v>44886</c:v>
                </c:pt>
                <c:pt idx="129">
                  <c:v>44887</c:v>
                </c:pt>
                <c:pt idx="130">
                  <c:v>44888</c:v>
                </c:pt>
                <c:pt idx="131">
                  <c:v>44889</c:v>
                </c:pt>
                <c:pt idx="132">
                  <c:v>44890</c:v>
                </c:pt>
                <c:pt idx="133">
                  <c:v>44893</c:v>
                </c:pt>
                <c:pt idx="134">
                  <c:v>44894</c:v>
                </c:pt>
                <c:pt idx="135">
                  <c:v>44895</c:v>
                </c:pt>
                <c:pt idx="136">
                  <c:v>44896</c:v>
                </c:pt>
                <c:pt idx="137">
                  <c:v>44897</c:v>
                </c:pt>
                <c:pt idx="138">
                  <c:v>44900</c:v>
                </c:pt>
                <c:pt idx="139">
                  <c:v>44901</c:v>
                </c:pt>
                <c:pt idx="140">
                  <c:v>44902</c:v>
                </c:pt>
                <c:pt idx="141">
                  <c:v>44903</c:v>
                </c:pt>
                <c:pt idx="142">
                  <c:v>44904</c:v>
                </c:pt>
                <c:pt idx="143">
                  <c:v>44907</c:v>
                </c:pt>
                <c:pt idx="144">
                  <c:v>44908</c:v>
                </c:pt>
                <c:pt idx="145">
                  <c:v>44909</c:v>
                </c:pt>
                <c:pt idx="146">
                  <c:v>44910</c:v>
                </c:pt>
                <c:pt idx="147">
                  <c:v>44914</c:v>
                </c:pt>
                <c:pt idx="148">
                  <c:v>44915</c:v>
                </c:pt>
                <c:pt idx="149">
                  <c:v>44916</c:v>
                </c:pt>
                <c:pt idx="150">
                  <c:v>44917</c:v>
                </c:pt>
                <c:pt idx="151">
                  <c:v>44918</c:v>
                </c:pt>
                <c:pt idx="152">
                  <c:v>44923</c:v>
                </c:pt>
                <c:pt idx="153">
                  <c:v>44924</c:v>
                </c:pt>
                <c:pt idx="154">
                  <c:v>44925</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44963</c:v>
                </c:pt>
                <c:pt idx="180">
                  <c:v>44964</c:v>
                </c:pt>
                <c:pt idx="181">
                  <c:v>44965</c:v>
                </c:pt>
                <c:pt idx="182">
                  <c:v>44966</c:v>
                </c:pt>
                <c:pt idx="183">
                  <c:v>44967</c:v>
                </c:pt>
                <c:pt idx="184">
                  <c:v>44970</c:v>
                </c:pt>
                <c:pt idx="185">
                  <c:v>44971</c:v>
                </c:pt>
                <c:pt idx="186">
                  <c:v>44972</c:v>
                </c:pt>
                <c:pt idx="187">
                  <c:v>44973</c:v>
                </c:pt>
                <c:pt idx="188">
                  <c:v>44974</c:v>
                </c:pt>
                <c:pt idx="189">
                  <c:v>44977</c:v>
                </c:pt>
                <c:pt idx="190">
                  <c:v>44978</c:v>
                </c:pt>
                <c:pt idx="191">
                  <c:v>44979</c:v>
                </c:pt>
                <c:pt idx="192">
                  <c:v>44980</c:v>
                </c:pt>
                <c:pt idx="193">
                  <c:v>44981</c:v>
                </c:pt>
                <c:pt idx="194">
                  <c:v>44984</c:v>
                </c:pt>
                <c:pt idx="195">
                  <c:v>44985</c:v>
                </c:pt>
                <c:pt idx="196">
                  <c:v>44986</c:v>
                </c:pt>
                <c:pt idx="197">
                  <c:v>44987</c:v>
                </c:pt>
                <c:pt idx="198">
                  <c:v>44988</c:v>
                </c:pt>
                <c:pt idx="199">
                  <c:v>44991</c:v>
                </c:pt>
                <c:pt idx="200">
                  <c:v>44992</c:v>
                </c:pt>
                <c:pt idx="201">
                  <c:v>44993</c:v>
                </c:pt>
                <c:pt idx="202">
                  <c:v>44994</c:v>
                </c:pt>
                <c:pt idx="203">
                  <c:v>44995</c:v>
                </c:pt>
                <c:pt idx="204">
                  <c:v>44998</c:v>
                </c:pt>
                <c:pt idx="205">
                  <c:v>44999</c:v>
                </c:pt>
                <c:pt idx="206">
                  <c:v>45000</c:v>
                </c:pt>
                <c:pt idx="207">
                  <c:v>45001</c:v>
                </c:pt>
                <c:pt idx="208">
                  <c:v>45002</c:v>
                </c:pt>
                <c:pt idx="209">
                  <c:v>45005</c:v>
                </c:pt>
                <c:pt idx="210">
                  <c:v>45007</c:v>
                </c:pt>
                <c:pt idx="211">
                  <c:v>45008</c:v>
                </c:pt>
                <c:pt idx="212">
                  <c:v>45009</c:v>
                </c:pt>
                <c:pt idx="213">
                  <c:v>45012</c:v>
                </c:pt>
                <c:pt idx="214">
                  <c:v>45013</c:v>
                </c:pt>
                <c:pt idx="215">
                  <c:v>45014</c:v>
                </c:pt>
                <c:pt idx="216">
                  <c:v>45015</c:v>
                </c:pt>
                <c:pt idx="217">
                  <c:v>45016</c:v>
                </c:pt>
                <c:pt idx="218">
                  <c:v>45019</c:v>
                </c:pt>
                <c:pt idx="219">
                  <c:v>45020</c:v>
                </c:pt>
                <c:pt idx="220">
                  <c:v>45021</c:v>
                </c:pt>
                <c:pt idx="221">
                  <c:v>45022</c:v>
                </c:pt>
                <c:pt idx="222">
                  <c:v>45027</c:v>
                </c:pt>
                <c:pt idx="223">
                  <c:v>45028</c:v>
                </c:pt>
                <c:pt idx="224">
                  <c:v>45029</c:v>
                </c:pt>
                <c:pt idx="225">
                  <c:v>45030</c:v>
                </c:pt>
                <c:pt idx="226">
                  <c:v>45033</c:v>
                </c:pt>
                <c:pt idx="227">
                  <c:v>45034</c:v>
                </c:pt>
                <c:pt idx="228">
                  <c:v>45035</c:v>
                </c:pt>
                <c:pt idx="229">
                  <c:v>45036</c:v>
                </c:pt>
                <c:pt idx="230">
                  <c:v>45037</c:v>
                </c:pt>
                <c:pt idx="231">
                  <c:v>45040</c:v>
                </c:pt>
                <c:pt idx="232">
                  <c:v>45041</c:v>
                </c:pt>
                <c:pt idx="233">
                  <c:v>45042</c:v>
                </c:pt>
                <c:pt idx="234">
                  <c:v>45044</c:v>
                </c:pt>
                <c:pt idx="235">
                  <c:v>45048</c:v>
                </c:pt>
                <c:pt idx="236">
                  <c:v>45049</c:v>
                </c:pt>
                <c:pt idx="237">
                  <c:v>45050</c:v>
                </c:pt>
                <c:pt idx="238">
                  <c:v>45051</c:v>
                </c:pt>
                <c:pt idx="239">
                  <c:v>45054</c:v>
                </c:pt>
                <c:pt idx="240">
                  <c:v>45055</c:v>
                </c:pt>
                <c:pt idx="241">
                  <c:v>45056</c:v>
                </c:pt>
                <c:pt idx="242">
                  <c:v>45057</c:v>
                </c:pt>
                <c:pt idx="243">
                  <c:v>45058</c:v>
                </c:pt>
                <c:pt idx="244">
                  <c:v>45061</c:v>
                </c:pt>
                <c:pt idx="245">
                  <c:v>45062</c:v>
                </c:pt>
                <c:pt idx="246">
                  <c:v>45063</c:v>
                </c:pt>
                <c:pt idx="247">
                  <c:v>45064</c:v>
                </c:pt>
                <c:pt idx="248">
                  <c:v>45065</c:v>
                </c:pt>
                <c:pt idx="249">
                  <c:v>45068</c:v>
                </c:pt>
                <c:pt idx="250">
                  <c:v>45069</c:v>
                </c:pt>
                <c:pt idx="251">
                  <c:v>45070</c:v>
                </c:pt>
                <c:pt idx="252">
                  <c:v>45071</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cat>
          <c:val>
            <c:numRef>
              <c:f>Frontend!$BO$10:$BO$301</c:f>
              <c:numCache>
                <c:formatCode>#,##0.00</c:formatCode>
                <c:ptCount val="292"/>
                <c:pt idx="0">
                  <c:v>14.41</c:v>
                </c:pt>
                <c:pt idx="1">
                  <c:v>15.24</c:v>
                </c:pt>
                <c:pt idx="2">
                  <c:v>14.68</c:v>
                </c:pt>
                <c:pt idx="3">
                  <c:v>14.91</c:v>
                </c:pt>
                <c:pt idx="4">
                  <c:v>15.35</c:v>
                </c:pt>
                <c:pt idx="5">
                  <c:v>15.23</c:v>
                </c:pt>
                <c:pt idx="6">
                  <c:v>15.32</c:v>
                </c:pt>
                <c:pt idx="7">
                  <c:v>15.120000000000001</c:v>
                </c:pt>
                <c:pt idx="8">
                  <c:v>14.81</c:v>
                </c:pt>
                <c:pt idx="9">
                  <c:v>15.32</c:v>
                </c:pt>
                <c:pt idx="10">
                  <c:v>14.98</c:v>
                </c:pt>
                <c:pt idx="11">
                  <c:v>15</c:v>
                </c:pt>
                <c:pt idx="12">
                  <c:v>15.030000000000001</c:v>
                </c:pt>
                <c:pt idx="13">
                  <c:v>14.89</c:v>
                </c:pt>
                <c:pt idx="14">
                  <c:v>15.030000000000001</c:v>
                </c:pt>
                <c:pt idx="15">
                  <c:v>14.98</c:v>
                </c:pt>
                <c:pt idx="16">
                  <c:v>14.620000000000001</c:v>
                </c:pt>
                <c:pt idx="17">
                  <c:v>14.94</c:v>
                </c:pt>
                <c:pt idx="18">
                  <c:v>14.74</c:v>
                </c:pt>
                <c:pt idx="19">
                  <c:v>14.83</c:v>
                </c:pt>
                <c:pt idx="20">
                  <c:v>14.83</c:v>
                </c:pt>
                <c:pt idx="21">
                  <c:v>14.9</c:v>
                </c:pt>
                <c:pt idx="22">
                  <c:v>14.65</c:v>
                </c:pt>
                <c:pt idx="23">
                  <c:v>14.8</c:v>
                </c:pt>
                <c:pt idx="24">
                  <c:v>15.06</c:v>
                </c:pt>
                <c:pt idx="25">
                  <c:v>14.72</c:v>
                </c:pt>
                <c:pt idx="26">
                  <c:v>14.57</c:v>
                </c:pt>
                <c:pt idx="27">
                  <c:v>14.27</c:v>
                </c:pt>
                <c:pt idx="28">
                  <c:v>13.8</c:v>
                </c:pt>
                <c:pt idx="29">
                  <c:v>13.9</c:v>
                </c:pt>
                <c:pt idx="30">
                  <c:v>14.06</c:v>
                </c:pt>
                <c:pt idx="31">
                  <c:v>13.96</c:v>
                </c:pt>
                <c:pt idx="32">
                  <c:v>14.200000000000001</c:v>
                </c:pt>
                <c:pt idx="33">
                  <c:v>14.59</c:v>
                </c:pt>
                <c:pt idx="34">
                  <c:v>14.69</c:v>
                </c:pt>
                <c:pt idx="35">
                  <c:v>14.66</c:v>
                </c:pt>
                <c:pt idx="36">
                  <c:v>14.35</c:v>
                </c:pt>
                <c:pt idx="37">
                  <c:v>14.39</c:v>
                </c:pt>
                <c:pt idx="38">
                  <c:v>14.49</c:v>
                </c:pt>
                <c:pt idx="39">
                  <c:v>14.77</c:v>
                </c:pt>
                <c:pt idx="40">
                  <c:v>14.92</c:v>
                </c:pt>
                <c:pt idx="41">
                  <c:v>14.780000000000001</c:v>
                </c:pt>
                <c:pt idx="42">
                  <c:v>14.530000000000001</c:v>
                </c:pt>
                <c:pt idx="43">
                  <c:v>14.81</c:v>
                </c:pt>
                <c:pt idx="44">
                  <c:v>14.88</c:v>
                </c:pt>
                <c:pt idx="45">
                  <c:v>15.35</c:v>
                </c:pt>
                <c:pt idx="46">
                  <c:v>15.6</c:v>
                </c:pt>
                <c:pt idx="47">
                  <c:v>15.35</c:v>
                </c:pt>
                <c:pt idx="48">
                  <c:v>15.200000000000001</c:v>
                </c:pt>
                <c:pt idx="49">
                  <c:v>15.32</c:v>
                </c:pt>
                <c:pt idx="50">
                  <c:v>15.15</c:v>
                </c:pt>
                <c:pt idx="51">
                  <c:v>15.4</c:v>
                </c:pt>
                <c:pt idx="52">
                  <c:v>15.41</c:v>
                </c:pt>
                <c:pt idx="53">
                  <c:v>15.39</c:v>
                </c:pt>
                <c:pt idx="54">
                  <c:v>15.73</c:v>
                </c:pt>
                <c:pt idx="55">
                  <c:v>15.63</c:v>
                </c:pt>
                <c:pt idx="56">
                  <c:v>16.05</c:v>
                </c:pt>
                <c:pt idx="57">
                  <c:v>16.09</c:v>
                </c:pt>
                <c:pt idx="58">
                  <c:v>16.240000000000002</c:v>
                </c:pt>
                <c:pt idx="59">
                  <c:v>15.950000000000001</c:v>
                </c:pt>
                <c:pt idx="60">
                  <c:v>15.860000000000001</c:v>
                </c:pt>
                <c:pt idx="61">
                  <c:v>15.75</c:v>
                </c:pt>
                <c:pt idx="62">
                  <c:v>15.59</c:v>
                </c:pt>
                <c:pt idx="63">
                  <c:v>15.530000000000001</c:v>
                </c:pt>
                <c:pt idx="64">
                  <c:v>15.49</c:v>
                </c:pt>
                <c:pt idx="65">
                  <c:v>15.23</c:v>
                </c:pt>
                <c:pt idx="66">
                  <c:v>15.19</c:v>
                </c:pt>
                <c:pt idx="67">
                  <c:v>15.19</c:v>
                </c:pt>
                <c:pt idx="68">
                  <c:v>14.93</c:v>
                </c:pt>
                <c:pt idx="69">
                  <c:v>14.700000000000001</c:v>
                </c:pt>
                <c:pt idx="70">
                  <c:v>14.74</c:v>
                </c:pt>
                <c:pt idx="71">
                  <c:v>14.52</c:v>
                </c:pt>
                <c:pt idx="72">
                  <c:v>14.42</c:v>
                </c:pt>
                <c:pt idx="73">
                  <c:v>14.36</c:v>
                </c:pt>
                <c:pt idx="74">
                  <c:v>14.27</c:v>
                </c:pt>
                <c:pt idx="75">
                  <c:v>14.06</c:v>
                </c:pt>
                <c:pt idx="76">
                  <c:v>14.370000000000001</c:v>
                </c:pt>
                <c:pt idx="77">
                  <c:v>14.39</c:v>
                </c:pt>
                <c:pt idx="78">
                  <c:v>14.56</c:v>
                </c:pt>
                <c:pt idx="79">
                  <c:v>14.18</c:v>
                </c:pt>
                <c:pt idx="80">
                  <c:v>13.82</c:v>
                </c:pt>
                <c:pt idx="81">
                  <c:v>13.6</c:v>
                </c:pt>
                <c:pt idx="82">
                  <c:v>13.280000000000001</c:v>
                </c:pt>
                <c:pt idx="83">
                  <c:v>13.290000000000001</c:v>
                </c:pt>
                <c:pt idx="84">
                  <c:v>13.64</c:v>
                </c:pt>
                <c:pt idx="85">
                  <c:v>13.290000000000001</c:v>
                </c:pt>
                <c:pt idx="86">
                  <c:v>13.18</c:v>
                </c:pt>
                <c:pt idx="87">
                  <c:v>13.120000000000001</c:v>
                </c:pt>
                <c:pt idx="88">
                  <c:v>13.1</c:v>
                </c:pt>
                <c:pt idx="89">
                  <c:v>13.31</c:v>
                </c:pt>
                <c:pt idx="90">
                  <c:v>13.67</c:v>
                </c:pt>
                <c:pt idx="91">
                  <c:v>13.91</c:v>
                </c:pt>
                <c:pt idx="92">
                  <c:v>13.72</c:v>
                </c:pt>
                <c:pt idx="93">
                  <c:v>13.58</c:v>
                </c:pt>
                <c:pt idx="94">
                  <c:v>13.870000000000001</c:v>
                </c:pt>
                <c:pt idx="95">
                  <c:v>13.96</c:v>
                </c:pt>
                <c:pt idx="96">
                  <c:v>14.23</c:v>
                </c:pt>
                <c:pt idx="97">
                  <c:v>14.35</c:v>
                </c:pt>
                <c:pt idx="98">
                  <c:v>14.24</c:v>
                </c:pt>
                <c:pt idx="99">
                  <c:v>14.36</c:v>
                </c:pt>
                <c:pt idx="100">
                  <c:v>14.58</c:v>
                </c:pt>
                <c:pt idx="101">
                  <c:v>14.76</c:v>
                </c:pt>
                <c:pt idx="102">
                  <c:v>15.01</c:v>
                </c:pt>
                <c:pt idx="103">
                  <c:v>15.24</c:v>
                </c:pt>
                <c:pt idx="104">
                  <c:v>15.43</c:v>
                </c:pt>
                <c:pt idx="105">
                  <c:v>15.56</c:v>
                </c:pt>
                <c:pt idx="106">
                  <c:v>15.4</c:v>
                </c:pt>
                <c:pt idx="107">
                  <c:v>15.1</c:v>
                </c:pt>
                <c:pt idx="108">
                  <c:v>15.4</c:v>
                </c:pt>
                <c:pt idx="109">
                  <c:v>15.4</c:v>
                </c:pt>
                <c:pt idx="110">
                  <c:v>15.39</c:v>
                </c:pt>
                <c:pt idx="111">
                  <c:v>15.65</c:v>
                </c:pt>
                <c:pt idx="112">
                  <c:v>15.620000000000001</c:v>
                </c:pt>
                <c:pt idx="113">
                  <c:v>15.58</c:v>
                </c:pt>
                <c:pt idx="114">
                  <c:v>15.42</c:v>
                </c:pt>
                <c:pt idx="115">
                  <c:v>15.51</c:v>
                </c:pt>
                <c:pt idx="116">
                  <c:v>15.24</c:v>
                </c:pt>
                <c:pt idx="117">
                  <c:v>15.24</c:v>
                </c:pt>
                <c:pt idx="118">
                  <c:v>15.450000000000001</c:v>
                </c:pt>
                <c:pt idx="119">
                  <c:v>15.57</c:v>
                </c:pt>
                <c:pt idx="120">
                  <c:v>15.55</c:v>
                </c:pt>
                <c:pt idx="121">
                  <c:v>15.6</c:v>
                </c:pt>
                <c:pt idx="122">
                  <c:v>14.9</c:v>
                </c:pt>
                <c:pt idx="123">
                  <c:v>14.42</c:v>
                </c:pt>
                <c:pt idx="124">
                  <c:v>14.32</c:v>
                </c:pt>
                <c:pt idx="125">
                  <c:v>14.280000000000001</c:v>
                </c:pt>
                <c:pt idx="126">
                  <c:v>13.81</c:v>
                </c:pt>
                <c:pt idx="127">
                  <c:v>14.030000000000001</c:v>
                </c:pt>
                <c:pt idx="128">
                  <c:v>14.950000000000001</c:v>
                </c:pt>
                <c:pt idx="129">
                  <c:v>14.07</c:v>
                </c:pt>
                <c:pt idx="130">
                  <c:v>14.43</c:v>
                </c:pt>
                <c:pt idx="131">
                  <c:v>14.35</c:v>
                </c:pt>
                <c:pt idx="132">
                  <c:v>14.700000000000001</c:v>
                </c:pt>
                <c:pt idx="133">
                  <c:v>14.6</c:v>
                </c:pt>
                <c:pt idx="134">
                  <c:v>14.46</c:v>
                </c:pt>
                <c:pt idx="135">
                  <c:v>14.700000000000001</c:v>
                </c:pt>
                <c:pt idx="136">
                  <c:v>14.07</c:v>
                </c:pt>
                <c:pt idx="137">
                  <c:v>14.22</c:v>
                </c:pt>
                <c:pt idx="138">
                  <c:v>14.33</c:v>
                </c:pt>
                <c:pt idx="139">
                  <c:v>14.4</c:v>
                </c:pt>
                <c:pt idx="140">
                  <c:v>14.44</c:v>
                </c:pt>
                <c:pt idx="141">
                  <c:v>14.48</c:v>
                </c:pt>
                <c:pt idx="142">
                  <c:v>14.42</c:v>
                </c:pt>
                <c:pt idx="143">
                  <c:v>14.34</c:v>
                </c:pt>
                <c:pt idx="144">
                  <c:v>14.530000000000001</c:v>
                </c:pt>
                <c:pt idx="145">
                  <c:v>14.33</c:v>
                </c:pt>
                <c:pt idx="146">
                  <c:v>14.4</c:v>
                </c:pt>
                <c:pt idx="147">
                  <c:v>14.26</c:v>
                </c:pt>
                <c:pt idx="148">
                  <c:v>14.55</c:v>
                </c:pt>
                <c:pt idx="149">
                  <c:v>14.530000000000001</c:v>
                </c:pt>
                <c:pt idx="150">
                  <c:v>14.69</c:v>
                </c:pt>
                <c:pt idx="151">
                  <c:v>14.85</c:v>
                </c:pt>
                <c:pt idx="152">
                  <c:v>14.68</c:v>
                </c:pt>
                <c:pt idx="153">
                  <c:v>14.64</c:v>
                </c:pt>
                <c:pt idx="154">
                  <c:v>14.5</c:v>
                </c:pt>
                <c:pt idx="155">
                  <c:v>14.56</c:v>
                </c:pt>
                <c:pt idx="156">
                  <c:v>14.72</c:v>
                </c:pt>
                <c:pt idx="157">
                  <c:v>14.74</c:v>
                </c:pt>
                <c:pt idx="158">
                  <c:v>14.85</c:v>
                </c:pt>
                <c:pt idx="159">
                  <c:v>15.38</c:v>
                </c:pt>
                <c:pt idx="160">
                  <c:v>15.44</c:v>
                </c:pt>
                <c:pt idx="161">
                  <c:v>15.290000000000001</c:v>
                </c:pt>
                <c:pt idx="162">
                  <c:v>15.3</c:v>
                </c:pt>
                <c:pt idx="163">
                  <c:v>15.18</c:v>
                </c:pt>
                <c:pt idx="164">
                  <c:v>15.21</c:v>
                </c:pt>
                <c:pt idx="165">
                  <c:v>15.18</c:v>
                </c:pt>
                <c:pt idx="166">
                  <c:v>15.200000000000001</c:v>
                </c:pt>
                <c:pt idx="167">
                  <c:v>15.15</c:v>
                </c:pt>
                <c:pt idx="168">
                  <c:v>14.82</c:v>
                </c:pt>
                <c:pt idx="169">
                  <c:v>14.8</c:v>
                </c:pt>
                <c:pt idx="170">
                  <c:v>14.75</c:v>
                </c:pt>
                <c:pt idx="171">
                  <c:v>14.23</c:v>
                </c:pt>
                <c:pt idx="172">
                  <c:v>14.55</c:v>
                </c:pt>
                <c:pt idx="173">
                  <c:v>14.57</c:v>
                </c:pt>
                <c:pt idx="174">
                  <c:v>14.46</c:v>
                </c:pt>
                <c:pt idx="175">
                  <c:v>14.290000000000001</c:v>
                </c:pt>
                <c:pt idx="176">
                  <c:v>14.39</c:v>
                </c:pt>
                <c:pt idx="177">
                  <c:v>14.55</c:v>
                </c:pt>
                <c:pt idx="178">
                  <c:v>14.17</c:v>
                </c:pt>
                <c:pt idx="179">
                  <c:v>14.22</c:v>
                </c:pt>
                <c:pt idx="180">
                  <c:v>14.17</c:v>
                </c:pt>
                <c:pt idx="181">
                  <c:v>13.74</c:v>
                </c:pt>
                <c:pt idx="182">
                  <c:v>13.74</c:v>
                </c:pt>
                <c:pt idx="183">
                  <c:v>13.75</c:v>
                </c:pt>
                <c:pt idx="184">
                  <c:v>14</c:v>
                </c:pt>
                <c:pt idx="185">
                  <c:v>14.06</c:v>
                </c:pt>
                <c:pt idx="186">
                  <c:v>14.71</c:v>
                </c:pt>
                <c:pt idx="187">
                  <c:v>14.63</c:v>
                </c:pt>
                <c:pt idx="188">
                  <c:v>14.44</c:v>
                </c:pt>
                <c:pt idx="189">
                  <c:v>14.74</c:v>
                </c:pt>
                <c:pt idx="190">
                  <c:v>14.9</c:v>
                </c:pt>
                <c:pt idx="191">
                  <c:v>15.280000000000001</c:v>
                </c:pt>
                <c:pt idx="192">
                  <c:v>15.65</c:v>
                </c:pt>
                <c:pt idx="193">
                  <c:v>15.530000000000001</c:v>
                </c:pt>
                <c:pt idx="194">
                  <c:v>15.450000000000001</c:v>
                </c:pt>
                <c:pt idx="195">
                  <c:v>15.24</c:v>
                </c:pt>
                <c:pt idx="196">
                  <c:v>15.36</c:v>
                </c:pt>
                <c:pt idx="197">
                  <c:v>15.15</c:v>
                </c:pt>
                <c:pt idx="198">
                  <c:v>15.120000000000001</c:v>
                </c:pt>
                <c:pt idx="199">
                  <c:v>15.19</c:v>
                </c:pt>
                <c:pt idx="200">
                  <c:v>14.91</c:v>
                </c:pt>
                <c:pt idx="201">
                  <c:v>15.030000000000001</c:v>
                </c:pt>
                <c:pt idx="202">
                  <c:v>14.97</c:v>
                </c:pt>
                <c:pt idx="203">
                  <c:v>14.9</c:v>
                </c:pt>
                <c:pt idx="204">
                  <c:v>14.86</c:v>
                </c:pt>
                <c:pt idx="205">
                  <c:v>14.76</c:v>
                </c:pt>
                <c:pt idx="206">
                  <c:v>14.51</c:v>
                </c:pt>
                <c:pt idx="207">
                  <c:v>14.25</c:v>
                </c:pt>
                <c:pt idx="208">
                  <c:v>14.19</c:v>
                </c:pt>
                <c:pt idx="209">
                  <c:v>14.280000000000001</c:v>
                </c:pt>
                <c:pt idx="210">
                  <c:v>14.290000000000001</c:v>
                </c:pt>
                <c:pt idx="211">
                  <c:v>14.35</c:v>
                </c:pt>
                <c:pt idx="212">
                  <c:v>14.21</c:v>
                </c:pt>
                <c:pt idx="213">
                  <c:v>14.36</c:v>
                </c:pt>
                <c:pt idx="214">
                  <c:v>14.36</c:v>
                </c:pt>
                <c:pt idx="215">
                  <c:v>14.44</c:v>
                </c:pt>
                <c:pt idx="216">
                  <c:v>14.67</c:v>
                </c:pt>
                <c:pt idx="217">
                  <c:v>14.81</c:v>
                </c:pt>
                <c:pt idx="218">
                  <c:v>14.68</c:v>
                </c:pt>
                <c:pt idx="219">
                  <c:v>14.86</c:v>
                </c:pt>
                <c:pt idx="220">
                  <c:v>14.85</c:v>
                </c:pt>
                <c:pt idx="221">
                  <c:v>15.040000000000001</c:v>
                </c:pt>
                <c:pt idx="222">
                  <c:v>15.01</c:v>
                </c:pt>
                <c:pt idx="223">
                  <c:v>14.94</c:v>
                </c:pt>
                <c:pt idx="224">
                  <c:v>14.81</c:v>
                </c:pt>
                <c:pt idx="225">
                  <c:v>14.84</c:v>
                </c:pt>
                <c:pt idx="226">
                  <c:v>14.68</c:v>
                </c:pt>
                <c:pt idx="227">
                  <c:v>14.76</c:v>
                </c:pt>
                <c:pt idx="228">
                  <c:v>14.91</c:v>
                </c:pt>
                <c:pt idx="229">
                  <c:v>15</c:v>
                </c:pt>
                <c:pt idx="230">
                  <c:v>15.15</c:v>
                </c:pt>
                <c:pt idx="231">
                  <c:v>15.5</c:v>
                </c:pt>
                <c:pt idx="232">
                  <c:v>15.39</c:v>
                </c:pt>
                <c:pt idx="233">
                  <c:v>15.540000000000001</c:v>
                </c:pt>
                <c:pt idx="234">
                  <c:v>15.950000000000001</c:v>
                </c:pt>
                <c:pt idx="235">
                  <c:v>15.950000000000001</c:v>
                </c:pt>
                <c:pt idx="236">
                  <c:v>15.9</c:v>
                </c:pt>
                <c:pt idx="237">
                  <c:v>15.89</c:v>
                </c:pt>
                <c:pt idx="238">
                  <c:v>16.09</c:v>
                </c:pt>
                <c:pt idx="239">
                  <c:v>16.07</c:v>
                </c:pt>
                <c:pt idx="240">
                  <c:v>16.080000000000002</c:v>
                </c:pt>
                <c:pt idx="241">
                  <c:v>16.100000000000001</c:v>
                </c:pt>
                <c:pt idx="242">
                  <c:v>15.99</c:v>
                </c:pt>
                <c:pt idx="243">
                  <c:v>15.92</c:v>
                </c:pt>
                <c:pt idx="244">
                  <c:v>15.77</c:v>
                </c:pt>
                <c:pt idx="245">
                  <c:v>15.700000000000001</c:v>
                </c:pt>
                <c:pt idx="246">
                  <c:v>15.450000000000001</c:v>
                </c:pt>
                <c:pt idx="247">
                  <c:v>14.950000000000001</c:v>
                </c:pt>
                <c:pt idx="248">
                  <c:v>14.98</c:v>
                </c:pt>
                <c:pt idx="249">
                  <c:v>14.74</c:v>
                </c:pt>
                <c:pt idx="250">
                  <c:v>14.540000000000001</c:v>
                </c:pt>
                <c:pt idx="251">
                  <c:v>14.75</c:v>
                </c:pt>
                <c:pt idx="252">
                  <c:v>14.26</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val>
          <c:smooth val="0"/>
          <c:extLst>
            <c:ext xmlns:c16="http://schemas.microsoft.com/office/drawing/2014/chart" uri="{C3380CC4-5D6E-409C-BE32-E72D297353CC}">
              <c16:uniqueId val="{00000001-504C-421D-AE36-2B15419FE06E}"/>
            </c:ext>
          </c:extLst>
        </c:ser>
        <c:ser>
          <c:idx val="1"/>
          <c:order val="1"/>
          <c:tx>
            <c:strRef>
              <c:f>Frontend!$BQ$9</c:f>
              <c:strCache>
                <c:ptCount val="1"/>
                <c:pt idx="0">
                  <c:v>DCF: (Upside)</c:v>
                </c:pt>
              </c:strCache>
            </c:strRef>
          </c:tx>
          <c:spPr>
            <a:ln w="28575" cap="rnd">
              <a:noFill/>
              <a:round/>
            </a:ln>
            <a:effectLst/>
          </c:spPr>
          <c:marker>
            <c:symbol val="circle"/>
            <c:size val="5"/>
            <c:spPr>
              <a:solidFill>
                <a:srgbClr val="E72533"/>
              </a:solidFill>
              <a:ln w="9525">
                <a:noFill/>
              </a:ln>
              <a:effectLst/>
            </c:spPr>
          </c:marker>
          <c:dPt>
            <c:idx val="58"/>
            <c:marker>
              <c:symbol val="circle"/>
              <c:size val="7"/>
              <c:spPr>
                <a:solidFill>
                  <a:srgbClr val="E72533"/>
                </a:solidFill>
                <a:ln w="9525">
                  <a:noFill/>
                </a:ln>
                <a:effectLst/>
              </c:spPr>
            </c:marker>
            <c:bubble3D val="0"/>
            <c:extLst>
              <c:ext xmlns:c16="http://schemas.microsoft.com/office/drawing/2014/chart" uri="{C3380CC4-5D6E-409C-BE32-E72D297353CC}">
                <c16:uniqueId val="{00000002-504C-421D-AE36-2B15419FE06E}"/>
              </c:ext>
            </c:extLst>
          </c:dPt>
          <c:dLbls>
            <c:dLbl>
              <c:idx val="0"/>
              <c:tx>
                <c:strRef>
                  <c:f>Frontend!$BR$10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{2A7176EE-2A49-4E80-9542-D50422939A52}</c15:txfldGUID>
                      <c15:f>Frontend!$BR$10</c15:f>
                      <c15:dlblFieldTableCache>
                        <c:ptCount val="1"/>
                      </c15:dlblFieldTableCache>
                    </c15:dlblFTEntry>
                  </c15:dlblFieldTable>
                  <c15:showDataLabelsRange val="0"/>
                </c:ext>
                <c:ext xmlns:c16="http://schemas.microsoft.com/office/drawing/2014/chart" uri="{C3380CC4-5D6E-409C-BE32-E72D297353CC}">
                  <c16:uniqueId val="{00000003-504C-421D-AE36-2B15419FE06E}"/>
                </c:ext>
              </c:extLst>
            </c:dLbl>
            <c:dLbl>
              <c:idx val="1"/>
              <c:tx>
                <c:strRef>
                  <c:f>Frontend!$BR$11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{49060371-BC87-4E70-B0F9-A86C1D70F8DA}</c15:txfldGUID>
                      <c15:f>Frontend!$BR$11</c15:f>
                      <c15:dlblFieldTableCache>
                        <c:ptCount val="1"/>
                      </c15:dlblFieldTableCache>
                    </c15:dlblFTEntry>
                  </c15:dlblFieldTable>
                  <c15:showDataLabelsRange val="0"/>
                </c:ext>
                <c:ext xmlns:c16="http://schemas.microsoft.com/office/drawing/2014/chart" uri="{C3380CC4-5D6E-409C-BE32-E72D297353CC}">
                  <c16:uniqueId val="{00000004-504C-421D-AE36-2B15419FE06E}"/>
                </c:ext>
              </c:extLst>
            </c:dLbl>
            <c:dLbl>
              <c:idx val="2"/>
              <c:tx>
                <c:strRef>
                  <c:f>Frontend!$BR$12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{E423B6A9-BCDF-41CF-9BAE-1E6297010C3D}</c15:txfldGUID>
                      <c15:f>Frontend!$BR$12</c15:f>
                      <c15:dlblFieldTableCache>
                        <c:ptCount val="1"/>
                      </c15:dlblFieldTableCache>
                    </c15:dlblFTEntry>
                  </c15:dlblFieldTable>
                  <c15:showDataLabelsRange val="0"/>
                </c:ext>
                <c:ext xmlns:c16="http://schemas.microsoft.com/office/drawing/2014/chart" uri="{C3380CC4-5D6E-409C-BE32-E72D297353CC}">
                  <c16:uniqueId val="{00000005-504C-421D-AE36-2B15419FE06E}"/>
                </c:ext>
              </c:extLst>
            </c:dLbl>
            <c:dLbl>
              <c:idx val="3"/>
              <c:tx>
                <c:strRef>
                  <c:f>Frontend!$BR$13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{A7217829-AF51-484C-93C9-ECBC3A756503}</c15:txfldGUID>
                      <c15:f>Frontend!$BR$13</c15:f>
                      <c15:dlblFieldTableCache>
                        <c:ptCount val="1"/>
                      </c15:dlblFieldTableCache>
                    </c15:dlblFTEntry>
                  </c15:dlblFieldTable>
                  <c15:showDataLabelsRange val="0"/>
                </c:ext>
                <c:ext xmlns:c16="http://schemas.microsoft.com/office/drawing/2014/chart" uri="{C3380CC4-5D6E-409C-BE32-E72D297353CC}">
                  <c16:uniqueId val="{00000006-504C-421D-AE36-2B15419FE06E}"/>
                </c:ext>
              </c:extLst>
            </c:dLbl>
            <c:dLbl>
              <c:idx val="4"/>
              <c:tx>
                <c:strRef>
                  <c:f>Frontend!$BR$14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{CCA88F4D-5669-4BD5-8F4E-319461D38461}</c15:txfldGUID>
                      <c15:f>Frontend!$BR$14</c15:f>
                      <c15:dlblFieldTableCache>
                        <c:ptCount val="1"/>
                      </c15:dlblFieldTableCache>
                    </c15:dlblFTEntry>
                  </c15:dlblFieldTable>
                  <c15:showDataLabelsRange val="0"/>
                </c:ext>
                <c:ext xmlns:c16="http://schemas.microsoft.com/office/drawing/2014/chart" uri="{C3380CC4-5D6E-409C-BE32-E72D297353CC}">
                  <c16:uniqueId val="{00000007-504C-421D-AE36-2B15419FE06E}"/>
                </c:ext>
              </c:extLst>
            </c:dLbl>
            <c:dLbl>
              <c:idx val="5"/>
              <c:tx>
                <c:strRef>
                  <c:f>Frontend!$BR$15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{9AF8F00D-A78E-4A76-A667-33DB50992B1F}</c15:txfldGUID>
                      <c15:f>Frontend!$BR$15</c15:f>
                      <c15:dlblFieldTableCache>
                        <c:ptCount val="1"/>
                      </c15:dlblFieldTableCache>
                    </c15:dlblFTEntry>
                  </c15:dlblFieldTable>
                  <c15:showDataLabelsRange val="0"/>
                </c:ext>
                <c:ext xmlns:c16="http://schemas.microsoft.com/office/drawing/2014/chart" uri="{C3380CC4-5D6E-409C-BE32-E72D297353CC}">
                  <c16:uniqueId val="{00000008-504C-421D-AE36-2B15419FE06E}"/>
                </c:ext>
              </c:extLst>
            </c:dLbl>
            <c:dLbl>
              <c:idx val="6"/>
              <c:tx>
                <c:strRef>
                  <c:f>Frontend!$BR$16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{506FFAFB-61FF-43B5-9234-60E738AB14A4}</c15:txfldGUID>
                      <c15:f>Frontend!$BR$16</c15:f>
                      <c15:dlblFieldTableCache>
                        <c:ptCount val="1"/>
                      </c15:dlblFieldTableCache>
                    </c15:dlblFTEntry>
                  </c15:dlblFieldTable>
                  <c15:showDataLabelsRange val="0"/>
                </c:ext>
                <c:ext xmlns:c16="http://schemas.microsoft.com/office/drawing/2014/chart" uri="{C3380CC4-5D6E-409C-BE32-E72D297353CC}">
                  <c16:uniqueId val="{00000009-504C-421D-AE36-2B15419FE06E}"/>
                </c:ext>
              </c:extLst>
            </c:dLbl>
            <c:dLbl>
              <c:idx val="7"/>
              <c:tx>
                <c:strRef>
                  <c:f>Frontend!$BR$17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{4780C733-A887-4731-8329-E8B86A4C83ED}</c15:txfldGUID>
                      <c15:f>Frontend!$BR$17</c15:f>
                      <c15:dlblFieldTableCache>
                        <c:ptCount val="1"/>
                      </c15:dlblFieldTableCache>
                    </c15:dlblFTEntry>
                  </c15:dlblFieldTable>
                  <c15:showDataLabelsRange val="0"/>
                </c:ext>
                <c:ext xmlns:c16="http://schemas.microsoft.com/office/drawing/2014/chart" uri="{C3380CC4-5D6E-409C-BE32-E72D297353CC}">
                  <c16:uniqueId val="{0000000A-504C-421D-AE36-2B15419FE06E}"/>
                </c:ext>
              </c:extLst>
            </c:dLbl>
            <c:dLbl>
              <c:idx val="8"/>
              <c:tx>
                <c:strRef>
                  <c:f>Frontend!$BR$18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{1D382381-F5E1-465A-8286-838AADCAD33D}</c15:txfldGUID>
                      <c15:f>Frontend!$BR$18</c15:f>
                      <c15:dlblFieldTableCache>
                        <c:ptCount val="1"/>
                      </c15:dlblFieldTableCache>
                    </c15:dlblFTEntry>
                  </c15:dlblFieldTable>
                  <c15:showDataLabelsRange val="0"/>
                </c:ext>
                <c:ext xmlns:c16="http://schemas.microsoft.com/office/drawing/2014/chart" uri="{C3380CC4-5D6E-409C-BE32-E72D297353CC}">
                  <c16:uniqueId val="{0000000B-504C-421D-AE36-2B15419FE06E}"/>
                </c:ext>
              </c:extLst>
            </c:dLbl>
            <c:dLbl>
              <c:idx val="9"/>
              <c:tx>
                <c:strRef>
                  <c:f>Frontend!$BR$19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{043796A4-9DF8-44BF-BAB9-A8C1708A448A}</c15:txfldGUID>
                      <c15:f>Frontend!$BR$19</c15:f>
                      <c15:dlblFieldTableCache>
                        <c:ptCount val="1"/>
                      </c15:dlblFieldTableCache>
                    </c15:dlblFTEntry>
                  </c15:dlblFieldTable>
                  <c15:showDataLabelsRange val="0"/>
                </c:ext>
                <c:ext xmlns:c16="http://schemas.microsoft.com/office/drawing/2014/chart" uri="{C3380CC4-5D6E-409C-BE32-E72D297353CC}">
                  <c16:uniqueId val="{0000000C-504C-421D-AE36-2B15419FE06E}"/>
                </c:ext>
              </c:extLst>
            </c:dLbl>
            <c:dLbl>
              <c:idx val="10"/>
              <c:tx>
                <c:strRef>
                  <c:f>Frontend!$BR$20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{AFECDD0F-7AF3-442C-A3C2-71CC3491EC69}</c15:txfldGUID>
                      <c15:f>Frontend!$BR$20</c15:f>
                      <c15:dlblFieldTableCache>
                        <c:ptCount val="1"/>
                      </c15:dlblFieldTableCache>
                    </c15:dlblFTEntry>
                  </c15:dlblFieldTable>
                  <c15:showDataLabelsRange val="0"/>
                </c:ext>
                <c:ext xmlns:c16="http://schemas.microsoft.com/office/drawing/2014/chart" uri="{C3380CC4-5D6E-409C-BE32-E72D297353CC}">
                  <c16:uniqueId val="{0000000D-504C-421D-AE36-2B15419FE06E}"/>
                </c:ext>
              </c:extLst>
            </c:dLbl>
            <c:dLbl>
              <c:idx val="11"/>
              <c:tx>
                <c:strRef>
                  <c:f>Frontend!$BR$21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{89BA5F36-B5AF-48A8-B439-C4F1D2C80827}</c15:txfldGUID>
                      <c15:f>Frontend!$BR$21</c15:f>
                      <c15:dlblFieldTableCache>
                        <c:ptCount val="1"/>
                      </c15:dlblFieldTableCache>
                    </c15:dlblFTEntry>
                  </c15:dlblFieldTable>
                  <c15:showDataLabelsRange val="0"/>
                </c:ext>
                <c:ext xmlns:c16="http://schemas.microsoft.com/office/drawing/2014/chart" uri="{C3380CC4-5D6E-409C-BE32-E72D297353CC}">
                  <c16:uniqueId val="{0000000E-504C-421D-AE36-2B15419FE06E}"/>
                </c:ext>
              </c:extLst>
            </c:dLbl>
            <c:dLbl>
              <c:idx val="12"/>
              <c:tx>
                <c:strRef>
                  <c:f>Frontend!$BR$22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{FE2314B0-1F27-46A0-A430-3E918E6DD579}</c15:txfldGUID>
                      <c15:f>Frontend!$BR$22</c15:f>
                      <c15:dlblFieldTableCache>
                        <c:ptCount val="1"/>
                      </c15:dlblFieldTableCache>
                    </c15:dlblFTEntry>
                  </c15:dlblFieldTable>
                  <c15:showDataLabelsRange val="0"/>
                </c:ext>
                <c:ext xmlns:c16="http://schemas.microsoft.com/office/drawing/2014/chart" uri="{C3380CC4-5D6E-409C-BE32-E72D297353CC}">
                  <c16:uniqueId val="{0000000F-504C-421D-AE36-2B15419FE06E}"/>
                </c:ext>
              </c:extLst>
            </c:dLbl>
            <c:dLbl>
              <c:idx val="13"/>
              <c:tx>
                <c:strRef>
                  <c:f>Frontend!$BR$23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{AB22135F-802B-4FC8-AF94-59F4A44213D7}</c15:txfldGUID>
                      <c15:f>Frontend!$BR$23</c15:f>
                      <c15:dlblFieldTableCache>
                        <c:ptCount val="1"/>
                      </c15:dlblFieldTableCache>
                    </c15:dlblFTEntry>
                  </c15:dlblFieldTable>
                  <c15:showDataLabelsRange val="0"/>
                </c:ext>
                <c:ext xmlns:c16="http://schemas.microsoft.com/office/drawing/2014/chart" uri="{C3380CC4-5D6E-409C-BE32-E72D297353CC}">
                  <c16:uniqueId val="{00000010-504C-421D-AE36-2B15419FE06E}"/>
                </c:ext>
              </c:extLst>
            </c:dLbl>
            <c:dLbl>
              <c:idx val="14"/>
              <c:tx>
                <c:strRef>
                  <c:f>Frontend!$BR$24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{04B748D4-D807-4A77-A4F0-AE255BEC5A03}</c15:txfldGUID>
                      <c15:f>Frontend!$BR$24</c15:f>
                      <c15:dlblFieldTableCache>
                        <c:ptCount val="1"/>
                      </c15:dlblFieldTableCache>
                    </c15:dlblFTEntry>
                  </c15:dlblFieldTable>
                  <c15:showDataLabelsRange val="0"/>
                </c:ext>
                <c:ext xmlns:c16="http://schemas.microsoft.com/office/drawing/2014/chart" uri="{C3380CC4-5D6E-409C-BE32-E72D297353CC}">
                  <c16:uniqueId val="{00000011-504C-421D-AE36-2B15419FE06E}"/>
                </c:ext>
              </c:extLst>
            </c:dLbl>
            <c:dLbl>
              <c:idx val="15"/>
              <c:tx>
                <c:strRef>
                  <c:f>Frontend!$BR$25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{6CCE35E1-7978-496D-8EE6-0F4D2A38C9CE}</c15:txfldGUID>
                      <c15:f>Frontend!$BR$25</c15:f>
                      <c15:dlblFieldTableCache>
                        <c:ptCount val="1"/>
                      </c15:dlblFieldTableCache>
                    </c15:dlblFTEntry>
                  </c15:dlblFieldTable>
                  <c15:showDataLabelsRange val="0"/>
                </c:ext>
                <c:ext xmlns:c16="http://schemas.microsoft.com/office/drawing/2014/chart" uri="{C3380CC4-5D6E-409C-BE32-E72D297353CC}">
                  <c16:uniqueId val="{00000012-504C-421D-AE36-2B15419FE06E}"/>
                </c:ext>
              </c:extLst>
            </c:dLbl>
            <c:dLbl>
              <c:idx val="16"/>
              <c:tx>
                <c:strRef>
                  <c:f>Frontend!$BR$26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{8F242F7F-A5B4-4A9A-99B5-4CCD70B56B3A}</c15:txfldGUID>
                      <c15:f>Frontend!$BR$26</c15:f>
                      <c15:dlblFieldTableCache>
                        <c:ptCount val="1"/>
                      </c15:dlblFieldTableCache>
                    </c15:dlblFTEntry>
                  </c15:dlblFieldTable>
                  <c15:showDataLabelsRange val="0"/>
                </c:ext>
                <c:ext xmlns:c16="http://schemas.microsoft.com/office/drawing/2014/chart" uri="{C3380CC4-5D6E-409C-BE32-E72D297353CC}">
                  <c16:uniqueId val="{00000013-504C-421D-AE36-2B15419FE06E}"/>
                </c:ext>
              </c:extLst>
            </c:dLbl>
            <c:dLbl>
              <c:idx val="17"/>
              <c:tx>
                <c:strRef>
                  <c:f>Frontend!$BR$27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{76CB8F32-CA63-4380-9E60-51F2B795851A}</c15:txfldGUID>
                      <c15:f>Frontend!$BR$27</c15:f>
                      <c15:dlblFieldTableCache>
                        <c:ptCount val="1"/>
                      </c15:dlblFieldTableCache>
                    </c15:dlblFTEntry>
                  </c15:dlblFieldTable>
                  <c15:showDataLabelsRange val="0"/>
                </c:ext>
                <c:ext xmlns:c16="http://schemas.microsoft.com/office/drawing/2014/chart" uri="{C3380CC4-5D6E-409C-BE32-E72D297353CC}">
                  <c16:uniqueId val="{00000014-504C-421D-AE36-2B15419FE06E}"/>
                </c:ext>
              </c:extLst>
            </c:dLbl>
            <c:dLbl>
              <c:idx val="18"/>
              <c:tx>
                <c:strRef>
                  <c:f>Frontend!$BR$28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{85E1264B-F215-4B92-9FB4-7377A88DE83E}</c15:txfldGUID>
                      <c15:f>Frontend!$BR$28</c15:f>
                      <c15:dlblFieldTableCache>
                        <c:ptCount val="1"/>
                      </c15:dlblFieldTableCache>
                    </c15:dlblFTEntry>
                  </c15:dlblFieldTable>
                  <c15:showDataLabelsRange val="0"/>
                </c:ext>
                <c:ext xmlns:c16="http://schemas.microsoft.com/office/drawing/2014/chart" uri="{C3380CC4-5D6E-409C-BE32-E72D297353CC}">
                  <c16:uniqueId val="{00000015-504C-421D-AE36-2B15419FE06E}"/>
                </c:ext>
              </c:extLst>
            </c:dLbl>
            <c:dLbl>
              <c:idx val="19"/>
              <c:tx>
                <c:strRef>
                  <c:f>Frontend!$BR$29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{BA1BB637-6F7D-4937-A0F1-D6ED37B3F39B}</c15:txfldGUID>
                      <c15:f>Frontend!$BR$29</c15:f>
                      <c15:dlblFieldTableCache>
                        <c:ptCount val="1"/>
                      </c15:dlblFieldTableCache>
                    </c15:dlblFTEntry>
                  </c15:dlblFieldTable>
                  <c15:showDataLabelsRange val="0"/>
                </c:ext>
                <c:ext xmlns:c16="http://schemas.microsoft.com/office/drawing/2014/chart" uri="{C3380CC4-5D6E-409C-BE32-E72D297353CC}">
                  <c16:uniqueId val="{00000016-504C-421D-AE36-2B15419FE06E}"/>
                </c:ext>
              </c:extLst>
            </c:dLbl>
            <c:dLbl>
              <c:idx val="20"/>
              <c:tx>
                <c:strRef>
                  <c:f>Frontend!$BR$30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{BE6D7A9F-7E42-4D79-BAAE-4B9CAF8460BC}</c15:txfldGUID>
                      <c15:f>Frontend!$BR$30</c15:f>
                      <c15:dlblFieldTableCache>
                        <c:ptCount val="1"/>
                      </c15:dlblFieldTableCache>
                    </c15:dlblFTEntry>
                  </c15:dlblFieldTable>
                  <c15:showDataLabelsRange val="0"/>
                </c:ext>
                <c:ext xmlns:c16="http://schemas.microsoft.com/office/drawing/2014/chart" uri="{C3380CC4-5D6E-409C-BE32-E72D297353CC}">
                  <c16:uniqueId val="{00000017-504C-421D-AE36-2B15419FE06E}"/>
                </c:ext>
              </c:extLst>
            </c:dLbl>
            <c:dLbl>
              <c:idx val="21"/>
              <c:tx>
                <c:strRef>
                  <c:f>Frontend!$BR$31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{60E98165-AE6F-4747-A06E-D91120299FCB}</c15:txfldGUID>
                      <c15:f>Frontend!$BR$31</c15:f>
                      <c15:dlblFieldTableCache>
                        <c:ptCount val="1"/>
                      </c15:dlblFieldTableCache>
                    </c15:dlblFTEntry>
                  </c15:dlblFieldTable>
                  <c15:showDataLabelsRange val="0"/>
                </c:ext>
                <c:ext xmlns:c16="http://schemas.microsoft.com/office/drawing/2014/chart" uri="{C3380CC4-5D6E-409C-BE32-E72D297353CC}">
                  <c16:uniqueId val="{00000018-504C-421D-AE36-2B15419FE06E}"/>
                </c:ext>
              </c:extLst>
            </c:dLbl>
            <c:dLbl>
              <c:idx val="22"/>
              <c:tx>
                <c:strRef>
                  <c:f>Frontend!$BR$32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{E374AB36-D608-4D5A-9EE3-310087ADFCD1}</c15:txfldGUID>
                      <c15:f>Frontend!$BR$32</c15:f>
                      <c15:dlblFieldTableCache>
                        <c:ptCount val="1"/>
                      </c15:dlblFieldTableCache>
                    </c15:dlblFTEntry>
                  </c15:dlblFieldTable>
                  <c15:showDataLabelsRange val="0"/>
                </c:ext>
                <c:ext xmlns:c16="http://schemas.microsoft.com/office/drawing/2014/chart" uri="{C3380CC4-5D6E-409C-BE32-E72D297353CC}">
                  <c16:uniqueId val="{00000019-504C-421D-AE36-2B15419FE06E}"/>
                </c:ext>
              </c:extLst>
            </c:dLbl>
            <c:dLbl>
              <c:idx val="23"/>
              <c:tx>
                <c:strRef>
                  <c:f>Frontend!$BR$33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{F33A827E-4AA9-4EC3-A765-F1C668B2BCF6}</c15:txfldGUID>
                      <c15:f>Frontend!$BR$33</c15:f>
                      <c15:dlblFieldTableCache>
                        <c:ptCount val="1"/>
                      </c15:dlblFieldTableCache>
                    </c15:dlblFTEntry>
                  </c15:dlblFieldTable>
                  <c15:showDataLabelsRange val="0"/>
                </c:ext>
                <c:ext xmlns:c16="http://schemas.microsoft.com/office/drawing/2014/chart" uri="{C3380CC4-5D6E-409C-BE32-E72D297353CC}">
                  <c16:uniqueId val="{0000001A-504C-421D-AE36-2B15419FE06E}"/>
                </c:ext>
              </c:extLst>
            </c:dLbl>
            <c:dLbl>
              <c:idx val="24"/>
              <c:tx>
                <c:strRef>
                  <c:f>Frontend!$BR$34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{E9736C85-802E-4550-9AE7-53AD1FD7379B}</c15:txfldGUID>
                      <c15:f>Frontend!$BR$34</c15:f>
                      <c15:dlblFieldTableCache>
                        <c:ptCount val="1"/>
                      </c15:dlblFieldTableCache>
                    </c15:dlblFTEntry>
                  </c15:dlblFieldTable>
                  <c15:showDataLabelsRange val="0"/>
                </c:ext>
                <c:ext xmlns:c16="http://schemas.microsoft.com/office/drawing/2014/chart" uri="{C3380CC4-5D6E-409C-BE32-E72D297353CC}">
                  <c16:uniqueId val="{0000001B-504C-421D-AE36-2B15419FE06E}"/>
                </c:ext>
              </c:extLst>
            </c:dLbl>
            <c:dLbl>
              <c:idx val="25"/>
              <c:tx>
                <c:strRef>
                  <c:f>Frontend!$BR$35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{22A6DA2B-10D5-4EA7-B5B6-FFB618E320B3}</c15:txfldGUID>
                      <c15:f>Frontend!$BR$35</c15:f>
                      <c15:dlblFieldTableCache>
                        <c:ptCount val="1"/>
                      </c15:dlblFieldTableCache>
                    </c15:dlblFTEntry>
                  </c15:dlblFieldTable>
                  <c15:showDataLabelsRange val="0"/>
                </c:ext>
                <c:ext xmlns:c16="http://schemas.microsoft.com/office/drawing/2014/chart" uri="{C3380CC4-5D6E-409C-BE32-E72D297353CC}">
                  <c16:uniqueId val="{0000001C-504C-421D-AE36-2B15419FE06E}"/>
                </c:ext>
              </c:extLst>
            </c:dLbl>
            <c:dLbl>
              <c:idx val="26"/>
              <c:tx>
                <c:strRef>
                  <c:f>Frontend!$BR$36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{EE3E12EA-69AB-41CF-B8EB-B810361BF2FE}</c15:txfldGUID>
                      <c15:f>Frontend!$BR$36</c15:f>
                      <c15:dlblFieldTableCache>
                        <c:ptCount val="1"/>
                      </c15:dlblFieldTableCache>
                    </c15:dlblFTEntry>
                  </c15:dlblFieldTable>
                  <c15:showDataLabelsRange val="0"/>
                </c:ext>
                <c:ext xmlns:c16="http://schemas.microsoft.com/office/drawing/2014/chart" uri="{C3380CC4-5D6E-409C-BE32-E72D297353CC}">
                  <c16:uniqueId val="{0000001D-504C-421D-AE36-2B15419FE06E}"/>
                </c:ext>
              </c:extLst>
            </c:dLbl>
            <c:dLbl>
              <c:idx val="27"/>
              <c:tx>
                <c:strRef>
                  <c:f>Frontend!$BR$37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{C7D7DB38-769D-4F05-B0E9-DEF906495FD1}</c15:txfldGUID>
                      <c15:f>Frontend!$BR$37</c15:f>
                      <c15:dlblFieldTableCache>
                        <c:ptCount val="1"/>
                      </c15:dlblFieldTableCache>
                    </c15:dlblFTEntry>
                  </c15:dlblFieldTable>
                  <c15:showDataLabelsRange val="0"/>
                </c:ext>
                <c:ext xmlns:c16="http://schemas.microsoft.com/office/drawing/2014/chart" uri="{C3380CC4-5D6E-409C-BE32-E72D297353CC}">
                  <c16:uniqueId val="{0000001E-504C-421D-AE36-2B15419FE06E}"/>
                </c:ext>
              </c:extLst>
            </c:dLbl>
            <c:dLbl>
              <c:idx val="28"/>
              <c:tx>
                <c:strRef>
                  <c:f>Frontend!$BR$38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{BC71DCB2-C733-4D0B-B104-318D4EB5CEFB}</c15:txfldGUID>
                      <c15:f>Frontend!$BR$38</c15:f>
                      <c15:dlblFieldTableCache>
                        <c:ptCount val="1"/>
                      </c15:dlblFieldTableCache>
                    </c15:dlblFTEntry>
                  </c15:dlblFieldTable>
                  <c15:showDataLabelsRange val="0"/>
                </c:ext>
                <c:ext xmlns:c16="http://schemas.microsoft.com/office/drawing/2014/chart" uri="{C3380CC4-5D6E-409C-BE32-E72D297353CC}">
                  <c16:uniqueId val="{0000001F-504C-421D-AE36-2B15419FE06E}"/>
                </c:ext>
              </c:extLst>
            </c:dLbl>
            <c:dLbl>
              <c:idx val="29"/>
              <c:tx>
                <c:strRef>
                  <c:f>Frontend!$BR$39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{29E8C6B7-2F5F-4166-89F0-18C35173F320}</c15:txfldGUID>
                      <c15:f>Frontend!$BR$39</c15:f>
                      <c15:dlblFieldTableCache>
                        <c:ptCount val="1"/>
                      </c15:dlblFieldTableCache>
                    </c15:dlblFTEntry>
                  </c15:dlblFieldTable>
                  <c15:showDataLabelsRange val="0"/>
                </c:ext>
                <c:ext xmlns:c16="http://schemas.microsoft.com/office/drawing/2014/chart" uri="{C3380CC4-5D6E-409C-BE32-E72D297353CC}">
                  <c16:uniqueId val="{00000020-504C-421D-AE36-2B15419FE06E}"/>
                </c:ext>
              </c:extLst>
            </c:dLbl>
            <c:dLbl>
              <c:idx val="30"/>
              <c:tx>
                <c:strRef>
                  <c:f>Frontend!$BR$40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{965E93F7-9115-4F1E-9214-B8EA45252CAF}</c15:txfldGUID>
                      <c15:f>Frontend!$BR$40</c15:f>
                      <c15:dlblFieldTableCache>
                        <c:ptCount val="1"/>
                      </c15:dlblFieldTableCache>
                    </c15:dlblFTEntry>
                  </c15:dlblFieldTable>
                  <c15:showDataLabelsRange val="0"/>
                </c:ext>
                <c:ext xmlns:c16="http://schemas.microsoft.com/office/drawing/2014/chart" uri="{C3380CC4-5D6E-409C-BE32-E72D297353CC}">
                  <c16:uniqueId val="{00000021-504C-421D-AE36-2B15419FE06E}"/>
                </c:ext>
              </c:extLst>
            </c:dLbl>
            <c:dLbl>
              <c:idx val="31"/>
              <c:tx>
                <c:strRef>
                  <c:f>Frontend!$BR$41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{27194197-366A-40B3-9401-3E5B221280D7}</c15:txfldGUID>
                      <c15:f>Frontend!$BR$41</c15:f>
                      <c15:dlblFieldTableCache>
                        <c:ptCount val="1"/>
                      </c15:dlblFieldTableCache>
                    </c15:dlblFTEntry>
                  </c15:dlblFieldTable>
                  <c15:showDataLabelsRange val="0"/>
                </c:ext>
                <c:ext xmlns:c16="http://schemas.microsoft.com/office/drawing/2014/chart" uri="{C3380CC4-5D6E-409C-BE32-E72D297353CC}">
                  <c16:uniqueId val="{00000022-504C-421D-AE36-2B15419FE06E}"/>
                </c:ext>
              </c:extLst>
            </c:dLbl>
            <c:dLbl>
              <c:idx val="32"/>
              <c:tx>
                <c:strRef>
                  <c:f>Frontend!$BR$42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{14831DB6-6B42-4C8F-A743-D788D2B38C51}</c15:txfldGUID>
                      <c15:f>Frontend!$BR$42</c15:f>
                      <c15:dlblFieldTableCache>
                        <c:ptCount val="1"/>
                      </c15:dlblFieldTableCache>
                    </c15:dlblFTEntry>
                  </c15:dlblFieldTable>
                  <c15:showDataLabelsRange val="0"/>
                </c:ext>
                <c:ext xmlns:c16="http://schemas.microsoft.com/office/drawing/2014/chart" uri="{C3380CC4-5D6E-409C-BE32-E72D297353CC}">
                  <c16:uniqueId val="{00000023-504C-421D-AE36-2B15419FE06E}"/>
                </c:ext>
              </c:extLst>
            </c:dLbl>
            <c:dLbl>
              <c:idx val="33"/>
              <c:tx>
                <c:strRef>
                  <c:f>Frontend!$BR$43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{87FAF4F8-BB6B-48CB-91F1-34E5A9DC387D}</c15:txfldGUID>
                      <c15:f>Frontend!$BR$43</c15:f>
                      <c15:dlblFieldTableCache>
                        <c:ptCount val="1"/>
                      </c15:dlblFieldTableCache>
                    </c15:dlblFTEntry>
                  </c15:dlblFieldTable>
                  <c15:showDataLabelsRange val="0"/>
                </c:ext>
                <c:ext xmlns:c16="http://schemas.microsoft.com/office/drawing/2014/chart" uri="{C3380CC4-5D6E-409C-BE32-E72D297353CC}">
                  <c16:uniqueId val="{00000024-504C-421D-AE36-2B15419FE06E}"/>
                </c:ext>
              </c:extLst>
            </c:dLbl>
            <c:dLbl>
              <c:idx val="34"/>
              <c:tx>
                <c:strRef>
                  <c:f>Frontend!$BR$44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{F8FC211A-DA0B-459D-AB31-7C4C76D4783B}</c15:txfldGUID>
                      <c15:f>Frontend!$BR$44</c15:f>
                      <c15:dlblFieldTableCache>
                        <c:ptCount val="1"/>
                      </c15:dlblFieldTableCache>
                    </c15:dlblFTEntry>
                  </c15:dlblFieldTable>
                  <c15:showDataLabelsRange val="0"/>
                </c:ext>
                <c:ext xmlns:c16="http://schemas.microsoft.com/office/drawing/2014/chart" uri="{C3380CC4-5D6E-409C-BE32-E72D297353CC}">
                  <c16:uniqueId val="{00000025-504C-421D-AE36-2B15419FE06E}"/>
                </c:ext>
              </c:extLst>
            </c:dLbl>
            <c:dLbl>
              <c:idx val="35"/>
              <c:tx>
                <c:strRef>
                  <c:f>Frontend!$BR$45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{7D125AD8-C7CA-4811-9F8A-89710CD539EE}</c15:txfldGUID>
                      <c15:f>Frontend!$BR$45</c15:f>
                      <c15:dlblFieldTableCache>
                        <c:ptCount val="1"/>
                      </c15:dlblFieldTableCache>
                    </c15:dlblFTEntry>
                  </c15:dlblFieldTable>
                  <c15:showDataLabelsRange val="0"/>
                </c:ext>
                <c:ext xmlns:c16="http://schemas.microsoft.com/office/drawing/2014/chart" uri="{C3380CC4-5D6E-409C-BE32-E72D297353CC}">
                  <c16:uniqueId val="{00000026-504C-421D-AE36-2B15419FE06E}"/>
                </c:ext>
              </c:extLst>
            </c:dLbl>
            <c:dLbl>
              <c:idx val="36"/>
              <c:tx>
                <c:strRef>
                  <c:f>Frontend!$BR$46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{D63CBF18-1505-44E7-8CD9-3261FE64F32C}</c15:txfldGUID>
                      <c15:f>Frontend!$BR$46</c15:f>
                      <c15:dlblFieldTableCache>
                        <c:ptCount val="1"/>
                      </c15:dlblFieldTableCache>
                    </c15:dlblFTEntry>
                  </c15:dlblFieldTable>
                  <c15:showDataLabelsRange val="0"/>
                </c:ext>
                <c:ext xmlns:c16="http://schemas.microsoft.com/office/drawing/2014/chart" uri="{C3380CC4-5D6E-409C-BE32-E72D297353CC}">
                  <c16:uniqueId val="{00000027-504C-421D-AE36-2B15419FE06E}"/>
                </c:ext>
              </c:extLst>
            </c:dLbl>
            <c:dLbl>
              <c:idx val="37"/>
              <c:tx>
                <c:strRef>
                  <c:f>Frontend!$BR$47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{C0FBF254-9A06-416C-BB63-882C08B7E2A1}</c15:txfldGUID>
                      <c15:f>Frontend!$BR$47</c15:f>
                      <c15:dlblFieldTableCache>
                        <c:ptCount val="1"/>
                      </c15:dlblFieldTableCache>
                    </c15:dlblFTEntry>
                  </c15:dlblFieldTable>
                  <c15:showDataLabelsRange val="0"/>
                </c:ext>
                <c:ext xmlns:c16="http://schemas.microsoft.com/office/drawing/2014/chart" uri="{C3380CC4-5D6E-409C-BE32-E72D297353CC}">
                  <c16:uniqueId val="{00000028-504C-421D-AE36-2B15419FE06E}"/>
                </c:ext>
              </c:extLst>
            </c:dLbl>
            <c:dLbl>
              <c:idx val="38"/>
              <c:tx>
                <c:strRef>
                  <c:f>Frontend!$BR$48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{E78F1E24-4E21-4F13-8C01-D7524E7AFCC5}</c15:txfldGUID>
                      <c15:f>Frontend!$BR$48</c15:f>
                      <c15:dlblFieldTableCache>
                        <c:ptCount val="1"/>
                      </c15:dlblFieldTableCache>
                    </c15:dlblFTEntry>
                  </c15:dlblFieldTable>
                  <c15:showDataLabelsRange val="0"/>
                </c:ext>
                <c:ext xmlns:c16="http://schemas.microsoft.com/office/drawing/2014/chart" uri="{C3380CC4-5D6E-409C-BE32-E72D297353CC}">
                  <c16:uniqueId val="{00000029-504C-421D-AE36-2B15419FE06E}"/>
                </c:ext>
              </c:extLst>
            </c:dLbl>
            <c:dLbl>
              <c:idx val="39"/>
              <c:tx>
                <c:strRef>
                  <c:f>Frontend!$BR$49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{B6877D90-7241-4353-8507-8E9425CC4A1C}</c15:txfldGUID>
                      <c15:f>Frontend!$BR$49</c15:f>
                      <c15:dlblFieldTableCache>
                        <c:ptCount val="1"/>
                      </c15:dlblFieldTableCache>
                    </c15:dlblFTEntry>
                  </c15:dlblFieldTable>
                  <c15:showDataLabelsRange val="0"/>
                </c:ext>
                <c:ext xmlns:c16="http://schemas.microsoft.com/office/drawing/2014/chart" uri="{C3380CC4-5D6E-409C-BE32-E72D297353CC}">
                  <c16:uniqueId val="{0000002A-504C-421D-AE36-2B15419FE06E}"/>
                </c:ext>
              </c:extLst>
            </c:dLbl>
            <c:dLbl>
              <c:idx val="40"/>
              <c:tx>
                <c:strRef>
                  <c:f>Frontend!$BR$50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{C0AC937E-CEF7-4B86-AEFF-67ECCFE2BCCA}</c15:txfldGUID>
                      <c15:f>Frontend!$BR$50</c15:f>
                      <c15:dlblFieldTableCache>
                        <c:ptCount val="1"/>
                      </c15:dlblFieldTableCache>
                    </c15:dlblFTEntry>
                  </c15:dlblFieldTable>
                  <c15:showDataLabelsRange val="0"/>
                </c:ext>
                <c:ext xmlns:c16="http://schemas.microsoft.com/office/drawing/2014/chart" uri="{C3380CC4-5D6E-409C-BE32-E72D297353CC}">
                  <c16:uniqueId val="{0000002B-504C-421D-AE36-2B15419FE06E}"/>
                </c:ext>
              </c:extLst>
            </c:dLbl>
            <c:dLbl>
              <c:idx val="41"/>
              <c:tx>
                <c:strRef>
                  <c:f>Frontend!$BR$51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{C7C7FE00-9402-4395-9DDF-FE443F740CC2}</c15:txfldGUID>
                      <c15:f>Frontend!$BR$51</c15:f>
                      <c15:dlblFieldTableCache>
                        <c:ptCount val="1"/>
                      </c15:dlblFieldTableCache>
                    </c15:dlblFTEntry>
                  </c15:dlblFieldTable>
                  <c15:showDataLabelsRange val="0"/>
                </c:ext>
                <c:ext xmlns:c16="http://schemas.microsoft.com/office/drawing/2014/chart" uri="{C3380CC4-5D6E-409C-BE32-E72D297353CC}">
                  <c16:uniqueId val="{0000002C-504C-421D-AE36-2B15419FE06E}"/>
                </c:ext>
              </c:extLst>
            </c:dLbl>
            <c:dLbl>
              <c:idx val="42"/>
              <c:tx>
                <c:strRef>
                  <c:f>Frontend!$BR$52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{64006BA3-5536-42B4-82BF-9719B7AACE05}</c15:txfldGUID>
                      <c15:f>Frontend!$BR$52</c15:f>
                      <c15:dlblFieldTableCache>
                        <c:ptCount val="1"/>
                      </c15:dlblFieldTableCache>
                    </c15:dlblFTEntry>
                  </c15:dlblFieldTable>
                  <c15:showDataLabelsRange val="0"/>
                </c:ext>
                <c:ext xmlns:c16="http://schemas.microsoft.com/office/drawing/2014/chart" uri="{C3380CC4-5D6E-409C-BE32-E72D297353CC}">
                  <c16:uniqueId val="{0000002D-504C-421D-AE36-2B15419FE06E}"/>
                </c:ext>
              </c:extLst>
            </c:dLbl>
            <c:dLbl>
              <c:idx val="43"/>
              <c:tx>
                <c:strRef>
                  <c:f>Frontend!$BR$53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{CBEB742A-3E1A-497E-9A97-A69A90028561}</c15:txfldGUID>
                      <c15:f>Frontend!$BR$53</c15:f>
                      <c15:dlblFieldTableCache>
                        <c:ptCount val="1"/>
                      </c15:dlblFieldTableCache>
                    </c15:dlblFTEntry>
                  </c15:dlblFieldTable>
                  <c15:showDataLabelsRange val="0"/>
                </c:ext>
                <c:ext xmlns:c16="http://schemas.microsoft.com/office/drawing/2014/chart" uri="{C3380CC4-5D6E-409C-BE32-E72D297353CC}">
                  <c16:uniqueId val="{0000002E-504C-421D-AE36-2B15419FE06E}"/>
                </c:ext>
              </c:extLst>
            </c:dLbl>
            <c:dLbl>
              <c:idx val="44"/>
              <c:tx>
                <c:strRef>
                  <c:f>Frontend!$BR$54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{8457EB88-E38D-4897-A095-272B2B64D286}</c15:txfldGUID>
                      <c15:f>Frontend!$BR$54</c15:f>
                      <c15:dlblFieldTableCache>
                        <c:ptCount val="1"/>
                      </c15:dlblFieldTableCache>
                    </c15:dlblFTEntry>
                  </c15:dlblFieldTable>
                  <c15:showDataLabelsRange val="0"/>
                </c:ext>
                <c:ext xmlns:c16="http://schemas.microsoft.com/office/drawing/2014/chart" uri="{C3380CC4-5D6E-409C-BE32-E72D297353CC}">
                  <c16:uniqueId val="{0000002F-504C-421D-AE36-2B15419FE06E}"/>
                </c:ext>
              </c:extLst>
            </c:dLbl>
            <c:dLbl>
              <c:idx val="45"/>
              <c:tx>
                <c:strRef>
                  <c:f>Frontend!$BR$55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{D01C3113-53C5-4AF9-85D3-5412AA57FA25}</c15:txfldGUID>
                      <c15:f>Frontend!$BR$55</c15:f>
                      <c15:dlblFieldTableCache>
                        <c:ptCount val="1"/>
                      </c15:dlblFieldTableCache>
                    </c15:dlblFTEntry>
                  </c15:dlblFieldTable>
                  <c15:showDataLabelsRange val="0"/>
                </c:ext>
                <c:ext xmlns:c16="http://schemas.microsoft.com/office/drawing/2014/chart" uri="{C3380CC4-5D6E-409C-BE32-E72D297353CC}">
                  <c16:uniqueId val="{00000030-504C-421D-AE36-2B15419FE06E}"/>
                </c:ext>
              </c:extLst>
            </c:dLbl>
            <c:dLbl>
              <c:idx val="46"/>
              <c:tx>
                <c:strRef>
                  <c:f>Frontend!$BR$56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{B79C5142-8FA8-4E25-9BDF-E9A7371841AC}</c15:txfldGUID>
                      <c15:f>Frontend!$BR$56</c15:f>
                      <c15:dlblFieldTableCache>
                        <c:ptCount val="1"/>
                      </c15:dlblFieldTableCache>
                    </c15:dlblFTEntry>
                  </c15:dlblFieldTable>
                  <c15:showDataLabelsRange val="0"/>
                </c:ext>
                <c:ext xmlns:c16="http://schemas.microsoft.com/office/drawing/2014/chart" uri="{C3380CC4-5D6E-409C-BE32-E72D297353CC}">
                  <c16:uniqueId val="{00000031-504C-421D-AE36-2B15419FE06E}"/>
                </c:ext>
              </c:extLst>
            </c:dLbl>
            <c:dLbl>
              <c:idx val="47"/>
              <c:tx>
                <c:strRef>
                  <c:f>Frontend!$BR$57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{269211DA-D831-43D0-B061-49B06C3B5DC9}</c15:txfldGUID>
                      <c15:f>Frontend!$BR$57</c15:f>
                      <c15:dlblFieldTableCache>
                        <c:ptCount val="1"/>
                      </c15:dlblFieldTableCache>
                    </c15:dlblFTEntry>
                  </c15:dlblFieldTable>
                  <c15:showDataLabelsRange val="0"/>
                </c:ext>
                <c:ext xmlns:c16="http://schemas.microsoft.com/office/drawing/2014/chart" uri="{C3380CC4-5D6E-409C-BE32-E72D297353CC}">
                  <c16:uniqueId val="{00000032-504C-421D-AE36-2B15419FE06E}"/>
                </c:ext>
              </c:extLst>
            </c:dLbl>
            <c:dLbl>
              <c:idx val="48"/>
              <c:tx>
                <c:strRef>
                  <c:f>Frontend!$BR$58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{2B01F525-95A7-4770-90B6-B73E4921CF4A}</c15:txfldGUID>
                      <c15:f>Frontend!$BR$58</c15:f>
                      <c15:dlblFieldTableCache>
                        <c:ptCount val="1"/>
                      </c15:dlblFieldTableCache>
                    </c15:dlblFTEntry>
                  </c15:dlblFieldTable>
                  <c15:showDataLabelsRange val="0"/>
                </c:ext>
                <c:ext xmlns:c16="http://schemas.microsoft.com/office/drawing/2014/chart" uri="{C3380CC4-5D6E-409C-BE32-E72D297353CC}">
                  <c16:uniqueId val="{00000033-504C-421D-AE36-2B15419FE06E}"/>
                </c:ext>
              </c:extLst>
            </c:dLbl>
            <c:dLbl>
              <c:idx val="49"/>
              <c:tx>
                <c:strRef>
                  <c:f>Frontend!$BR$59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{DA511535-4984-4276-BB92-E8A7FC5DAF6E}</c15:txfldGUID>
                      <c15:f>Frontend!$BR$59</c15:f>
                      <c15:dlblFieldTableCache>
                        <c:ptCount val="1"/>
                      </c15:dlblFieldTableCache>
                    </c15:dlblFTEntry>
                  </c15:dlblFieldTable>
                  <c15:showDataLabelsRange val="0"/>
                </c:ext>
                <c:ext xmlns:c16="http://schemas.microsoft.com/office/drawing/2014/chart" uri="{C3380CC4-5D6E-409C-BE32-E72D297353CC}">
                  <c16:uniqueId val="{00000034-504C-421D-AE36-2B15419FE06E}"/>
                </c:ext>
              </c:extLst>
            </c:dLbl>
            <c:dLbl>
              <c:idx val="50"/>
              <c:tx>
                <c:strRef>
                  <c:f>Frontend!$BR$60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{A58E6458-B958-4DCF-94E5-7129B34D0650}</c15:txfldGUID>
                      <c15:f>Frontend!$BR$60</c15:f>
                      <c15:dlblFieldTableCache>
                        <c:ptCount val="1"/>
                      </c15:dlblFieldTableCache>
                    </c15:dlblFTEntry>
                  </c15:dlblFieldTable>
                  <c15:showDataLabelsRange val="0"/>
                </c:ext>
                <c:ext xmlns:c16="http://schemas.microsoft.com/office/drawing/2014/chart" uri="{C3380CC4-5D6E-409C-BE32-E72D297353CC}">
                  <c16:uniqueId val="{00000035-504C-421D-AE36-2B15419FE06E}"/>
                </c:ext>
              </c:extLst>
            </c:dLbl>
            <c:dLbl>
              <c:idx val="51"/>
              <c:tx>
                <c:strRef>
                  <c:f>Frontend!$BR$61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{1DF39084-CFDB-40E9-9F7C-4D63D9790433}</c15:txfldGUID>
                      <c15:f>Frontend!$BR$61</c15:f>
                      <c15:dlblFieldTableCache>
                        <c:ptCount val="1"/>
                      </c15:dlblFieldTableCache>
                    </c15:dlblFTEntry>
                  </c15:dlblFieldTable>
                  <c15:showDataLabelsRange val="0"/>
                </c:ext>
                <c:ext xmlns:c16="http://schemas.microsoft.com/office/drawing/2014/chart" uri="{C3380CC4-5D6E-409C-BE32-E72D297353CC}">
                  <c16:uniqueId val="{00000036-504C-421D-AE36-2B15419FE06E}"/>
                </c:ext>
              </c:extLst>
            </c:dLbl>
            <c:dLbl>
              <c:idx val="52"/>
              <c:tx>
                <c:strRef>
                  <c:f>Frontend!$BR$62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{DA75B827-8D50-4856-AB18-4EB3BC8D204A}</c15:txfldGUID>
                      <c15:f>Frontend!$BR$62</c15:f>
                      <c15:dlblFieldTableCache>
                        <c:ptCount val="1"/>
                      </c15:dlblFieldTableCache>
                    </c15:dlblFTEntry>
                  </c15:dlblFieldTable>
                  <c15:showDataLabelsRange val="0"/>
                </c:ext>
                <c:ext xmlns:c16="http://schemas.microsoft.com/office/drawing/2014/chart" uri="{C3380CC4-5D6E-409C-BE32-E72D297353CC}">
                  <c16:uniqueId val="{00000037-504C-421D-AE36-2B15419FE06E}"/>
                </c:ext>
              </c:extLst>
            </c:dLbl>
            <c:dLbl>
              <c:idx val="53"/>
              <c:tx>
                <c:strRef>
                  <c:f>Frontend!$BR$63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{481B13BA-AF25-47FF-9EAD-086A07CB776B}</c15:txfldGUID>
                      <c15:f>Frontend!$BR$63</c15:f>
                      <c15:dlblFieldTableCache>
                        <c:ptCount val="1"/>
                      </c15:dlblFieldTableCache>
                    </c15:dlblFTEntry>
                  </c15:dlblFieldTable>
                  <c15:showDataLabelsRange val="0"/>
                </c:ext>
                <c:ext xmlns:c16="http://schemas.microsoft.com/office/drawing/2014/chart" uri="{C3380CC4-5D6E-409C-BE32-E72D297353CC}">
                  <c16:uniqueId val="{00000038-504C-421D-AE36-2B15419FE06E}"/>
                </c:ext>
              </c:extLst>
            </c:dLbl>
            <c:dLbl>
              <c:idx val="54"/>
              <c:tx>
                <c:strRef>
                  <c:f>Frontend!$BR$64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{F1C5DAED-8A4D-4B11-A8B5-A31A383EED75}</c15:txfldGUID>
                      <c15:f>Frontend!$BR$64</c15:f>
                      <c15:dlblFieldTableCache>
                        <c:ptCount val="1"/>
                      </c15:dlblFieldTableCache>
                    </c15:dlblFTEntry>
                  </c15:dlblFieldTable>
                  <c15:showDataLabelsRange val="0"/>
                </c:ext>
                <c:ext xmlns:c16="http://schemas.microsoft.com/office/drawing/2014/chart" uri="{C3380CC4-5D6E-409C-BE32-E72D297353CC}">
                  <c16:uniqueId val="{00000039-504C-421D-AE36-2B15419FE06E}"/>
                </c:ext>
              </c:extLst>
            </c:dLbl>
            <c:dLbl>
              <c:idx val="55"/>
              <c:tx>
                <c:strRef>
                  <c:f>Frontend!$BR$65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{D20FDF51-AD1E-4536-B4B6-5CB1FB122562}</c15:txfldGUID>
                      <c15:f>Frontend!$BR$65</c15:f>
                      <c15:dlblFieldTableCache>
                        <c:ptCount val="1"/>
                      </c15:dlblFieldTableCache>
                    </c15:dlblFTEntry>
                  </c15:dlblFieldTable>
                  <c15:showDataLabelsRange val="0"/>
                </c:ext>
                <c:ext xmlns:c16="http://schemas.microsoft.com/office/drawing/2014/chart" uri="{C3380CC4-5D6E-409C-BE32-E72D297353CC}">
                  <c16:uniqueId val="{0000003A-504C-421D-AE36-2B15419FE06E}"/>
                </c:ext>
              </c:extLst>
            </c:dLbl>
            <c:dLbl>
              <c:idx val="56"/>
              <c:tx>
                <c:strRef>
                  <c:f>Frontend!$BR$66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{E76814C0-43E0-4730-A14B-8CA9C5497975}</c15:txfldGUID>
                      <c15:f>Frontend!$BR$66</c15:f>
                      <c15:dlblFieldTableCache>
                        <c:ptCount val="1"/>
                      </c15:dlblFieldTableCache>
                    </c15:dlblFTEntry>
                  </c15:dlblFieldTable>
                  <c15:showDataLabelsRange val="0"/>
                </c:ext>
                <c:ext xmlns:c16="http://schemas.microsoft.com/office/drawing/2014/chart" uri="{C3380CC4-5D6E-409C-BE32-E72D297353CC}">
                  <c16:uniqueId val="{0000003B-504C-421D-AE36-2B15419FE06E}"/>
                </c:ext>
              </c:extLst>
            </c:dLbl>
            <c:dLbl>
              <c:idx val="57"/>
              <c:tx>
                <c:strRef>
                  <c:f>Frontend!$BR$67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{B16DCB2D-A2B3-42AF-B43C-E75BB37CDBA2}</c15:txfldGUID>
                      <c15:f>Frontend!$BR$67</c15:f>
                      <c15:dlblFieldTableCache>
                        <c:ptCount val="1"/>
                      </c15:dlblFieldTableCache>
                    </c15:dlblFTEntry>
                  </c15:dlblFieldTable>
                  <c15:showDataLabelsRange val="0"/>
                </c:ext>
                <c:ext xmlns:c16="http://schemas.microsoft.com/office/drawing/2014/chart" uri="{C3380CC4-5D6E-409C-BE32-E72D297353CC}">
                  <c16:uniqueId val="{0000003C-504C-421D-AE36-2B15419FE06E}"/>
                </c:ext>
              </c:extLst>
            </c:dLbl>
            <c:dLbl>
              <c:idx val="58"/>
              <c:tx>
                <c:strRef>
                  <c:f>Frontend!$BR$68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{6E7DB3D4-0F30-448D-B584-789A4B07ED4D}</c15:txfldGUID>
                      <c15:f>Frontend!$BR$68</c15:f>
                      <c15:dlblFieldTableCache>
                        <c:ptCount val="1"/>
                      </c15:dlblFieldTableCache>
                    </c15:dlblFTEntry>
                  </c15:dlblFieldTable>
                  <c15:showDataLabelsRange val="0"/>
                </c:ext>
                <c:ext xmlns:c16="http://schemas.microsoft.com/office/drawing/2014/chart" uri="{C3380CC4-5D6E-409C-BE32-E72D297353CC}">
                  <c16:uniqueId val="{00000002-504C-421D-AE36-2B15419FE06E}"/>
                </c:ext>
              </c:extLst>
            </c:dLbl>
            <c:dLbl>
              <c:idx val="59"/>
              <c:tx>
                <c:strRef>
                  <c:f>Frontend!$BR$69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{D0207717-AE99-4C08-A52C-5F795DB20903}</c15:txfldGUID>
                      <c15:f>Frontend!$BR$69</c15:f>
                      <c15:dlblFieldTableCache>
                        <c:ptCount val="1"/>
                      </c15:dlblFieldTableCache>
                    </c15:dlblFTEntry>
                  </c15:dlblFieldTable>
                  <c15:showDataLabelsRange val="0"/>
                </c:ext>
                <c:ext xmlns:c16="http://schemas.microsoft.com/office/drawing/2014/chart" uri="{C3380CC4-5D6E-409C-BE32-E72D297353CC}">
                  <c16:uniqueId val="{0000003D-504C-421D-AE36-2B15419FE06E}"/>
                </c:ext>
              </c:extLst>
            </c:dLbl>
            <c:dLbl>
              <c:idx val="60"/>
              <c:tx>
                <c:strRef>
                  <c:f>Frontend!$BR$70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{24D7060B-668B-4782-B166-FAEE3D54C427}</c15:txfldGUID>
                      <c15:f>Frontend!$BR$70</c15:f>
                      <c15:dlblFieldTableCache>
                        <c:ptCount val="1"/>
                      </c15:dlblFieldTableCache>
                    </c15:dlblFTEntry>
                  </c15:dlblFieldTable>
                  <c15:showDataLabelsRange val="0"/>
                </c:ext>
                <c:ext xmlns:c16="http://schemas.microsoft.com/office/drawing/2014/chart" uri="{C3380CC4-5D6E-409C-BE32-E72D297353CC}">
                  <c16:uniqueId val="{0000003E-504C-421D-AE36-2B15419FE06E}"/>
                </c:ext>
              </c:extLst>
            </c:dLbl>
            <c:dLbl>
              <c:idx val="61"/>
              <c:tx>
                <c:strRef>
                  <c:f>Frontend!$BR$71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{E23BA825-AB43-4DD1-AF0F-C03E56EE7A68}</c15:txfldGUID>
                      <c15:f>Frontend!$BR$71</c15:f>
                      <c15:dlblFieldTableCache>
                        <c:ptCount val="1"/>
                      </c15:dlblFieldTableCache>
                    </c15:dlblFTEntry>
                  </c15:dlblFieldTable>
                  <c15:showDataLabelsRange val="0"/>
                </c:ext>
                <c:ext xmlns:c16="http://schemas.microsoft.com/office/drawing/2014/chart" uri="{C3380CC4-5D6E-409C-BE32-E72D297353CC}">
                  <c16:uniqueId val="{0000003F-504C-421D-AE36-2B15419FE06E}"/>
                </c:ext>
              </c:extLst>
            </c:dLbl>
            <c:dLbl>
              <c:idx val="62"/>
              <c:tx>
                <c:strRef>
                  <c:f>Frontend!$BR$72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{60A2D7F6-8B22-4A75-AD5C-4DCA6E2A6E5F}</c15:txfldGUID>
                      <c15:f>Frontend!$BR$72</c15:f>
                      <c15:dlblFieldTableCache>
                        <c:ptCount val="1"/>
                      </c15:dlblFieldTableCache>
                    </c15:dlblFTEntry>
                  </c15:dlblFieldTable>
                  <c15:showDataLabelsRange val="0"/>
                </c:ext>
                <c:ext xmlns:c16="http://schemas.microsoft.com/office/drawing/2014/chart" uri="{C3380CC4-5D6E-409C-BE32-E72D297353CC}">
                  <c16:uniqueId val="{00000040-504C-421D-AE36-2B15419FE06E}"/>
                </c:ext>
              </c:extLst>
            </c:dLbl>
            <c:dLbl>
              <c:idx val="63"/>
              <c:tx>
                <c:strRef>
                  <c:f>Frontend!$BR$73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{7BCDDF12-8507-4568-B4AB-DF5565230194}</c15:txfldGUID>
                      <c15:f>Frontend!$BR$73</c15:f>
                      <c15:dlblFieldTableCache>
                        <c:ptCount val="1"/>
                      </c15:dlblFieldTableCache>
                    </c15:dlblFTEntry>
                  </c15:dlblFieldTable>
                  <c15:showDataLabelsRange val="0"/>
                </c:ext>
                <c:ext xmlns:c16="http://schemas.microsoft.com/office/drawing/2014/chart" uri="{C3380CC4-5D6E-409C-BE32-E72D297353CC}">
                  <c16:uniqueId val="{00000041-504C-421D-AE36-2B15419FE06E}"/>
                </c:ext>
              </c:extLst>
            </c:dLbl>
            <c:dLbl>
              <c:idx val="64"/>
              <c:tx>
                <c:strRef>
                  <c:f>Frontend!$BR$74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{1308DBE2-02FB-4063-9FA2-A52ACC29F46A}</c15:txfldGUID>
                      <c15:f>Frontend!$BR$74</c15:f>
                      <c15:dlblFieldTableCache>
                        <c:ptCount val="1"/>
                      </c15:dlblFieldTableCache>
                    </c15:dlblFTEntry>
                  </c15:dlblFieldTable>
                  <c15:showDataLabelsRange val="0"/>
                </c:ext>
                <c:ext xmlns:c16="http://schemas.microsoft.com/office/drawing/2014/chart" uri="{C3380CC4-5D6E-409C-BE32-E72D297353CC}">
                  <c16:uniqueId val="{00000042-504C-421D-AE36-2B15419FE06E}"/>
                </c:ext>
              </c:extLst>
            </c:dLbl>
            <c:dLbl>
              <c:idx val="65"/>
              <c:tx>
                <c:strRef>
                  <c:f>Frontend!$BR$75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{2E18D2FF-9D4D-4C0B-9EF4-05E824F6D9C1}</c15:txfldGUID>
                      <c15:f>Frontend!$BR$75</c15:f>
                      <c15:dlblFieldTableCache>
                        <c:ptCount val="1"/>
                      </c15:dlblFieldTableCache>
                    </c15:dlblFTEntry>
                  </c15:dlblFieldTable>
                  <c15:showDataLabelsRange val="0"/>
                </c:ext>
                <c:ext xmlns:c16="http://schemas.microsoft.com/office/drawing/2014/chart" uri="{C3380CC4-5D6E-409C-BE32-E72D297353CC}">
                  <c16:uniqueId val="{00000043-504C-421D-AE36-2B15419FE06E}"/>
                </c:ext>
              </c:extLst>
            </c:dLbl>
            <c:dLbl>
              <c:idx val="66"/>
              <c:tx>
                <c:strRef>
                  <c:f>Frontend!$BR$76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{286CF98A-0A3C-4B39-9E0E-2B7CB1C1AE12}</c15:txfldGUID>
                      <c15:f>Frontend!$BR$76</c15:f>
                      <c15:dlblFieldTableCache>
                        <c:ptCount val="1"/>
                      </c15:dlblFieldTableCache>
                    </c15:dlblFTEntry>
                  </c15:dlblFieldTable>
                  <c15:showDataLabelsRange val="0"/>
                </c:ext>
                <c:ext xmlns:c16="http://schemas.microsoft.com/office/drawing/2014/chart" uri="{C3380CC4-5D6E-409C-BE32-E72D297353CC}">
                  <c16:uniqueId val="{00000044-504C-421D-AE36-2B15419FE06E}"/>
                </c:ext>
              </c:extLst>
            </c:dLbl>
            <c:dLbl>
              <c:idx val="67"/>
              <c:tx>
                <c:strRef>
                  <c:f>Frontend!$BR$77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{A618278D-A081-4700-AEEE-5D43C248D9D5}</c15:txfldGUID>
                      <c15:f>Frontend!$BR$77</c15:f>
                      <c15:dlblFieldTableCache>
                        <c:ptCount val="1"/>
                      </c15:dlblFieldTableCache>
                    </c15:dlblFTEntry>
                  </c15:dlblFieldTable>
                  <c15:showDataLabelsRange val="0"/>
                </c:ext>
                <c:ext xmlns:c16="http://schemas.microsoft.com/office/drawing/2014/chart" uri="{C3380CC4-5D6E-409C-BE32-E72D297353CC}">
                  <c16:uniqueId val="{00000045-504C-421D-AE36-2B15419FE06E}"/>
                </c:ext>
              </c:extLst>
            </c:dLbl>
            <c:dLbl>
              <c:idx val="68"/>
              <c:tx>
                <c:strRef>
                  <c:f>Frontend!$BR$78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{0D3D17F8-9575-4C80-817E-CC5F6E56A346}</c15:txfldGUID>
                      <c15:f>Frontend!$BR$78</c15:f>
                      <c15:dlblFieldTableCache>
                        <c:ptCount val="1"/>
                      </c15:dlblFieldTableCache>
                    </c15:dlblFTEntry>
                  </c15:dlblFieldTable>
                  <c15:showDataLabelsRange val="0"/>
                </c:ext>
                <c:ext xmlns:c16="http://schemas.microsoft.com/office/drawing/2014/chart" uri="{C3380CC4-5D6E-409C-BE32-E72D297353CC}">
                  <c16:uniqueId val="{00000046-504C-421D-AE36-2B15419FE06E}"/>
                </c:ext>
              </c:extLst>
            </c:dLbl>
            <c:dLbl>
              <c:idx val="69"/>
              <c:tx>
                <c:strRef>
                  <c:f>Frontend!$BR$79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{3DEE035A-E48E-4472-B6E1-0FD662D4842E}</c15:txfldGUID>
                      <c15:f>Frontend!$BR$79</c15:f>
                      <c15:dlblFieldTableCache>
                        <c:ptCount val="1"/>
                      </c15:dlblFieldTableCache>
                    </c15:dlblFTEntry>
                  </c15:dlblFieldTable>
                  <c15:showDataLabelsRange val="0"/>
                </c:ext>
                <c:ext xmlns:c16="http://schemas.microsoft.com/office/drawing/2014/chart" uri="{C3380CC4-5D6E-409C-BE32-E72D297353CC}">
                  <c16:uniqueId val="{00000047-504C-421D-AE36-2B15419FE06E}"/>
                </c:ext>
              </c:extLst>
            </c:dLbl>
            <c:dLbl>
              <c:idx val="70"/>
              <c:tx>
                <c:strRef>
                  <c:f>Frontend!$BR$80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{020B6164-D712-4C04-91EB-B8EC13C7B1DF}</c15:txfldGUID>
                      <c15:f>Frontend!$BR$80</c15:f>
                      <c15:dlblFieldTableCache>
                        <c:ptCount val="1"/>
                      </c15:dlblFieldTableCache>
                    </c15:dlblFTEntry>
                  </c15:dlblFieldTable>
                  <c15:showDataLabelsRange val="0"/>
                </c:ext>
                <c:ext xmlns:c16="http://schemas.microsoft.com/office/drawing/2014/chart" uri="{C3380CC4-5D6E-409C-BE32-E72D297353CC}">
                  <c16:uniqueId val="{00000048-504C-421D-AE36-2B15419FE06E}"/>
                </c:ext>
              </c:extLst>
            </c:dLbl>
            <c:dLbl>
              <c:idx val="71"/>
              <c:tx>
                <c:strRef>
                  <c:f>Frontend!$BR$81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{E8CEEFA9-3A06-449B-9B4B-41A89B30D3B0}</c15:txfldGUID>
                      <c15:f>Frontend!$BR$81</c15:f>
                      <c15:dlblFieldTableCache>
                        <c:ptCount val="1"/>
                      </c15:dlblFieldTableCache>
                    </c15:dlblFTEntry>
                  </c15:dlblFieldTable>
                  <c15:showDataLabelsRange val="0"/>
                </c:ext>
                <c:ext xmlns:c16="http://schemas.microsoft.com/office/drawing/2014/chart" uri="{C3380CC4-5D6E-409C-BE32-E72D297353CC}">
                  <c16:uniqueId val="{00000049-504C-421D-AE36-2B15419FE06E}"/>
                </c:ext>
              </c:extLst>
            </c:dLbl>
            <c:dLbl>
              <c:idx val="72"/>
              <c:tx>
                <c:strRef>
                  <c:f>Frontend!$BR$82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{722A7E69-6B54-42F5-8221-CFF6EFC64B99}</c15:txfldGUID>
                      <c15:f>Frontend!$BR$82</c15:f>
                      <c15:dlblFieldTableCache>
                        <c:ptCount val="1"/>
                      </c15:dlblFieldTableCache>
                    </c15:dlblFTEntry>
                  </c15:dlblFieldTable>
                  <c15:showDataLabelsRange val="0"/>
                </c:ext>
                <c:ext xmlns:c16="http://schemas.microsoft.com/office/drawing/2014/chart" uri="{C3380CC4-5D6E-409C-BE32-E72D297353CC}">
                  <c16:uniqueId val="{0000004A-504C-421D-AE36-2B15419FE06E}"/>
                </c:ext>
              </c:extLst>
            </c:dLbl>
            <c:dLbl>
              <c:idx val="73"/>
              <c:tx>
                <c:strRef>
                  <c:f>Frontend!$BR$83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{7034CB53-D7B9-4F9F-973A-0D68E4F33238}</c15:txfldGUID>
                      <c15:f>Frontend!$BR$83</c15:f>
                      <c15:dlblFieldTableCache>
                        <c:ptCount val="1"/>
                      </c15:dlblFieldTableCache>
                    </c15:dlblFTEntry>
                  </c15:dlblFieldTable>
                  <c15:showDataLabelsRange val="0"/>
                </c:ext>
                <c:ext xmlns:c16="http://schemas.microsoft.com/office/drawing/2014/chart" uri="{C3380CC4-5D6E-409C-BE32-E72D297353CC}">
                  <c16:uniqueId val="{0000004B-504C-421D-AE36-2B15419FE06E}"/>
                </c:ext>
              </c:extLst>
            </c:dLbl>
            <c:dLbl>
              <c:idx val="74"/>
              <c:tx>
                <c:strRef>
                  <c:f>Frontend!$BR$84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{3A1E85E1-1A49-4CA1-A6A2-D80FA3B42FC9}</c15:txfldGUID>
                      <c15:f>Frontend!$BR$84</c15:f>
                      <c15:dlblFieldTableCache>
                        <c:ptCount val="1"/>
                      </c15:dlblFieldTableCache>
                    </c15:dlblFTEntry>
                  </c15:dlblFieldTable>
                  <c15:showDataLabelsRange val="0"/>
                </c:ext>
                <c:ext xmlns:c16="http://schemas.microsoft.com/office/drawing/2014/chart" uri="{C3380CC4-5D6E-409C-BE32-E72D297353CC}">
                  <c16:uniqueId val="{0000004C-504C-421D-AE36-2B15419FE06E}"/>
                </c:ext>
              </c:extLst>
            </c:dLbl>
            <c:dLbl>
              <c:idx val="75"/>
              <c:tx>
                <c:strRef>
                  <c:f>Frontend!$BR$85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{ADA2E6BA-3535-4558-806C-06DB31487E02}</c15:txfldGUID>
                      <c15:f>Frontend!$BR$85</c15:f>
                      <c15:dlblFieldTableCache>
                        <c:ptCount val="1"/>
                      </c15:dlblFieldTableCache>
                    </c15:dlblFTEntry>
                  </c15:dlblFieldTable>
                  <c15:showDataLabelsRange val="0"/>
                </c:ext>
                <c:ext xmlns:c16="http://schemas.microsoft.com/office/drawing/2014/chart" uri="{C3380CC4-5D6E-409C-BE32-E72D297353CC}">
                  <c16:uniqueId val="{0000004D-504C-421D-AE36-2B15419FE06E}"/>
                </c:ext>
              </c:extLst>
            </c:dLbl>
            <c:dLbl>
              <c:idx val="76"/>
              <c:tx>
                <c:strRef>
                  <c:f>Frontend!$BR$86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{EF362535-9149-4D6C-ABF1-AFAA71018F7D}</c15:txfldGUID>
                      <c15:f>Frontend!$BR$86</c15:f>
                      <c15:dlblFieldTableCache>
                        <c:ptCount val="1"/>
                      </c15:dlblFieldTableCache>
                    </c15:dlblFTEntry>
                  </c15:dlblFieldTable>
                  <c15:showDataLabelsRange val="0"/>
                </c:ext>
                <c:ext xmlns:c16="http://schemas.microsoft.com/office/drawing/2014/chart" uri="{C3380CC4-5D6E-409C-BE32-E72D297353CC}">
                  <c16:uniqueId val="{0000004E-504C-421D-AE36-2B15419FE06E}"/>
                </c:ext>
              </c:extLst>
            </c:dLbl>
            <c:dLbl>
              <c:idx val="77"/>
              <c:tx>
                <c:strRef>
                  <c:f>Frontend!$BR$87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{20BC4BB9-6460-4126-BB24-B3C5B919D87A}</c15:txfldGUID>
                      <c15:f>Frontend!$BR$87</c15:f>
                      <c15:dlblFieldTableCache>
                        <c:ptCount val="1"/>
                      </c15:dlblFieldTableCache>
                    </c15:dlblFTEntry>
                  </c15:dlblFieldTable>
                  <c15:showDataLabelsRange val="0"/>
                </c:ext>
                <c:ext xmlns:c16="http://schemas.microsoft.com/office/drawing/2014/chart" uri="{C3380CC4-5D6E-409C-BE32-E72D297353CC}">
                  <c16:uniqueId val="{0000004F-504C-421D-AE36-2B15419FE06E}"/>
                </c:ext>
              </c:extLst>
            </c:dLbl>
            <c:dLbl>
              <c:idx val="78"/>
              <c:tx>
                <c:strRef>
                  <c:f>Frontend!$BR$88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{58ABB134-F04C-448B-936D-94168B4EB8D6}</c15:txfldGUID>
                      <c15:f>Frontend!$BR$88</c15:f>
                      <c15:dlblFieldTableCache>
                        <c:ptCount val="1"/>
                      </c15:dlblFieldTableCache>
                    </c15:dlblFTEntry>
                  </c15:dlblFieldTable>
                  <c15:showDataLabelsRange val="0"/>
                </c:ext>
                <c:ext xmlns:c16="http://schemas.microsoft.com/office/drawing/2014/chart" uri="{C3380CC4-5D6E-409C-BE32-E72D297353CC}">
                  <c16:uniqueId val="{00000050-504C-421D-AE36-2B15419FE06E}"/>
                </c:ext>
              </c:extLst>
            </c:dLbl>
            <c:dLbl>
              <c:idx val="79"/>
              <c:tx>
                <c:strRef>
                  <c:f>Frontend!$BR$89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{C8CB997F-E431-42F4-989D-8533E5798B89}</c15:txfldGUID>
                      <c15:f>Frontend!$BR$89</c15:f>
                      <c15:dlblFieldTableCache>
                        <c:ptCount val="1"/>
                      </c15:dlblFieldTableCache>
                    </c15:dlblFTEntry>
                  </c15:dlblFieldTable>
                  <c15:showDataLabelsRange val="0"/>
                </c:ext>
                <c:ext xmlns:c16="http://schemas.microsoft.com/office/drawing/2014/chart" uri="{C3380CC4-5D6E-409C-BE32-E72D297353CC}">
                  <c16:uniqueId val="{00000051-504C-421D-AE36-2B15419FE06E}"/>
                </c:ext>
              </c:extLst>
            </c:dLbl>
            <c:dLbl>
              <c:idx val="80"/>
              <c:tx>
                <c:strRef>
                  <c:f>Frontend!$BR$90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{144AB1A8-7AEE-4E6E-92C2-45B535974722}</c15:txfldGUID>
                      <c15:f>Frontend!$BR$90</c15:f>
                      <c15:dlblFieldTableCache>
                        <c:ptCount val="1"/>
                      </c15:dlblFieldTableCache>
                    </c15:dlblFTEntry>
                  </c15:dlblFieldTable>
                  <c15:showDataLabelsRange val="0"/>
                </c:ext>
                <c:ext xmlns:c16="http://schemas.microsoft.com/office/drawing/2014/chart" uri="{C3380CC4-5D6E-409C-BE32-E72D297353CC}">
                  <c16:uniqueId val="{00000052-504C-421D-AE36-2B15419FE06E}"/>
                </c:ext>
              </c:extLst>
            </c:dLbl>
            <c:dLbl>
              <c:idx val="81"/>
              <c:tx>
                <c:strRef>
                  <c:f>Frontend!$BR$91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{D4E03972-6A79-42D8-8649-68DF2EA02A65}</c15:txfldGUID>
                      <c15:f>Frontend!$BR$91</c15:f>
                      <c15:dlblFieldTableCache>
                        <c:ptCount val="1"/>
                      </c15:dlblFieldTableCache>
                    </c15:dlblFTEntry>
                  </c15:dlblFieldTable>
                  <c15:showDataLabelsRange val="0"/>
                </c:ext>
                <c:ext xmlns:c16="http://schemas.microsoft.com/office/drawing/2014/chart" uri="{C3380CC4-5D6E-409C-BE32-E72D297353CC}">
                  <c16:uniqueId val="{00000053-504C-421D-AE36-2B15419FE06E}"/>
                </c:ext>
              </c:extLst>
            </c:dLbl>
            <c:dLbl>
              <c:idx val="82"/>
              <c:tx>
                <c:strRef>
                  <c:f>Frontend!$BR$92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{9F65A35A-D278-4D11-8699-92A3AE090C63}</c15:txfldGUID>
                      <c15:f>Frontend!$BR$92</c15:f>
                      <c15:dlblFieldTableCache>
                        <c:ptCount val="1"/>
                      </c15:dlblFieldTableCache>
                    </c15:dlblFTEntry>
                  </c15:dlblFieldTable>
                  <c15:showDataLabelsRange val="0"/>
                </c:ext>
                <c:ext xmlns:c16="http://schemas.microsoft.com/office/drawing/2014/chart" uri="{C3380CC4-5D6E-409C-BE32-E72D297353CC}">
                  <c16:uniqueId val="{00000054-504C-421D-AE36-2B15419FE06E}"/>
                </c:ext>
              </c:extLst>
            </c:dLbl>
            <c:dLbl>
              <c:idx val="83"/>
              <c:tx>
                <c:strRef>
                  <c:f>Frontend!$BR$93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{BF1D1B97-9311-4F46-B80E-B2EBD10DD8F2}</c15:txfldGUID>
                      <c15:f>Frontend!$BR$93</c15:f>
                      <c15:dlblFieldTableCache>
                        <c:ptCount val="1"/>
                      </c15:dlblFieldTableCache>
                    </c15:dlblFTEntry>
                  </c15:dlblFieldTable>
                  <c15:showDataLabelsRange val="0"/>
                </c:ext>
                <c:ext xmlns:c16="http://schemas.microsoft.com/office/drawing/2014/chart" uri="{C3380CC4-5D6E-409C-BE32-E72D297353CC}">
                  <c16:uniqueId val="{00000055-504C-421D-AE36-2B15419FE06E}"/>
                </c:ext>
              </c:extLst>
            </c:dLbl>
            <c:dLbl>
              <c:idx val="84"/>
              <c:tx>
                <c:strRef>
                  <c:f>Frontend!$BR$94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{7DEA7FF2-9399-4C88-9A8F-FA025B4450E3}</c15:txfldGUID>
                      <c15:f>Frontend!$BR$94</c15:f>
                      <c15:dlblFieldTableCache>
                        <c:ptCount val="1"/>
                      </c15:dlblFieldTableCache>
                    </c15:dlblFTEntry>
                  </c15:dlblFieldTable>
                  <c15:showDataLabelsRange val="0"/>
                </c:ext>
                <c:ext xmlns:c16="http://schemas.microsoft.com/office/drawing/2014/chart" uri="{C3380CC4-5D6E-409C-BE32-E72D297353CC}">
                  <c16:uniqueId val="{00000056-504C-421D-AE36-2B15419FE06E}"/>
                </c:ext>
              </c:extLst>
            </c:dLbl>
            <c:dLbl>
              <c:idx val="85"/>
              <c:tx>
                <c:strRef>
                  <c:f>Frontend!$BR$95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{65952FAE-FCD9-43FD-A118-0669FF69F510}</c15:txfldGUID>
                      <c15:f>Frontend!$BR$95</c15:f>
                      <c15:dlblFieldTableCache>
                        <c:ptCount val="1"/>
                      </c15:dlblFieldTableCache>
                    </c15:dlblFTEntry>
                  </c15:dlblFieldTable>
                  <c15:showDataLabelsRange val="0"/>
                </c:ext>
                <c:ext xmlns:c16="http://schemas.microsoft.com/office/drawing/2014/chart" uri="{C3380CC4-5D6E-409C-BE32-E72D297353CC}">
                  <c16:uniqueId val="{00000057-504C-421D-AE36-2B15419FE06E}"/>
                </c:ext>
              </c:extLst>
            </c:dLbl>
            <c:dLbl>
              <c:idx val="86"/>
              <c:tx>
                <c:strRef>
                  <c:f>Frontend!$BR$96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{BAECD77A-5D20-485B-8969-A4BCEB98B927}</c15:txfldGUID>
                      <c15:f>Frontend!$BR$96</c15:f>
                      <c15:dlblFieldTableCache>
                        <c:ptCount val="1"/>
                      </c15:dlblFieldTableCache>
                    </c15:dlblFTEntry>
                  </c15:dlblFieldTable>
                  <c15:showDataLabelsRange val="0"/>
                </c:ext>
                <c:ext xmlns:c16="http://schemas.microsoft.com/office/drawing/2014/chart" uri="{C3380CC4-5D6E-409C-BE32-E72D297353CC}">
                  <c16:uniqueId val="{00000058-504C-421D-AE36-2B15419FE06E}"/>
                </c:ext>
              </c:extLst>
            </c:dLbl>
            <c:dLbl>
              <c:idx val="87"/>
              <c:tx>
                <c:strRef>
                  <c:f>Frontend!$BR$97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{6F89B697-2709-4E05-94FF-953190EF28F9}</c15:txfldGUID>
                      <c15:f>Frontend!$BR$97</c15:f>
                      <c15:dlblFieldTableCache>
                        <c:ptCount val="1"/>
                      </c15:dlblFieldTableCache>
                    </c15:dlblFTEntry>
                  </c15:dlblFieldTable>
                  <c15:showDataLabelsRange val="0"/>
                </c:ext>
                <c:ext xmlns:c16="http://schemas.microsoft.com/office/drawing/2014/chart" uri="{C3380CC4-5D6E-409C-BE32-E72D297353CC}">
                  <c16:uniqueId val="{00000059-504C-421D-AE36-2B15419FE06E}"/>
                </c:ext>
              </c:extLst>
            </c:dLbl>
            <c:dLbl>
              <c:idx val="88"/>
              <c:tx>
                <c:strRef>
                  <c:f>Frontend!$BR$98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{50084D6F-6392-4DA3-A4A8-D8216D9E323A}</c15:txfldGUID>
                      <c15:f>Frontend!$BR$98</c15:f>
                      <c15:dlblFieldTableCache>
                        <c:ptCount val="1"/>
                      </c15:dlblFieldTableCache>
                    </c15:dlblFTEntry>
                  </c15:dlblFieldTable>
                  <c15:showDataLabelsRange val="0"/>
                </c:ext>
                <c:ext xmlns:c16="http://schemas.microsoft.com/office/drawing/2014/chart" uri="{C3380CC4-5D6E-409C-BE32-E72D297353CC}">
                  <c16:uniqueId val="{0000005A-504C-421D-AE36-2B15419FE06E}"/>
                </c:ext>
              </c:extLst>
            </c:dLbl>
            <c:dLbl>
              <c:idx val="89"/>
              <c:tx>
                <c:strRef>
                  <c:f>Frontend!$BR$99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{81B30A70-C421-4526-A0CE-5E8BE3E9E00E}</c15:txfldGUID>
                      <c15:f>Frontend!$BR$99</c15:f>
                      <c15:dlblFieldTableCache>
                        <c:ptCount val="1"/>
                      </c15:dlblFieldTableCache>
                    </c15:dlblFTEntry>
                  </c15:dlblFieldTable>
                  <c15:showDataLabelsRange val="0"/>
                </c:ext>
                <c:ext xmlns:c16="http://schemas.microsoft.com/office/drawing/2014/chart" uri="{C3380CC4-5D6E-409C-BE32-E72D297353CC}">
                  <c16:uniqueId val="{0000005B-504C-421D-AE36-2B15419FE06E}"/>
                </c:ext>
              </c:extLst>
            </c:dLbl>
            <c:dLbl>
              <c:idx val="90"/>
              <c:tx>
                <c:strRef>
                  <c:f>Frontend!$BR$100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{F7CF4C96-4F1F-4700-A538-3DB54B8C776F}</c15:txfldGUID>
                      <c15:f>Frontend!$BR$100</c15:f>
                      <c15:dlblFieldTableCache>
                        <c:ptCount val="1"/>
                      </c15:dlblFieldTableCache>
                    </c15:dlblFTEntry>
                  </c15:dlblFieldTable>
                  <c15:showDataLabelsRange val="0"/>
                </c:ext>
                <c:ext xmlns:c16="http://schemas.microsoft.com/office/drawing/2014/chart" uri="{C3380CC4-5D6E-409C-BE32-E72D297353CC}">
                  <c16:uniqueId val="{0000005C-504C-421D-AE36-2B15419FE06E}"/>
                </c:ext>
              </c:extLst>
            </c:dLbl>
            <c:dLbl>
              <c:idx val="91"/>
              <c:tx>
                <c:strRef>
                  <c:f>Frontend!$BR$101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{8A9B55C7-4CE3-4AF3-8E28-049F98E0B717}</c15:txfldGUID>
                      <c15:f>Frontend!$BR$101</c15:f>
                      <c15:dlblFieldTableCache>
                        <c:ptCount val="1"/>
                      </c15:dlblFieldTableCache>
                    </c15:dlblFTEntry>
                  </c15:dlblFieldTable>
                  <c15:showDataLabelsRange val="0"/>
                </c:ext>
                <c:ext xmlns:c16="http://schemas.microsoft.com/office/drawing/2014/chart" uri="{C3380CC4-5D6E-409C-BE32-E72D297353CC}">
                  <c16:uniqueId val="{0000005D-504C-421D-AE36-2B15419FE06E}"/>
                </c:ext>
              </c:extLst>
            </c:dLbl>
            <c:dLbl>
              <c:idx val="92"/>
              <c:tx>
                <c:strRef>
                  <c:f>Frontend!$BR$102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{79A8F830-62D5-4440-A774-E204323C2401}</c15:txfldGUID>
                      <c15:f>Frontend!$BR$102</c15:f>
                      <c15:dlblFieldTableCache>
                        <c:ptCount val="1"/>
                      </c15:dlblFieldTableCache>
                    </c15:dlblFTEntry>
                  </c15:dlblFieldTable>
                  <c15:showDataLabelsRange val="0"/>
                </c:ext>
                <c:ext xmlns:c16="http://schemas.microsoft.com/office/drawing/2014/chart" uri="{C3380CC4-5D6E-409C-BE32-E72D297353CC}">
                  <c16:uniqueId val="{0000005E-504C-421D-AE36-2B15419FE06E}"/>
                </c:ext>
              </c:extLst>
            </c:dLbl>
            <c:dLbl>
              <c:idx val="93"/>
              <c:tx>
                <c:strRef>
                  <c:f>Frontend!$BR$103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{A74FF477-13E7-450F-9336-25ABCAD293F6}</c15:txfldGUID>
                      <c15:f>Frontend!$BR$103</c15:f>
                      <c15:dlblFieldTableCache>
                        <c:ptCount val="1"/>
                      </c15:dlblFieldTableCache>
                    </c15:dlblFTEntry>
                  </c15:dlblFieldTable>
                  <c15:showDataLabelsRange val="0"/>
                </c:ext>
                <c:ext xmlns:c16="http://schemas.microsoft.com/office/drawing/2014/chart" uri="{C3380CC4-5D6E-409C-BE32-E72D297353CC}">
                  <c16:uniqueId val="{0000005F-504C-421D-AE36-2B15419FE06E}"/>
                </c:ext>
              </c:extLst>
            </c:dLbl>
            <c:dLbl>
              <c:idx val="94"/>
              <c:tx>
                <c:strRef>
                  <c:f>Frontend!$BR$104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{DA74FD60-2320-44CE-8FDC-369EF7913F68}</c15:txfldGUID>
                      <c15:f>Frontend!$BR$104</c15:f>
                      <c15:dlblFieldTableCache>
                        <c:ptCount val="1"/>
                      </c15:dlblFieldTableCache>
                    </c15:dlblFTEntry>
                  </c15:dlblFieldTable>
                  <c15:showDataLabelsRange val="0"/>
                </c:ext>
                <c:ext xmlns:c16="http://schemas.microsoft.com/office/drawing/2014/chart" uri="{C3380CC4-5D6E-409C-BE32-E72D297353CC}">
                  <c16:uniqueId val="{00000060-504C-421D-AE36-2B15419FE06E}"/>
                </c:ext>
              </c:extLst>
            </c:dLbl>
            <c:dLbl>
              <c:idx val="95"/>
              <c:tx>
                <c:strRef>
                  <c:f>Frontend!$BR$105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{4F32610A-58DE-49AA-B7A9-7D8743C587BF}</c15:txfldGUID>
                      <c15:f>Frontend!$BR$105</c15:f>
                      <c15:dlblFieldTableCache>
                        <c:ptCount val="1"/>
                      </c15:dlblFieldTableCache>
                    </c15:dlblFTEntry>
                  </c15:dlblFieldTable>
                  <c15:showDataLabelsRange val="0"/>
                </c:ext>
                <c:ext xmlns:c16="http://schemas.microsoft.com/office/drawing/2014/chart" uri="{C3380CC4-5D6E-409C-BE32-E72D297353CC}">
                  <c16:uniqueId val="{00000061-504C-421D-AE36-2B15419FE06E}"/>
                </c:ext>
              </c:extLst>
            </c:dLbl>
            <c:dLbl>
              <c:idx val="96"/>
              <c:tx>
                <c:strRef>
                  <c:f>Frontend!$BR$106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{E5763246-01FD-4846-A656-B2157C91B70F}</c15:txfldGUID>
                      <c15:f>Frontend!$BR$106</c15:f>
                      <c15:dlblFieldTableCache>
                        <c:ptCount val="1"/>
                      </c15:dlblFieldTableCache>
                    </c15:dlblFTEntry>
                  </c15:dlblFieldTable>
                  <c15:showDataLabelsRange val="0"/>
                </c:ext>
                <c:ext xmlns:c16="http://schemas.microsoft.com/office/drawing/2014/chart" uri="{C3380CC4-5D6E-409C-BE32-E72D297353CC}">
                  <c16:uniqueId val="{00000062-504C-421D-AE36-2B15419FE06E}"/>
                </c:ext>
              </c:extLst>
            </c:dLbl>
            <c:dLbl>
              <c:idx val="97"/>
              <c:tx>
                <c:strRef>
                  <c:f>Frontend!$BR$107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{7A06114D-540A-4630-BEA5-9191ACA7FDD1}</c15:txfldGUID>
                      <c15:f>Frontend!$BR$107</c15:f>
                      <c15:dlblFieldTableCache>
                        <c:ptCount val="1"/>
                      </c15:dlblFieldTableCache>
                    </c15:dlblFTEntry>
                  </c15:dlblFieldTable>
                  <c15:showDataLabelsRange val="0"/>
                </c:ext>
                <c:ext xmlns:c16="http://schemas.microsoft.com/office/drawing/2014/chart" uri="{C3380CC4-5D6E-409C-BE32-E72D297353CC}">
                  <c16:uniqueId val="{00000063-504C-421D-AE36-2B15419FE06E}"/>
                </c:ext>
              </c:extLst>
            </c:dLbl>
            <c:dLbl>
              <c:idx val="98"/>
              <c:tx>
                <c:strRef>
                  <c:f>Frontend!$BR$108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{44A3152C-0509-4650-88AD-E4FC532DC0DB}</c15:txfldGUID>
                      <c15:f>Frontend!$BR$108</c15:f>
                      <c15:dlblFieldTableCache>
                        <c:ptCount val="1"/>
                      </c15:dlblFieldTableCache>
                    </c15:dlblFTEntry>
                  </c15:dlblFieldTable>
                  <c15:showDataLabelsRange val="0"/>
                </c:ext>
                <c:ext xmlns:c16="http://schemas.microsoft.com/office/drawing/2014/chart" uri="{C3380CC4-5D6E-409C-BE32-E72D297353CC}">
                  <c16:uniqueId val="{00000064-504C-421D-AE36-2B15419FE06E}"/>
                </c:ext>
              </c:extLst>
            </c:dLbl>
            <c:dLbl>
              <c:idx val="99"/>
              <c:tx>
                <c:strRef>
                  <c:f>Frontend!$BR$109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{8236EB73-C38B-454A-8E07-2A0669D8B7B6}</c15:txfldGUID>
                      <c15:f>Frontend!$BR$109</c15:f>
                      <c15:dlblFieldTableCache>
                        <c:ptCount val="1"/>
                      </c15:dlblFieldTableCache>
                    </c15:dlblFTEntry>
                  </c15:dlblFieldTable>
                  <c15:showDataLabelsRange val="0"/>
                </c:ext>
                <c:ext xmlns:c16="http://schemas.microsoft.com/office/drawing/2014/chart" uri="{C3380CC4-5D6E-409C-BE32-E72D297353CC}">
                  <c16:uniqueId val="{00000065-504C-421D-AE36-2B15419FE06E}"/>
                </c:ext>
              </c:extLst>
            </c:dLbl>
            <c:dLbl>
              <c:idx val="100"/>
              <c:tx>
                <c:strRef>
                  <c:f>Frontend!$BR$110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{113F808B-FF57-4112-A1E3-021124E4DD3A}</c15:txfldGUID>
                      <c15:f>Frontend!$BR$110</c15:f>
                      <c15:dlblFieldTableCache>
                        <c:ptCount val="1"/>
                      </c15:dlblFieldTableCache>
                    </c15:dlblFTEntry>
                  </c15:dlblFieldTable>
                  <c15:showDataLabelsRange val="0"/>
                </c:ext>
                <c:ext xmlns:c16="http://schemas.microsoft.com/office/drawing/2014/chart" uri="{C3380CC4-5D6E-409C-BE32-E72D297353CC}">
                  <c16:uniqueId val="{00000066-504C-421D-AE36-2B15419FE06E}"/>
                </c:ext>
              </c:extLst>
            </c:dLbl>
            <c:dLbl>
              <c:idx val="101"/>
              <c:tx>
                <c:strRef>
                  <c:f>Frontend!$BR$111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{A9B7154B-51FA-494E-8A9C-9E75CEB6E0B1}</c15:txfldGUID>
                      <c15:f>Frontend!$BR$111</c15:f>
                      <c15:dlblFieldTableCache>
                        <c:ptCount val="1"/>
                      </c15:dlblFieldTableCache>
                    </c15:dlblFTEntry>
                  </c15:dlblFieldTable>
                  <c15:showDataLabelsRange val="0"/>
                </c:ext>
                <c:ext xmlns:c16="http://schemas.microsoft.com/office/drawing/2014/chart" uri="{C3380CC4-5D6E-409C-BE32-E72D297353CC}">
                  <c16:uniqueId val="{00000067-504C-421D-AE36-2B15419FE06E}"/>
                </c:ext>
              </c:extLst>
            </c:dLbl>
            <c:dLbl>
              <c:idx val="102"/>
              <c:tx>
                <c:strRef>
                  <c:f>Frontend!$BR$112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{E6754582-D806-4800-9E3C-B556930B87D7}</c15:txfldGUID>
                      <c15:f>Frontend!$BR$112</c15:f>
                      <c15:dlblFieldTableCache>
                        <c:ptCount val="1"/>
                      </c15:dlblFieldTableCache>
                    </c15:dlblFTEntry>
                  </c15:dlblFieldTable>
                  <c15:showDataLabelsRange val="0"/>
                </c:ext>
                <c:ext xmlns:c16="http://schemas.microsoft.com/office/drawing/2014/chart" uri="{C3380CC4-5D6E-409C-BE32-E72D297353CC}">
                  <c16:uniqueId val="{00000068-504C-421D-AE36-2B15419FE06E}"/>
                </c:ext>
              </c:extLst>
            </c:dLbl>
            <c:dLbl>
              <c:idx val="103"/>
              <c:tx>
                <c:strRef>
                  <c:f>Frontend!$BR$113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{E4A6F5C0-DC67-4FA7-B22C-035EDDB49157}</c15:txfldGUID>
                      <c15:f>Frontend!$BR$113</c15:f>
                      <c15:dlblFieldTableCache>
                        <c:ptCount val="1"/>
                      </c15:dlblFieldTableCache>
                    </c15:dlblFTEntry>
                  </c15:dlblFieldTable>
                  <c15:showDataLabelsRange val="0"/>
                </c:ext>
                <c:ext xmlns:c16="http://schemas.microsoft.com/office/drawing/2014/chart" uri="{C3380CC4-5D6E-409C-BE32-E72D297353CC}">
                  <c16:uniqueId val="{00000069-504C-421D-AE36-2B15419FE06E}"/>
                </c:ext>
              </c:extLst>
            </c:dLbl>
            <c:dLbl>
              <c:idx val="104"/>
              <c:tx>
                <c:strRef>
                  <c:f>Frontend!$BR$114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{6A795150-94A1-4804-813E-2C009C72F978}</c15:txfldGUID>
                      <c15:f>Frontend!$BR$114</c15:f>
                      <c15:dlblFieldTableCache>
                        <c:ptCount val="1"/>
                      </c15:dlblFieldTableCache>
                    </c15:dlblFTEntry>
                  </c15:dlblFieldTable>
                  <c15:showDataLabelsRange val="0"/>
                </c:ext>
                <c:ext xmlns:c16="http://schemas.microsoft.com/office/drawing/2014/chart" uri="{C3380CC4-5D6E-409C-BE32-E72D297353CC}">
                  <c16:uniqueId val="{0000006A-504C-421D-AE36-2B15419FE06E}"/>
                </c:ext>
              </c:extLst>
            </c:dLbl>
            <c:dLbl>
              <c:idx val="105"/>
              <c:tx>
                <c:strRef>
                  <c:f>Frontend!$BR$115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{EE439055-9D0E-417E-A903-D7F798543B5E}</c15:txfldGUID>
                      <c15:f>Frontend!$BR$115</c15:f>
                      <c15:dlblFieldTableCache>
                        <c:ptCount val="1"/>
                      </c15:dlblFieldTableCache>
                    </c15:dlblFTEntry>
                  </c15:dlblFieldTable>
                  <c15:showDataLabelsRange val="0"/>
                </c:ext>
                <c:ext xmlns:c16="http://schemas.microsoft.com/office/drawing/2014/chart" uri="{C3380CC4-5D6E-409C-BE32-E72D297353CC}">
                  <c16:uniqueId val="{0000006B-504C-421D-AE36-2B15419FE06E}"/>
                </c:ext>
              </c:extLst>
            </c:dLbl>
            <c:dLbl>
              <c:idx val="106"/>
              <c:tx>
                <c:strRef>
                  <c:f>Frontend!$BR$116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{4F676F8B-08B7-425D-8946-C8C4C7E4C1C8}</c15:txfldGUID>
                      <c15:f>Frontend!$BR$116</c15:f>
                      <c15:dlblFieldTableCache>
                        <c:ptCount val="1"/>
                      </c15:dlblFieldTableCache>
                    </c15:dlblFTEntry>
                  </c15:dlblFieldTable>
                  <c15:showDataLabelsRange val="0"/>
                </c:ext>
                <c:ext xmlns:c16="http://schemas.microsoft.com/office/drawing/2014/chart" uri="{C3380CC4-5D6E-409C-BE32-E72D297353CC}">
                  <c16:uniqueId val="{0000006C-504C-421D-AE36-2B15419FE06E}"/>
                </c:ext>
              </c:extLst>
            </c:dLbl>
            <c:dLbl>
              <c:idx val="107"/>
              <c:tx>
                <c:strRef>
                  <c:f>Frontend!$BR$117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{564525A3-2F57-45C0-963E-97F977E5A966}</c15:txfldGUID>
                      <c15:f>Frontend!$BR$117</c15:f>
                      <c15:dlblFieldTableCache>
                        <c:ptCount val="1"/>
                      </c15:dlblFieldTableCache>
                    </c15:dlblFTEntry>
                  </c15:dlblFieldTable>
                  <c15:showDataLabelsRange val="0"/>
                </c:ext>
                <c:ext xmlns:c16="http://schemas.microsoft.com/office/drawing/2014/chart" uri="{C3380CC4-5D6E-409C-BE32-E72D297353CC}">
                  <c16:uniqueId val="{0000006D-504C-421D-AE36-2B15419FE06E}"/>
                </c:ext>
              </c:extLst>
            </c:dLbl>
            <c:dLbl>
              <c:idx val="108"/>
              <c:tx>
                <c:strRef>
                  <c:f>Frontend!$BR$118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{6020DD87-E2D1-44FB-B49B-F4178067540F}</c15:txfldGUID>
                      <c15:f>Frontend!$BR$118</c15:f>
                      <c15:dlblFieldTableCache>
                        <c:ptCount val="1"/>
                      </c15:dlblFieldTableCache>
                    </c15:dlblFTEntry>
                  </c15:dlblFieldTable>
                  <c15:showDataLabelsRange val="0"/>
                </c:ext>
                <c:ext xmlns:c16="http://schemas.microsoft.com/office/drawing/2014/chart" uri="{C3380CC4-5D6E-409C-BE32-E72D297353CC}">
                  <c16:uniqueId val="{0000006E-504C-421D-AE36-2B15419FE06E}"/>
                </c:ext>
              </c:extLst>
            </c:dLbl>
            <c:dLbl>
              <c:idx val="109"/>
              <c:tx>
                <c:strRef>
                  <c:f>Frontend!$BR$119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{9ECDF1FC-3988-41BC-A2C7-37F773CE6F5E}</c15:txfldGUID>
                      <c15:f>Frontend!$BR$119</c15:f>
                      <c15:dlblFieldTableCache>
                        <c:ptCount val="1"/>
                      </c15:dlblFieldTableCache>
                    </c15:dlblFTEntry>
                  </c15:dlblFieldTable>
                  <c15:showDataLabelsRange val="0"/>
                </c:ext>
                <c:ext xmlns:c16="http://schemas.microsoft.com/office/drawing/2014/chart" uri="{C3380CC4-5D6E-409C-BE32-E72D297353CC}">
                  <c16:uniqueId val="{0000006F-504C-421D-AE36-2B15419FE06E}"/>
                </c:ext>
              </c:extLst>
            </c:dLbl>
            <c:dLbl>
              <c:idx val="110"/>
              <c:tx>
                <c:strRef>
                  <c:f>Frontend!$BR$120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{32308001-C9B7-4536-A445-290BA06E3196}</c15:txfldGUID>
                      <c15:f>Frontend!$BR$120</c15:f>
                      <c15:dlblFieldTableCache>
                        <c:ptCount val="1"/>
                      </c15:dlblFieldTableCache>
                    </c15:dlblFTEntry>
                  </c15:dlblFieldTable>
                  <c15:showDataLabelsRange val="0"/>
                </c:ext>
                <c:ext xmlns:c16="http://schemas.microsoft.com/office/drawing/2014/chart" uri="{C3380CC4-5D6E-409C-BE32-E72D297353CC}">
                  <c16:uniqueId val="{00000070-504C-421D-AE36-2B15419FE06E}"/>
                </c:ext>
              </c:extLst>
            </c:dLbl>
            <c:dLbl>
              <c:idx val="111"/>
              <c:tx>
                <c:strRef>
                  <c:f>Frontend!$BR$121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{CC04FFFF-67AB-4FBF-992E-B83A90949E68}</c15:txfldGUID>
                      <c15:f>Frontend!$BR$121</c15:f>
                      <c15:dlblFieldTableCache>
                        <c:ptCount val="1"/>
                      </c15:dlblFieldTableCache>
                    </c15:dlblFTEntry>
                  </c15:dlblFieldTable>
                  <c15:showDataLabelsRange val="0"/>
                </c:ext>
                <c:ext xmlns:c16="http://schemas.microsoft.com/office/drawing/2014/chart" uri="{C3380CC4-5D6E-409C-BE32-E72D297353CC}">
                  <c16:uniqueId val="{00000071-504C-421D-AE36-2B15419FE06E}"/>
                </c:ext>
              </c:extLst>
            </c:dLbl>
            <c:dLbl>
              <c:idx val="112"/>
              <c:tx>
                <c:strRef>
                  <c:f>Frontend!$BR$122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{3CC2E663-D864-4903-8E81-290EAB19A40D}</c15:txfldGUID>
                      <c15:f>Frontend!$BR$122</c15:f>
                      <c15:dlblFieldTableCache>
                        <c:ptCount val="1"/>
                      </c15:dlblFieldTableCache>
                    </c15:dlblFTEntry>
                  </c15:dlblFieldTable>
                  <c15:showDataLabelsRange val="0"/>
                </c:ext>
                <c:ext xmlns:c16="http://schemas.microsoft.com/office/drawing/2014/chart" uri="{C3380CC4-5D6E-409C-BE32-E72D297353CC}">
                  <c16:uniqueId val="{00000072-504C-421D-AE36-2B15419FE06E}"/>
                </c:ext>
              </c:extLst>
            </c:dLbl>
            <c:dLbl>
              <c:idx val="113"/>
              <c:tx>
                <c:strRef>
                  <c:f>Frontend!$BR$123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{F1E6C6B7-EC27-410C-84F3-9D2E6E6864AF}</c15:txfldGUID>
                      <c15:f>Frontend!$BR$123</c15:f>
                      <c15:dlblFieldTableCache>
                        <c:ptCount val="1"/>
                      </c15:dlblFieldTableCache>
                    </c15:dlblFTEntry>
                  </c15:dlblFieldTable>
                  <c15:showDataLabelsRange val="0"/>
                </c:ext>
                <c:ext xmlns:c16="http://schemas.microsoft.com/office/drawing/2014/chart" uri="{C3380CC4-5D6E-409C-BE32-E72D297353CC}">
                  <c16:uniqueId val="{00000073-504C-421D-AE36-2B15419FE06E}"/>
                </c:ext>
              </c:extLst>
            </c:dLbl>
            <c:dLbl>
              <c:idx val="114"/>
              <c:tx>
                <c:strRef>
                  <c:f>Frontend!$BR$124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{175F5F37-6A8D-4B2D-ABE1-A1182E73F6DF}</c15:txfldGUID>
                      <c15:f>Frontend!$BR$124</c15:f>
                      <c15:dlblFieldTableCache>
                        <c:ptCount val="1"/>
                      </c15:dlblFieldTableCache>
                    </c15:dlblFTEntry>
                  </c15:dlblFieldTable>
                  <c15:showDataLabelsRange val="0"/>
                </c:ext>
                <c:ext xmlns:c16="http://schemas.microsoft.com/office/drawing/2014/chart" uri="{C3380CC4-5D6E-409C-BE32-E72D297353CC}">
                  <c16:uniqueId val="{00000074-504C-421D-AE36-2B15419FE06E}"/>
                </c:ext>
              </c:extLst>
            </c:dLbl>
            <c:dLbl>
              <c:idx val="115"/>
              <c:tx>
                <c:strRef>
                  <c:f>Frontend!$BR$125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{81F90EF5-941F-480E-9987-9A53BDBCB332}</c15:txfldGUID>
                      <c15:f>Frontend!$BR$125</c15:f>
                      <c15:dlblFieldTableCache>
                        <c:ptCount val="1"/>
                      </c15:dlblFieldTableCache>
                    </c15:dlblFTEntry>
                  </c15:dlblFieldTable>
                  <c15:showDataLabelsRange val="0"/>
                </c:ext>
                <c:ext xmlns:c16="http://schemas.microsoft.com/office/drawing/2014/chart" uri="{C3380CC4-5D6E-409C-BE32-E72D297353CC}">
                  <c16:uniqueId val="{00000075-504C-421D-AE36-2B15419FE06E}"/>
                </c:ext>
              </c:extLst>
            </c:dLbl>
            <c:dLbl>
              <c:idx val="116"/>
              <c:tx>
                <c:strRef>
                  <c:f>Frontend!$BR$126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{C7CB213D-3F76-4A3B-B209-90452269E9CE}</c15:txfldGUID>
                      <c15:f>Frontend!$BR$126</c15:f>
                      <c15:dlblFieldTableCache>
                        <c:ptCount val="1"/>
                      </c15:dlblFieldTableCache>
                    </c15:dlblFTEntry>
                  </c15:dlblFieldTable>
                  <c15:showDataLabelsRange val="0"/>
                </c:ext>
                <c:ext xmlns:c16="http://schemas.microsoft.com/office/drawing/2014/chart" uri="{C3380CC4-5D6E-409C-BE32-E72D297353CC}">
                  <c16:uniqueId val="{00000076-504C-421D-AE36-2B15419FE06E}"/>
                </c:ext>
              </c:extLst>
            </c:dLbl>
            <c:dLbl>
              <c:idx val="117"/>
              <c:tx>
                <c:strRef>
                  <c:f>Frontend!$BR$127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{1DF3BD9F-02B6-4261-B9D9-165ABEA42B93}</c15:txfldGUID>
                      <c15:f>Frontend!$BR$127</c15:f>
                      <c15:dlblFieldTableCache>
                        <c:ptCount val="1"/>
                      </c15:dlblFieldTableCache>
                    </c15:dlblFTEntry>
                  </c15:dlblFieldTable>
                  <c15:showDataLabelsRange val="0"/>
                </c:ext>
                <c:ext xmlns:c16="http://schemas.microsoft.com/office/drawing/2014/chart" uri="{C3380CC4-5D6E-409C-BE32-E72D297353CC}">
                  <c16:uniqueId val="{00000077-504C-421D-AE36-2B15419FE06E}"/>
                </c:ext>
              </c:extLst>
            </c:dLbl>
            <c:dLbl>
              <c:idx val="118"/>
              <c:tx>
                <c:strRef>
                  <c:f>Frontend!$BR$128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{B9EC351F-824B-4E29-A1BC-C830C5EF4425}</c15:txfldGUID>
                      <c15:f>Frontend!$BR$128</c15:f>
                      <c15:dlblFieldTableCache>
                        <c:ptCount val="1"/>
                      </c15:dlblFieldTableCache>
                    </c15:dlblFTEntry>
                  </c15:dlblFieldTable>
                  <c15:showDataLabelsRange val="0"/>
                </c:ext>
                <c:ext xmlns:c16="http://schemas.microsoft.com/office/drawing/2014/chart" uri="{C3380CC4-5D6E-409C-BE32-E72D297353CC}">
                  <c16:uniqueId val="{00000078-504C-421D-AE36-2B15419FE06E}"/>
                </c:ext>
              </c:extLst>
            </c:dLbl>
            <c:dLbl>
              <c:idx val="119"/>
              <c:tx>
                <c:strRef>
                  <c:f>Frontend!$BR$129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{84A8B38C-397B-46C6-B308-AEAF24A937FB}</c15:txfldGUID>
                      <c15:f>Frontend!$BR$129</c15:f>
                      <c15:dlblFieldTableCache>
                        <c:ptCount val="1"/>
                      </c15:dlblFieldTableCache>
                    </c15:dlblFTEntry>
                  </c15:dlblFieldTable>
                  <c15:showDataLabelsRange val="0"/>
                </c:ext>
                <c:ext xmlns:c16="http://schemas.microsoft.com/office/drawing/2014/chart" uri="{C3380CC4-5D6E-409C-BE32-E72D297353CC}">
                  <c16:uniqueId val="{00000079-504C-421D-AE36-2B15419FE06E}"/>
                </c:ext>
              </c:extLst>
            </c:dLbl>
            <c:dLbl>
              <c:idx val="120"/>
              <c:tx>
                <c:strRef>
                  <c:f>Frontend!$BR$130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{0C1ED172-5C9E-448E-A5C4-83AC7752EC43}</c15:txfldGUID>
                      <c15:f>Frontend!$BR$130</c15:f>
                      <c15:dlblFieldTableCache>
                        <c:ptCount val="1"/>
                      </c15:dlblFieldTableCache>
                    </c15:dlblFTEntry>
                  </c15:dlblFieldTable>
                  <c15:showDataLabelsRange val="0"/>
                </c:ext>
                <c:ext xmlns:c16="http://schemas.microsoft.com/office/drawing/2014/chart" uri="{C3380CC4-5D6E-409C-BE32-E72D297353CC}">
                  <c16:uniqueId val="{0000007A-504C-421D-AE36-2B15419FE06E}"/>
                </c:ext>
              </c:extLst>
            </c:dLbl>
            <c:dLbl>
              <c:idx val="121"/>
              <c:tx>
                <c:strRef>
                  <c:f>Frontend!$BR$131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{49E9B1E5-B37F-4616-9D1C-B41E6F038DE6}</c15:txfldGUID>
                      <c15:f>Frontend!$BR$131</c15:f>
                      <c15:dlblFieldTableCache>
                        <c:ptCount val="1"/>
                      </c15:dlblFieldTableCache>
                    </c15:dlblFTEntry>
                  </c15:dlblFieldTable>
                  <c15:showDataLabelsRange val="0"/>
                </c:ext>
                <c:ext xmlns:c16="http://schemas.microsoft.com/office/drawing/2014/chart" uri="{C3380CC4-5D6E-409C-BE32-E72D297353CC}">
                  <c16:uniqueId val="{0000007B-504C-421D-AE36-2B15419FE06E}"/>
                </c:ext>
              </c:extLst>
            </c:dLbl>
            <c:dLbl>
              <c:idx val="122"/>
              <c:tx>
                <c:strRef>
                  <c:f>Frontend!$BR$132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{D344378F-ACA4-405A-BBD4-133F4C60A54A}</c15:txfldGUID>
                      <c15:f>Frontend!$BR$132</c15:f>
                      <c15:dlblFieldTableCache>
                        <c:ptCount val="1"/>
                      </c15:dlblFieldTableCache>
                    </c15:dlblFTEntry>
                  </c15:dlblFieldTable>
                  <c15:showDataLabelsRange val="0"/>
                </c:ext>
                <c:ext xmlns:c16="http://schemas.microsoft.com/office/drawing/2014/chart" uri="{C3380CC4-5D6E-409C-BE32-E72D297353CC}">
                  <c16:uniqueId val="{0000007C-504C-421D-AE36-2B15419FE06E}"/>
                </c:ext>
              </c:extLst>
            </c:dLbl>
            <c:dLbl>
              <c:idx val="123"/>
              <c:tx>
                <c:strRef>
                  <c:f>Frontend!$BR$133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{7B976EC5-73DD-422D-BC6C-7D2FF93746A2}</c15:txfldGUID>
                      <c15:f>Frontend!$BR$133</c15:f>
                      <c15:dlblFieldTableCache>
                        <c:ptCount val="1"/>
                      </c15:dlblFieldTableCache>
                    </c15:dlblFTEntry>
                  </c15:dlblFieldTable>
                  <c15:showDataLabelsRange val="0"/>
                </c:ext>
                <c:ext xmlns:c16="http://schemas.microsoft.com/office/drawing/2014/chart" uri="{C3380CC4-5D6E-409C-BE32-E72D297353CC}">
                  <c16:uniqueId val="{0000007D-504C-421D-AE36-2B15419FE06E}"/>
                </c:ext>
              </c:extLst>
            </c:dLbl>
            <c:dLbl>
              <c:idx val="124"/>
              <c:tx>
                <c:strRef>
                  <c:f>Frontend!$BR$134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{26819706-EDDB-4D75-9871-0C99EBF504D9}</c15:txfldGUID>
                      <c15:f>Frontend!$BR$134</c15:f>
                      <c15:dlblFieldTableCache>
                        <c:ptCount val="1"/>
                      </c15:dlblFieldTableCache>
                    </c15:dlblFTEntry>
                  </c15:dlblFieldTable>
                  <c15:showDataLabelsRange val="0"/>
                </c:ext>
                <c:ext xmlns:c16="http://schemas.microsoft.com/office/drawing/2014/chart" uri="{C3380CC4-5D6E-409C-BE32-E72D297353CC}">
                  <c16:uniqueId val="{0000007E-504C-421D-AE36-2B15419FE06E}"/>
                </c:ext>
              </c:extLst>
            </c:dLbl>
            <c:dLbl>
              <c:idx val="125"/>
              <c:tx>
                <c:strRef>
                  <c:f>Frontend!$BR$135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{02B89B70-1FF8-4997-87ED-00AEF5309B60}</c15:txfldGUID>
                      <c15:f>Frontend!$BR$135</c15:f>
                      <c15:dlblFieldTableCache>
                        <c:ptCount val="1"/>
                      </c15:dlblFieldTableCache>
                    </c15:dlblFTEntry>
                  </c15:dlblFieldTable>
                  <c15:showDataLabelsRange val="0"/>
                </c:ext>
                <c:ext xmlns:c16="http://schemas.microsoft.com/office/drawing/2014/chart" uri="{C3380CC4-5D6E-409C-BE32-E72D297353CC}">
                  <c16:uniqueId val="{0000007F-504C-421D-AE36-2B15419FE06E}"/>
                </c:ext>
              </c:extLst>
            </c:dLbl>
            <c:dLbl>
              <c:idx val="126"/>
              <c:tx>
                <c:strRef>
                  <c:f>Frontend!$BR$136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{A6F03237-0BB0-4195-AF5B-DFC2329BDB4B}</c15:txfldGUID>
                      <c15:f>Frontend!$BR$136</c15:f>
                      <c15:dlblFieldTableCache>
                        <c:ptCount val="1"/>
                      </c15:dlblFieldTableCache>
                    </c15:dlblFTEntry>
                  </c15:dlblFieldTable>
                  <c15:showDataLabelsRange val="0"/>
                </c:ext>
                <c:ext xmlns:c16="http://schemas.microsoft.com/office/drawing/2014/chart" uri="{C3380CC4-5D6E-409C-BE32-E72D297353CC}">
                  <c16:uniqueId val="{00000080-504C-421D-AE36-2B15419FE06E}"/>
                </c:ext>
              </c:extLst>
            </c:dLbl>
            <c:dLbl>
              <c:idx val="127"/>
              <c:tx>
                <c:strRef>
                  <c:f>Frontend!$BR$137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{C202B292-F0A2-4ADD-8B6A-B10B22EF837E}</c15:txfldGUID>
                      <c15:f>Frontend!$BR$137</c15:f>
                      <c15:dlblFieldTableCache>
                        <c:ptCount val="1"/>
                      </c15:dlblFieldTableCache>
                    </c15:dlblFTEntry>
                  </c15:dlblFieldTable>
                  <c15:showDataLabelsRange val="0"/>
                </c:ext>
                <c:ext xmlns:c16="http://schemas.microsoft.com/office/drawing/2014/chart" uri="{C3380CC4-5D6E-409C-BE32-E72D297353CC}">
                  <c16:uniqueId val="{00000081-504C-421D-AE36-2B15419FE06E}"/>
                </c:ext>
              </c:extLst>
            </c:dLbl>
            <c:dLbl>
              <c:idx val="128"/>
              <c:tx>
                <c:strRef>
                  <c:f>Frontend!$BR$138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{1A360327-15F2-4C63-AF29-FEA701FAE6FD}</c15:txfldGUID>
                      <c15:f>Frontend!$BR$138</c15:f>
                      <c15:dlblFieldTableCache>
                        <c:ptCount val="1"/>
                      </c15:dlblFieldTableCache>
                    </c15:dlblFTEntry>
                  </c15:dlblFieldTable>
                  <c15:showDataLabelsRange val="0"/>
                </c:ext>
                <c:ext xmlns:c16="http://schemas.microsoft.com/office/drawing/2014/chart" uri="{C3380CC4-5D6E-409C-BE32-E72D297353CC}">
                  <c16:uniqueId val="{00000082-504C-421D-AE36-2B15419FE06E}"/>
                </c:ext>
              </c:extLst>
            </c:dLbl>
            <c:dLbl>
              <c:idx val="129"/>
              <c:tx>
                <c:strRef>
                  <c:f>Frontend!$BR$139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{AFE11C63-D6A7-482F-BE27-6DB7962C9578}</c15:txfldGUID>
                      <c15:f>Frontend!$BR$139</c15:f>
                      <c15:dlblFieldTableCache>
                        <c:ptCount val="1"/>
                      </c15:dlblFieldTableCache>
                    </c15:dlblFTEntry>
                  </c15:dlblFieldTable>
                  <c15:showDataLabelsRange val="0"/>
                </c:ext>
                <c:ext xmlns:c16="http://schemas.microsoft.com/office/drawing/2014/chart" uri="{C3380CC4-5D6E-409C-BE32-E72D297353CC}">
                  <c16:uniqueId val="{00000083-504C-421D-AE36-2B15419FE06E}"/>
                </c:ext>
              </c:extLst>
            </c:dLbl>
            <c:dLbl>
              <c:idx val="130"/>
              <c:tx>
                <c:strRef>
                  <c:f>Frontend!$BR$140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{9C0A58EF-9518-43F8-973B-E0E2E384675F}</c15:txfldGUID>
                      <c15:f>Frontend!$BR$140</c15:f>
                      <c15:dlblFieldTableCache>
                        <c:ptCount val="1"/>
                      </c15:dlblFieldTableCache>
                    </c15:dlblFTEntry>
                  </c15:dlblFieldTable>
                  <c15:showDataLabelsRange val="0"/>
                </c:ext>
                <c:ext xmlns:c16="http://schemas.microsoft.com/office/drawing/2014/chart" uri="{C3380CC4-5D6E-409C-BE32-E72D297353CC}">
                  <c16:uniqueId val="{00000084-504C-421D-AE36-2B15419FE06E}"/>
                </c:ext>
              </c:extLst>
            </c:dLbl>
            <c:dLbl>
              <c:idx val="131"/>
              <c:tx>
                <c:strRef>
                  <c:f>Frontend!$BR$141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{20322530-12A2-49C7-A774-F48912B6C865}</c15:txfldGUID>
                      <c15:f>Frontend!$BR$141</c15:f>
                      <c15:dlblFieldTableCache>
                        <c:ptCount val="1"/>
                      </c15:dlblFieldTableCache>
                    </c15:dlblFTEntry>
                  </c15:dlblFieldTable>
                  <c15:showDataLabelsRange val="0"/>
                </c:ext>
                <c:ext xmlns:c16="http://schemas.microsoft.com/office/drawing/2014/chart" uri="{C3380CC4-5D6E-409C-BE32-E72D297353CC}">
                  <c16:uniqueId val="{00000085-504C-421D-AE36-2B15419FE06E}"/>
                </c:ext>
              </c:extLst>
            </c:dLbl>
            <c:dLbl>
              <c:idx val="132"/>
              <c:tx>
                <c:strRef>
                  <c:f>Frontend!$BR$142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{981DB97E-EAE7-40BC-B0D1-34E0342136B0}</c15:txfldGUID>
                      <c15:f>Frontend!$BR$142</c15:f>
                      <c15:dlblFieldTableCache>
                        <c:ptCount val="1"/>
                      </c15:dlblFieldTableCache>
                    </c15:dlblFTEntry>
                  </c15:dlblFieldTable>
                  <c15:showDataLabelsRange val="0"/>
                </c:ext>
                <c:ext xmlns:c16="http://schemas.microsoft.com/office/drawing/2014/chart" uri="{C3380CC4-5D6E-409C-BE32-E72D297353CC}">
                  <c16:uniqueId val="{00000086-504C-421D-AE36-2B15419FE06E}"/>
                </c:ext>
              </c:extLst>
            </c:dLbl>
            <c:dLbl>
              <c:idx val="133"/>
              <c:tx>
                <c:strRef>
                  <c:f>Frontend!$BR$143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{3A547B9C-6F2B-42A0-B1A7-5625B73A3D73}</c15:txfldGUID>
                      <c15:f>Frontend!$BR$143</c15:f>
                      <c15:dlblFieldTableCache>
                        <c:ptCount val="1"/>
                      </c15:dlblFieldTableCache>
                    </c15:dlblFTEntry>
                  </c15:dlblFieldTable>
                  <c15:showDataLabelsRange val="0"/>
                </c:ext>
                <c:ext xmlns:c16="http://schemas.microsoft.com/office/drawing/2014/chart" uri="{C3380CC4-5D6E-409C-BE32-E72D297353CC}">
                  <c16:uniqueId val="{00000087-504C-421D-AE36-2B15419FE06E}"/>
                </c:ext>
              </c:extLst>
            </c:dLbl>
            <c:dLbl>
              <c:idx val="134"/>
              <c:tx>
                <c:strRef>
                  <c:f>Frontend!$BR$144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{B2612164-614A-4B9B-BE00-17F239E7D3AE}</c15:txfldGUID>
                      <c15:f>Frontend!$BR$144</c15:f>
                      <c15:dlblFieldTableCache>
                        <c:ptCount val="1"/>
                      </c15:dlblFieldTableCache>
                    </c15:dlblFTEntry>
                  </c15:dlblFieldTable>
                  <c15:showDataLabelsRange val="0"/>
                </c:ext>
                <c:ext xmlns:c16="http://schemas.microsoft.com/office/drawing/2014/chart" uri="{C3380CC4-5D6E-409C-BE32-E72D297353CC}">
                  <c16:uniqueId val="{00000088-504C-421D-AE36-2B15419FE06E}"/>
                </c:ext>
              </c:extLst>
            </c:dLbl>
            <c:dLbl>
              <c:idx val="135"/>
              <c:tx>
                <c:strRef>
                  <c:f>Frontend!$BR$145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{DDFAB347-D406-459E-A678-5F2A8FDD2822}</c15:txfldGUID>
                      <c15:f>Frontend!$BR$145</c15:f>
                      <c15:dlblFieldTableCache>
                        <c:ptCount val="1"/>
                      </c15:dlblFieldTableCache>
                    </c15:dlblFTEntry>
                  </c15:dlblFieldTable>
                  <c15:showDataLabelsRange val="0"/>
                </c:ext>
                <c:ext xmlns:c16="http://schemas.microsoft.com/office/drawing/2014/chart" uri="{C3380CC4-5D6E-409C-BE32-E72D297353CC}">
                  <c16:uniqueId val="{00000089-504C-421D-AE36-2B15419FE06E}"/>
                </c:ext>
              </c:extLst>
            </c:dLbl>
            <c:dLbl>
              <c:idx val="136"/>
              <c:tx>
                <c:strRef>
                  <c:f>Frontend!$BR$146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{F6801822-910D-4ED0-8B96-9BB5122A9885}</c15:txfldGUID>
                      <c15:f>Frontend!$BR$146</c15:f>
                      <c15:dlblFieldTableCache>
                        <c:ptCount val="1"/>
                      </c15:dlblFieldTableCache>
                    </c15:dlblFTEntry>
                  </c15:dlblFieldTable>
                  <c15:showDataLabelsRange val="0"/>
                </c:ext>
                <c:ext xmlns:c16="http://schemas.microsoft.com/office/drawing/2014/chart" uri="{C3380CC4-5D6E-409C-BE32-E72D297353CC}">
                  <c16:uniqueId val="{0000008A-504C-421D-AE36-2B15419FE06E}"/>
                </c:ext>
              </c:extLst>
            </c:dLbl>
            <c:dLbl>
              <c:idx val="137"/>
              <c:tx>
                <c:strRef>
                  <c:f>Frontend!$BR$147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{A97FA587-48B2-45C6-945D-A441678FFB17}</c15:txfldGUID>
                      <c15:f>Frontend!$BR$147</c15:f>
                      <c15:dlblFieldTableCache>
                        <c:ptCount val="1"/>
                      </c15:dlblFieldTableCache>
                    </c15:dlblFTEntry>
                  </c15:dlblFieldTable>
                  <c15:showDataLabelsRange val="0"/>
                </c:ext>
                <c:ext xmlns:c16="http://schemas.microsoft.com/office/drawing/2014/chart" uri="{C3380CC4-5D6E-409C-BE32-E72D297353CC}">
                  <c16:uniqueId val="{0000008B-504C-421D-AE36-2B15419FE06E}"/>
                </c:ext>
              </c:extLst>
            </c:dLbl>
            <c:dLbl>
              <c:idx val="138"/>
              <c:tx>
                <c:strRef>
                  <c:f>Frontend!$BR$148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{416DF947-1D83-477A-9D7D-76864F3A7A01}</c15:txfldGUID>
                      <c15:f>Frontend!$BR$148</c15:f>
                      <c15:dlblFieldTableCache>
                        <c:ptCount val="1"/>
                      </c15:dlblFieldTableCache>
                    </c15:dlblFTEntry>
                  </c15:dlblFieldTable>
                  <c15:showDataLabelsRange val="0"/>
                </c:ext>
                <c:ext xmlns:c16="http://schemas.microsoft.com/office/drawing/2014/chart" uri="{C3380CC4-5D6E-409C-BE32-E72D297353CC}">
                  <c16:uniqueId val="{0000008C-504C-421D-AE36-2B15419FE06E}"/>
                </c:ext>
              </c:extLst>
            </c:dLbl>
            <c:dLbl>
              <c:idx val="139"/>
              <c:tx>
                <c:strRef>
                  <c:f>Frontend!$BR$149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{13045A2A-78A2-4D36-92FA-6C5B711C0FEE}</c15:txfldGUID>
                      <c15:f>Frontend!$BR$149</c15:f>
                      <c15:dlblFieldTableCache>
                        <c:ptCount val="1"/>
                      </c15:dlblFieldTableCache>
                    </c15:dlblFTEntry>
                  </c15:dlblFieldTable>
                  <c15:showDataLabelsRange val="0"/>
                </c:ext>
                <c:ext xmlns:c16="http://schemas.microsoft.com/office/drawing/2014/chart" uri="{C3380CC4-5D6E-409C-BE32-E72D297353CC}">
                  <c16:uniqueId val="{0000008D-504C-421D-AE36-2B15419FE06E}"/>
                </c:ext>
              </c:extLst>
            </c:dLbl>
            <c:dLbl>
              <c:idx val="140"/>
              <c:tx>
                <c:strRef>
                  <c:f>Frontend!$BR$150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{19BC5C51-9DAD-4894-8F08-CFA8F588C5A3}</c15:txfldGUID>
                      <c15:f>Frontend!$BR$150</c15:f>
                      <c15:dlblFieldTableCache>
                        <c:ptCount val="1"/>
                      </c15:dlblFieldTableCache>
                    </c15:dlblFTEntry>
                  </c15:dlblFieldTable>
                  <c15:showDataLabelsRange val="0"/>
                </c:ext>
                <c:ext xmlns:c16="http://schemas.microsoft.com/office/drawing/2014/chart" uri="{C3380CC4-5D6E-409C-BE32-E72D297353CC}">
                  <c16:uniqueId val="{0000008E-504C-421D-AE36-2B15419FE06E}"/>
                </c:ext>
              </c:extLst>
            </c:dLbl>
            <c:dLbl>
              <c:idx val="141"/>
              <c:tx>
                <c:strRef>
                  <c:f>Frontend!$BR$151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{FA5A6266-E103-4AA3-998D-7E2C328D4687}</c15:txfldGUID>
                      <c15:f>Frontend!$BR$151</c15:f>
                      <c15:dlblFieldTableCache>
                        <c:ptCount val="1"/>
                      </c15:dlblFieldTableCache>
                    </c15:dlblFTEntry>
                  </c15:dlblFieldTable>
                  <c15:showDataLabelsRange val="0"/>
                </c:ext>
                <c:ext xmlns:c16="http://schemas.microsoft.com/office/drawing/2014/chart" uri="{C3380CC4-5D6E-409C-BE32-E72D297353CC}">
                  <c16:uniqueId val="{0000008F-504C-421D-AE36-2B15419FE06E}"/>
                </c:ext>
              </c:extLst>
            </c:dLbl>
            <c:dLbl>
              <c:idx val="142"/>
              <c:tx>
                <c:strRef>
                  <c:f>Frontend!$BR$152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{DB6E4AAE-DC6D-458D-80B1-D3227B421F33}</c15:txfldGUID>
                      <c15:f>Frontend!$BR$152</c15:f>
                      <c15:dlblFieldTableCache>
                        <c:ptCount val="1"/>
                      </c15:dlblFieldTableCache>
                    </c15:dlblFTEntry>
                  </c15:dlblFieldTable>
                  <c15:showDataLabelsRange val="0"/>
                </c:ext>
                <c:ext xmlns:c16="http://schemas.microsoft.com/office/drawing/2014/chart" uri="{C3380CC4-5D6E-409C-BE32-E72D297353CC}">
                  <c16:uniqueId val="{00000090-504C-421D-AE36-2B15419FE06E}"/>
                </c:ext>
              </c:extLst>
            </c:dLbl>
            <c:dLbl>
              <c:idx val="143"/>
              <c:tx>
                <c:strRef>
                  <c:f>Frontend!$BR$153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{E173F3DF-D3AD-4A8A-9ED1-CD502DCE0365}</c15:txfldGUID>
                      <c15:f>Frontend!$BR$153</c15:f>
                      <c15:dlblFieldTableCache>
                        <c:ptCount val="1"/>
                      </c15:dlblFieldTableCache>
                    </c15:dlblFTEntry>
                  </c15:dlblFieldTable>
                  <c15:showDataLabelsRange val="0"/>
                </c:ext>
                <c:ext xmlns:c16="http://schemas.microsoft.com/office/drawing/2014/chart" uri="{C3380CC4-5D6E-409C-BE32-E72D297353CC}">
                  <c16:uniqueId val="{00000091-504C-421D-AE36-2B15419FE06E}"/>
                </c:ext>
              </c:extLst>
            </c:dLbl>
            <c:dLbl>
              <c:idx val="144"/>
              <c:tx>
                <c:strRef>
                  <c:f>Frontend!$BR$154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{B2C06D76-D492-4E15-AFFE-DDE8FA53D5DA}</c15:txfldGUID>
                      <c15:f>Frontend!$BR$154</c15:f>
                      <c15:dlblFieldTableCache>
                        <c:ptCount val="1"/>
                      </c15:dlblFieldTableCache>
                    </c15:dlblFTEntry>
                  </c15:dlblFieldTable>
                  <c15:showDataLabelsRange val="0"/>
                </c:ext>
                <c:ext xmlns:c16="http://schemas.microsoft.com/office/drawing/2014/chart" uri="{C3380CC4-5D6E-409C-BE32-E72D297353CC}">
                  <c16:uniqueId val="{00000092-504C-421D-AE36-2B15419FE06E}"/>
                </c:ext>
              </c:extLst>
            </c:dLbl>
            <c:dLbl>
              <c:idx val="145"/>
              <c:tx>
                <c:strRef>
                  <c:f>Frontend!$BR$155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{E9CEEF97-D602-4FDC-BA08-22AFFC44C7A6}</c15:txfldGUID>
                      <c15:f>Frontend!$BR$155</c15:f>
                      <c15:dlblFieldTableCache>
                        <c:ptCount val="1"/>
                      </c15:dlblFieldTableCache>
                    </c15:dlblFTEntry>
                  </c15:dlblFieldTable>
                  <c15:showDataLabelsRange val="0"/>
                </c:ext>
                <c:ext xmlns:c16="http://schemas.microsoft.com/office/drawing/2014/chart" uri="{C3380CC4-5D6E-409C-BE32-E72D297353CC}">
                  <c16:uniqueId val="{00000093-504C-421D-AE36-2B15419FE06E}"/>
                </c:ext>
              </c:extLst>
            </c:dLbl>
            <c:dLbl>
              <c:idx val="146"/>
              <c:tx>
                <c:strRef>
                  <c:f>Frontend!$BR$156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{59461077-96D2-4FD7-8DE7-452449B7BA39}</c15:txfldGUID>
                      <c15:f>Frontend!$BR$156</c15:f>
                      <c15:dlblFieldTableCache>
                        <c:ptCount val="1"/>
                      </c15:dlblFieldTableCache>
                    </c15:dlblFTEntry>
                  </c15:dlblFieldTable>
                  <c15:showDataLabelsRange val="0"/>
                </c:ext>
                <c:ext xmlns:c16="http://schemas.microsoft.com/office/drawing/2014/chart" uri="{C3380CC4-5D6E-409C-BE32-E72D297353CC}">
                  <c16:uniqueId val="{00000094-504C-421D-AE36-2B15419FE06E}"/>
                </c:ext>
              </c:extLst>
            </c:dLbl>
            <c:dLbl>
              <c:idx val="147"/>
              <c:tx>
                <c:strRef>
                  <c:f>Frontend!$BR$157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{4AADC953-9F8B-40A9-943B-5EBC42EE5A11}</c15:txfldGUID>
                      <c15:f>Frontend!$BR$157</c15:f>
                      <c15:dlblFieldTableCache>
                        <c:ptCount val="1"/>
                      </c15:dlblFieldTableCache>
                    </c15:dlblFTEntry>
                  </c15:dlblFieldTable>
                  <c15:showDataLabelsRange val="0"/>
                </c:ext>
                <c:ext xmlns:c16="http://schemas.microsoft.com/office/drawing/2014/chart" uri="{C3380CC4-5D6E-409C-BE32-E72D297353CC}">
                  <c16:uniqueId val="{00000095-504C-421D-AE36-2B15419FE06E}"/>
                </c:ext>
              </c:extLst>
            </c:dLbl>
            <c:dLbl>
              <c:idx val="148"/>
              <c:tx>
                <c:strRef>
                  <c:f>Frontend!$BR$158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{E3CA3F78-CE6C-4268-80D3-45E028915A2E}</c15:txfldGUID>
                      <c15:f>Frontend!$BR$158</c15:f>
                      <c15:dlblFieldTableCache>
                        <c:ptCount val="1"/>
                      </c15:dlblFieldTableCache>
                    </c15:dlblFTEntry>
                  </c15:dlblFieldTable>
                  <c15:showDataLabelsRange val="0"/>
                </c:ext>
                <c:ext xmlns:c16="http://schemas.microsoft.com/office/drawing/2014/chart" uri="{C3380CC4-5D6E-409C-BE32-E72D297353CC}">
                  <c16:uniqueId val="{00000096-504C-421D-AE36-2B15419FE06E}"/>
                </c:ext>
              </c:extLst>
            </c:dLbl>
            <c:dLbl>
              <c:idx val="149"/>
              <c:tx>
                <c:strRef>
                  <c:f>Frontend!$BR$159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{9055B654-CF3C-4F01-998A-67C0C4301F00}</c15:txfldGUID>
                      <c15:f>Frontend!$BR$159</c15:f>
                      <c15:dlblFieldTableCache>
                        <c:ptCount val="1"/>
                      </c15:dlblFieldTableCache>
                    </c15:dlblFTEntry>
                  </c15:dlblFieldTable>
                  <c15:showDataLabelsRange val="0"/>
                </c:ext>
                <c:ext xmlns:c16="http://schemas.microsoft.com/office/drawing/2014/chart" uri="{C3380CC4-5D6E-409C-BE32-E72D297353CC}">
                  <c16:uniqueId val="{00000097-504C-421D-AE36-2B15419FE06E}"/>
                </c:ext>
              </c:extLst>
            </c:dLbl>
            <c:dLbl>
              <c:idx val="150"/>
              <c:tx>
                <c:strRef>
                  <c:f>Frontend!$BR$160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{BF954C6B-231D-4B17-989C-5D882AD4A64E}</c15:txfldGUID>
                      <c15:f>Frontend!$BR$160</c15:f>
                      <c15:dlblFieldTableCache>
                        <c:ptCount val="1"/>
                      </c15:dlblFieldTableCache>
                    </c15:dlblFTEntry>
                  </c15:dlblFieldTable>
                  <c15:showDataLabelsRange val="0"/>
                </c:ext>
                <c:ext xmlns:c16="http://schemas.microsoft.com/office/drawing/2014/chart" uri="{C3380CC4-5D6E-409C-BE32-E72D297353CC}">
                  <c16:uniqueId val="{00000098-504C-421D-AE36-2B15419FE06E}"/>
                </c:ext>
              </c:extLst>
            </c:dLbl>
            <c:dLbl>
              <c:idx val="151"/>
              <c:tx>
                <c:strRef>
                  <c:f>Frontend!$BR$161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{A39CC0CE-29A6-43B0-937E-74E35C86DAEB}</c15:txfldGUID>
                      <c15:f>Frontend!$BR$161</c15:f>
                      <c15:dlblFieldTableCache>
                        <c:ptCount val="1"/>
                      </c15:dlblFieldTableCache>
                    </c15:dlblFTEntry>
                  </c15:dlblFieldTable>
                  <c15:showDataLabelsRange val="0"/>
                </c:ext>
                <c:ext xmlns:c16="http://schemas.microsoft.com/office/drawing/2014/chart" uri="{C3380CC4-5D6E-409C-BE32-E72D297353CC}">
                  <c16:uniqueId val="{00000099-504C-421D-AE36-2B15419FE06E}"/>
                </c:ext>
              </c:extLst>
            </c:dLbl>
            <c:dLbl>
              <c:idx val="152"/>
              <c:tx>
                <c:strRef>
                  <c:f>Frontend!$BR$162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{1116368B-DE58-4ABF-AFB0-593CA1C0E441}</c15:txfldGUID>
                      <c15:f>Frontend!$BR$162</c15:f>
                      <c15:dlblFieldTableCache>
                        <c:ptCount val="1"/>
                      </c15:dlblFieldTableCache>
                    </c15:dlblFTEntry>
                  </c15:dlblFieldTable>
                  <c15:showDataLabelsRange val="0"/>
                </c:ext>
                <c:ext xmlns:c16="http://schemas.microsoft.com/office/drawing/2014/chart" uri="{C3380CC4-5D6E-409C-BE32-E72D297353CC}">
                  <c16:uniqueId val="{0000009A-504C-421D-AE36-2B15419FE06E}"/>
                </c:ext>
              </c:extLst>
            </c:dLbl>
            <c:dLbl>
              <c:idx val="153"/>
              <c:tx>
                <c:strRef>
                  <c:f>Frontend!$BR$163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{12576DAE-AA93-4C10-BF36-1FA9F7626EC0}</c15:txfldGUID>
                      <c15:f>Frontend!$BR$163</c15:f>
                      <c15:dlblFieldTableCache>
                        <c:ptCount val="1"/>
                      </c15:dlblFieldTableCache>
                    </c15:dlblFTEntry>
                  </c15:dlblFieldTable>
                  <c15:showDataLabelsRange val="0"/>
                </c:ext>
                <c:ext xmlns:c16="http://schemas.microsoft.com/office/drawing/2014/chart" uri="{C3380CC4-5D6E-409C-BE32-E72D297353CC}">
                  <c16:uniqueId val="{0000009B-504C-421D-AE36-2B15419FE06E}"/>
                </c:ext>
              </c:extLst>
            </c:dLbl>
            <c:dLbl>
              <c:idx val="154"/>
              <c:tx>
                <c:strRef>
                  <c:f>Frontend!$BR$164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{22F622A8-2FEF-4981-8BD4-DFA16AF831F7}</c15:txfldGUID>
                      <c15:f>Frontend!$BR$164</c15:f>
                      <c15:dlblFieldTableCache>
                        <c:ptCount val="1"/>
                      </c15:dlblFieldTableCache>
                    </c15:dlblFTEntry>
                  </c15:dlblFieldTable>
                  <c15:showDataLabelsRange val="0"/>
                </c:ext>
                <c:ext xmlns:c16="http://schemas.microsoft.com/office/drawing/2014/chart" uri="{C3380CC4-5D6E-409C-BE32-E72D297353CC}">
                  <c16:uniqueId val="{0000009C-504C-421D-AE36-2B15419FE06E}"/>
                </c:ext>
              </c:extLst>
            </c:dLbl>
            <c:dLbl>
              <c:idx val="155"/>
              <c:tx>
                <c:strRef>
                  <c:f>Frontend!$BR$165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{84C0BD9C-3D15-4530-8E55-8756F922E88A}</c15:txfldGUID>
                      <c15:f>Frontend!$BR$165</c15:f>
                      <c15:dlblFieldTableCache>
                        <c:ptCount val="1"/>
                      </c15:dlblFieldTableCache>
                    </c15:dlblFTEntry>
                  </c15:dlblFieldTable>
                  <c15:showDataLabelsRange val="0"/>
                </c:ext>
                <c:ext xmlns:c16="http://schemas.microsoft.com/office/drawing/2014/chart" uri="{C3380CC4-5D6E-409C-BE32-E72D297353CC}">
                  <c16:uniqueId val="{0000009D-504C-421D-AE36-2B15419FE06E}"/>
                </c:ext>
              </c:extLst>
            </c:dLbl>
            <c:dLbl>
              <c:idx val="156"/>
              <c:tx>
                <c:strRef>
                  <c:f>Frontend!$BR$166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{5C6FDEBD-71F7-45B3-A047-82AD467E5835}</c15:txfldGUID>
                      <c15:f>Frontend!$BR$166</c15:f>
                      <c15:dlblFieldTableCache>
                        <c:ptCount val="1"/>
                      </c15:dlblFieldTableCache>
                    </c15:dlblFTEntry>
                  </c15:dlblFieldTable>
                  <c15:showDataLabelsRange val="0"/>
                </c:ext>
                <c:ext xmlns:c16="http://schemas.microsoft.com/office/drawing/2014/chart" uri="{C3380CC4-5D6E-409C-BE32-E72D297353CC}">
                  <c16:uniqueId val="{0000009E-504C-421D-AE36-2B15419FE06E}"/>
                </c:ext>
              </c:extLst>
            </c:dLbl>
            <c:dLbl>
              <c:idx val="157"/>
              <c:tx>
                <c:strRef>
                  <c:f>Frontend!$BR$167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{353710B4-FC98-4938-B31C-098E9B119133}</c15:txfldGUID>
                      <c15:f>Frontend!$BR$167</c15:f>
                      <c15:dlblFieldTableCache>
                        <c:ptCount val="1"/>
                      </c15:dlblFieldTableCache>
                    </c15:dlblFTEntry>
                  </c15:dlblFieldTable>
                  <c15:showDataLabelsRange val="0"/>
                </c:ext>
                <c:ext xmlns:c16="http://schemas.microsoft.com/office/drawing/2014/chart" uri="{C3380CC4-5D6E-409C-BE32-E72D297353CC}">
                  <c16:uniqueId val="{0000009F-504C-421D-AE36-2B15419FE06E}"/>
                </c:ext>
              </c:extLst>
            </c:dLbl>
            <c:dLbl>
              <c:idx val="158"/>
              <c:tx>
                <c:strRef>
                  <c:f>Frontend!$BR$168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{FE573DB4-599F-495E-9C16-39D03D49584F}</c15:txfldGUID>
                      <c15:f>Frontend!$BR$168</c15:f>
                      <c15:dlblFieldTableCache>
                        <c:ptCount val="1"/>
                      </c15:dlblFieldTableCache>
                    </c15:dlblFTEntry>
                  </c15:dlblFieldTable>
                  <c15:showDataLabelsRange val="0"/>
                </c:ext>
                <c:ext xmlns:c16="http://schemas.microsoft.com/office/drawing/2014/chart" uri="{C3380CC4-5D6E-409C-BE32-E72D297353CC}">
                  <c16:uniqueId val="{000000A0-504C-421D-AE36-2B15419FE06E}"/>
                </c:ext>
              </c:extLst>
            </c:dLbl>
            <c:dLbl>
              <c:idx val="159"/>
              <c:tx>
                <c:strRef>
                  <c:f>Frontend!$BR$169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{E52433B1-D097-458C-9C25-3D3012BA2DC4}</c15:txfldGUID>
                      <c15:f>Frontend!$BR$169</c15:f>
                      <c15:dlblFieldTableCache>
                        <c:ptCount val="1"/>
                      </c15:dlblFieldTableCache>
                    </c15:dlblFTEntry>
                  </c15:dlblFieldTable>
                  <c15:showDataLabelsRange val="0"/>
                </c:ext>
                <c:ext xmlns:c16="http://schemas.microsoft.com/office/drawing/2014/chart" uri="{C3380CC4-5D6E-409C-BE32-E72D297353CC}">
                  <c16:uniqueId val="{000000A1-504C-421D-AE36-2B15419FE06E}"/>
                </c:ext>
              </c:extLst>
            </c:dLbl>
            <c:dLbl>
              <c:idx val="160"/>
              <c:tx>
                <c:strRef>
                  <c:f>Frontend!$BR$170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{E1E927FF-9EE8-4B33-AE53-B1728870447C}</c15:txfldGUID>
                      <c15:f>Frontend!$BR$170</c15:f>
                      <c15:dlblFieldTableCache>
                        <c:ptCount val="1"/>
                      </c15:dlblFieldTableCache>
                    </c15:dlblFTEntry>
                  </c15:dlblFieldTable>
                  <c15:showDataLabelsRange val="0"/>
                </c:ext>
                <c:ext xmlns:c16="http://schemas.microsoft.com/office/drawing/2014/chart" uri="{C3380CC4-5D6E-409C-BE32-E72D297353CC}">
                  <c16:uniqueId val="{000000A2-504C-421D-AE36-2B15419FE06E}"/>
                </c:ext>
              </c:extLst>
            </c:dLbl>
            <c:dLbl>
              <c:idx val="161"/>
              <c:tx>
                <c:strRef>
                  <c:f>Frontend!$BR$171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{C5F98F6D-90A7-4FCC-85FA-3827D8336669}</c15:txfldGUID>
                      <c15:f>Frontend!$BR$171</c15:f>
                      <c15:dlblFieldTableCache>
                        <c:ptCount val="1"/>
                      </c15:dlblFieldTableCache>
                    </c15:dlblFTEntry>
                  </c15:dlblFieldTable>
                  <c15:showDataLabelsRange val="0"/>
                </c:ext>
                <c:ext xmlns:c16="http://schemas.microsoft.com/office/drawing/2014/chart" uri="{C3380CC4-5D6E-409C-BE32-E72D297353CC}">
                  <c16:uniqueId val="{000000A3-504C-421D-AE36-2B15419FE06E}"/>
                </c:ext>
              </c:extLst>
            </c:dLbl>
            <c:dLbl>
              <c:idx val="162"/>
              <c:tx>
                <c:strRef>
                  <c:f>Frontend!$BR$172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{42E8583D-0C4E-4C60-A086-3990AC2611F3}</c15:txfldGUID>
                      <c15:f>Frontend!$BR$172</c15:f>
                      <c15:dlblFieldTableCache>
                        <c:ptCount val="1"/>
                      </c15:dlblFieldTableCache>
                    </c15:dlblFTEntry>
                  </c15:dlblFieldTable>
                  <c15:showDataLabelsRange val="0"/>
                </c:ext>
                <c:ext xmlns:c16="http://schemas.microsoft.com/office/drawing/2014/chart" uri="{C3380CC4-5D6E-409C-BE32-E72D297353CC}">
                  <c16:uniqueId val="{000000A4-504C-421D-AE36-2B15419FE06E}"/>
                </c:ext>
              </c:extLst>
            </c:dLbl>
            <c:dLbl>
              <c:idx val="163"/>
              <c:tx>
                <c:strRef>
                  <c:f>Frontend!$BR$173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{7553EBC2-09D1-4988-AB2A-88B8ED0C6F09}</c15:txfldGUID>
                      <c15:f>Frontend!$BR$173</c15:f>
                      <c15:dlblFieldTableCache>
                        <c:ptCount val="1"/>
                      </c15:dlblFieldTableCache>
                    </c15:dlblFTEntry>
                  </c15:dlblFieldTable>
                  <c15:showDataLabelsRange val="0"/>
                </c:ext>
                <c:ext xmlns:c16="http://schemas.microsoft.com/office/drawing/2014/chart" uri="{C3380CC4-5D6E-409C-BE32-E72D297353CC}">
                  <c16:uniqueId val="{000000A5-504C-421D-AE36-2B15419FE06E}"/>
                </c:ext>
              </c:extLst>
            </c:dLbl>
            <c:dLbl>
              <c:idx val="164"/>
              <c:tx>
                <c:strRef>
                  <c:f>Frontend!$BR$174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{C5C35A1D-0971-4014-8CB3-7452D163C324}</c15:txfldGUID>
                      <c15:f>Frontend!$BR$174</c15:f>
                      <c15:dlblFieldTableCache>
                        <c:ptCount val="1"/>
                      </c15:dlblFieldTableCache>
                    </c15:dlblFTEntry>
                  </c15:dlblFieldTable>
                  <c15:showDataLabelsRange val="0"/>
                </c:ext>
                <c:ext xmlns:c16="http://schemas.microsoft.com/office/drawing/2014/chart" uri="{C3380CC4-5D6E-409C-BE32-E72D297353CC}">
                  <c16:uniqueId val="{000000A6-504C-421D-AE36-2B15419FE06E}"/>
                </c:ext>
              </c:extLst>
            </c:dLbl>
            <c:dLbl>
              <c:idx val="165"/>
              <c:tx>
                <c:strRef>
                  <c:f>Frontend!$BR$175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{CAF7A28D-19C6-4FF2-AD5E-0C6E9776D4CB}</c15:txfldGUID>
                      <c15:f>Frontend!$BR$175</c15:f>
                      <c15:dlblFieldTableCache>
                        <c:ptCount val="1"/>
                      </c15:dlblFieldTableCache>
                    </c15:dlblFTEntry>
                  </c15:dlblFieldTable>
                  <c15:showDataLabelsRange val="0"/>
                </c:ext>
                <c:ext xmlns:c16="http://schemas.microsoft.com/office/drawing/2014/chart" uri="{C3380CC4-5D6E-409C-BE32-E72D297353CC}">
                  <c16:uniqueId val="{000000A7-504C-421D-AE36-2B15419FE06E}"/>
                </c:ext>
              </c:extLst>
            </c:dLbl>
            <c:dLbl>
              <c:idx val="166"/>
              <c:tx>
                <c:strRef>
                  <c:f>Frontend!$BR$176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{F8A9AB38-2CBF-4FDF-9720-962DAF0E0B07}</c15:txfldGUID>
                      <c15:f>Frontend!$BR$176</c15:f>
                      <c15:dlblFieldTableCache>
                        <c:ptCount val="1"/>
                      </c15:dlblFieldTableCache>
                    </c15:dlblFTEntry>
                  </c15:dlblFieldTable>
                  <c15:showDataLabelsRange val="0"/>
                </c:ext>
                <c:ext xmlns:c16="http://schemas.microsoft.com/office/drawing/2014/chart" uri="{C3380CC4-5D6E-409C-BE32-E72D297353CC}">
                  <c16:uniqueId val="{000000A8-504C-421D-AE36-2B15419FE06E}"/>
                </c:ext>
              </c:extLst>
            </c:dLbl>
            <c:dLbl>
              <c:idx val="167"/>
              <c:tx>
                <c:strRef>
                  <c:f>Frontend!$BR$177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{7669D91B-E640-4B1C-8BF5-AF195508F623}</c15:txfldGUID>
                      <c15:f>Frontend!$BR$177</c15:f>
                      <c15:dlblFieldTableCache>
                        <c:ptCount val="1"/>
                      </c15:dlblFieldTableCache>
                    </c15:dlblFTEntry>
                  </c15:dlblFieldTable>
                  <c15:showDataLabelsRange val="0"/>
                </c:ext>
                <c:ext xmlns:c16="http://schemas.microsoft.com/office/drawing/2014/chart" uri="{C3380CC4-5D6E-409C-BE32-E72D297353CC}">
                  <c16:uniqueId val="{000000A9-504C-421D-AE36-2B15419FE06E}"/>
                </c:ext>
              </c:extLst>
            </c:dLbl>
            <c:dLbl>
              <c:idx val="168"/>
              <c:tx>
                <c:strRef>
                  <c:f>Frontend!$BR$178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{AA416F04-C80F-460D-B0BC-88AF12430818}</c15:txfldGUID>
                      <c15:f>Frontend!$BR$178</c15:f>
                      <c15:dlblFieldTableCache>
                        <c:ptCount val="1"/>
                      </c15:dlblFieldTableCache>
                    </c15:dlblFTEntry>
                  </c15:dlblFieldTable>
                  <c15:showDataLabelsRange val="0"/>
                </c:ext>
                <c:ext xmlns:c16="http://schemas.microsoft.com/office/drawing/2014/chart" uri="{C3380CC4-5D6E-409C-BE32-E72D297353CC}">
                  <c16:uniqueId val="{000000AA-504C-421D-AE36-2B15419FE06E}"/>
                </c:ext>
              </c:extLst>
            </c:dLbl>
            <c:dLbl>
              <c:idx val="169"/>
              <c:tx>
                <c:strRef>
                  <c:f>Frontend!$BR$179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{2879546F-88CF-48C3-BEDE-2368A76C3839}</c15:txfldGUID>
                      <c15:f>Frontend!$BR$179</c15:f>
                      <c15:dlblFieldTableCache>
                        <c:ptCount val="1"/>
                      </c15:dlblFieldTableCache>
                    </c15:dlblFTEntry>
                  </c15:dlblFieldTable>
                  <c15:showDataLabelsRange val="0"/>
                </c:ext>
                <c:ext xmlns:c16="http://schemas.microsoft.com/office/drawing/2014/chart" uri="{C3380CC4-5D6E-409C-BE32-E72D297353CC}">
                  <c16:uniqueId val="{000000AB-504C-421D-AE36-2B15419FE06E}"/>
                </c:ext>
              </c:extLst>
            </c:dLbl>
            <c:dLbl>
              <c:idx val="170"/>
              <c:tx>
                <c:strRef>
                  <c:f>Frontend!$BR$180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{BC6774F5-3A2D-47FD-8F4C-23BF80871157}</c15:txfldGUID>
                      <c15:f>Frontend!$BR$180</c15:f>
                      <c15:dlblFieldTableCache>
                        <c:ptCount val="1"/>
                      </c15:dlblFieldTableCache>
                    </c15:dlblFTEntry>
                  </c15:dlblFieldTable>
                  <c15:showDataLabelsRange val="0"/>
                </c:ext>
                <c:ext xmlns:c16="http://schemas.microsoft.com/office/drawing/2014/chart" uri="{C3380CC4-5D6E-409C-BE32-E72D297353CC}">
                  <c16:uniqueId val="{000000AC-504C-421D-AE36-2B15419FE06E}"/>
                </c:ext>
              </c:extLst>
            </c:dLbl>
            <c:dLbl>
              <c:idx val="171"/>
              <c:tx>
                <c:strRef>
                  <c:f>Frontend!$BR$181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{522ED4A7-5AF1-4CD1-83AC-E3C1BA6013AA}</c15:txfldGUID>
                      <c15:f>Frontend!$BR$181</c15:f>
                      <c15:dlblFieldTableCache>
                        <c:ptCount val="1"/>
                      </c15:dlblFieldTableCache>
                    </c15:dlblFTEntry>
                  </c15:dlblFieldTable>
                  <c15:showDataLabelsRange val="0"/>
                </c:ext>
                <c:ext xmlns:c16="http://schemas.microsoft.com/office/drawing/2014/chart" uri="{C3380CC4-5D6E-409C-BE32-E72D297353CC}">
                  <c16:uniqueId val="{000000AD-504C-421D-AE36-2B15419FE06E}"/>
                </c:ext>
              </c:extLst>
            </c:dLbl>
            <c:dLbl>
              <c:idx val="172"/>
              <c:tx>
                <c:strRef>
                  <c:f>Frontend!$BR$182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{F0089699-4FA2-47EB-A9D6-65B9FAA17636}</c15:txfldGUID>
                      <c15:f>Frontend!$BR$182</c15:f>
                      <c15:dlblFieldTableCache>
                        <c:ptCount val="1"/>
                      </c15:dlblFieldTableCache>
                    </c15:dlblFTEntry>
                  </c15:dlblFieldTable>
                  <c15:showDataLabelsRange val="0"/>
                </c:ext>
                <c:ext xmlns:c16="http://schemas.microsoft.com/office/drawing/2014/chart" uri="{C3380CC4-5D6E-409C-BE32-E72D297353CC}">
                  <c16:uniqueId val="{000000AE-504C-421D-AE36-2B15419FE06E}"/>
                </c:ext>
              </c:extLst>
            </c:dLbl>
            <c:dLbl>
              <c:idx val="173"/>
              <c:tx>
                <c:strRef>
                  <c:f>Frontend!$BR$183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{36E80304-8006-4B69-A57A-A9E3ECDEB328}</c15:txfldGUID>
                      <c15:f>Frontend!$BR$183</c15:f>
                      <c15:dlblFieldTableCache>
                        <c:ptCount val="1"/>
                      </c15:dlblFieldTableCache>
                    </c15:dlblFTEntry>
                  </c15:dlblFieldTable>
                  <c15:showDataLabelsRange val="0"/>
                </c:ext>
                <c:ext xmlns:c16="http://schemas.microsoft.com/office/drawing/2014/chart" uri="{C3380CC4-5D6E-409C-BE32-E72D297353CC}">
                  <c16:uniqueId val="{000000AF-504C-421D-AE36-2B15419FE06E}"/>
                </c:ext>
              </c:extLst>
            </c:dLbl>
            <c:dLbl>
              <c:idx val="174"/>
              <c:tx>
                <c:strRef>
                  <c:f>Frontend!$BR$184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{71817A2C-2DFD-4C48-916D-09F9D97CA825}</c15:txfldGUID>
                      <c15:f>Frontend!$BR$184</c15:f>
                      <c15:dlblFieldTableCache>
                        <c:ptCount val="1"/>
                      </c15:dlblFieldTableCache>
                    </c15:dlblFTEntry>
                  </c15:dlblFieldTable>
                  <c15:showDataLabelsRange val="0"/>
                </c:ext>
                <c:ext xmlns:c16="http://schemas.microsoft.com/office/drawing/2014/chart" uri="{C3380CC4-5D6E-409C-BE32-E72D297353CC}">
                  <c16:uniqueId val="{000000B0-504C-421D-AE36-2B15419FE06E}"/>
                </c:ext>
              </c:extLst>
            </c:dLbl>
            <c:dLbl>
              <c:idx val="175"/>
              <c:tx>
                <c:strRef>
                  <c:f>Frontend!$BR$185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{6EB61117-7C9A-4A72-9A5C-45785DB9EE72}</c15:txfldGUID>
                      <c15:f>Frontend!$BR$185</c15:f>
                      <c15:dlblFieldTableCache>
                        <c:ptCount val="1"/>
                      </c15:dlblFieldTableCache>
                    </c15:dlblFTEntry>
                  </c15:dlblFieldTable>
                  <c15:showDataLabelsRange val="0"/>
                </c:ext>
                <c:ext xmlns:c16="http://schemas.microsoft.com/office/drawing/2014/chart" uri="{C3380CC4-5D6E-409C-BE32-E72D297353CC}">
                  <c16:uniqueId val="{000000B1-504C-421D-AE36-2B15419FE06E}"/>
                </c:ext>
              </c:extLst>
            </c:dLbl>
            <c:dLbl>
              <c:idx val="176"/>
              <c:tx>
                <c:strRef>
                  <c:f>Frontend!$BR$186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{654E35D3-FF08-44CD-BD68-BC11A8A677E1}</c15:txfldGUID>
                      <c15:f>Frontend!$BR$186</c15:f>
                      <c15:dlblFieldTableCache>
                        <c:ptCount val="1"/>
                      </c15:dlblFieldTableCache>
                    </c15:dlblFTEntry>
                  </c15:dlblFieldTable>
                  <c15:showDataLabelsRange val="0"/>
                </c:ext>
                <c:ext xmlns:c16="http://schemas.microsoft.com/office/drawing/2014/chart" uri="{C3380CC4-5D6E-409C-BE32-E72D297353CC}">
                  <c16:uniqueId val="{000000B2-504C-421D-AE36-2B15419FE06E}"/>
                </c:ext>
              </c:extLst>
            </c:dLbl>
            <c:dLbl>
              <c:idx val="177"/>
              <c:tx>
                <c:strRef>
                  <c:f>Frontend!$BR$187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{793647DA-59DC-47E9-B3E8-0ACA285143C7}</c15:txfldGUID>
                      <c15:f>Frontend!$BR$187</c15:f>
                      <c15:dlblFieldTableCache>
                        <c:ptCount val="1"/>
                      </c15:dlblFieldTableCache>
                    </c15:dlblFTEntry>
                  </c15:dlblFieldTable>
                  <c15:showDataLabelsRange val="0"/>
                </c:ext>
                <c:ext xmlns:c16="http://schemas.microsoft.com/office/drawing/2014/chart" uri="{C3380CC4-5D6E-409C-BE32-E72D297353CC}">
                  <c16:uniqueId val="{000000B3-504C-421D-AE36-2B15419FE06E}"/>
                </c:ext>
              </c:extLst>
            </c:dLbl>
            <c:dLbl>
              <c:idx val="178"/>
              <c:tx>
                <c:strRef>
                  <c:f>Frontend!$BR$188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{95173446-8A4B-46F5-8C5E-D06C21EC26C9}</c15:txfldGUID>
                      <c15:f>Frontend!$BR$188</c15:f>
                      <c15:dlblFieldTableCache>
                        <c:ptCount val="1"/>
                      </c15:dlblFieldTableCache>
                    </c15:dlblFTEntry>
                  </c15:dlblFieldTable>
                  <c15:showDataLabelsRange val="0"/>
                </c:ext>
                <c:ext xmlns:c16="http://schemas.microsoft.com/office/drawing/2014/chart" uri="{C3380CC4-5D6E-409C-BE32-E72D297353CC}">
                  <c16:uniqueId val="{000000B4-504C-421D-AE36-2B15419FE06E}"/>
                </c:ext>
              </c:extLst>
            </c:dLbl>
            <c:dLbl>
              <c:idx val="179"/>
              <c:tx>
                <c:strRef>
                  <c:f>Frontend!$BR$189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{112E90B1-40DE-4ABB-A1F6-6E5DC4EE52EC}</c15:txfldGUID>
                      <c15:f>Frontend!$BR$189</c15:f>
                      <c15:dlblFieldTableCache>
                        <c:ptCount val="1"/>
                      </c15:dlblFieldTableCache>
                    </c15:dlblFTEntry>
                  </c15:dlblFieldTable>
                  <c15:showDataLabelsRange val="0"/>
                </c:ext>
                <c:ext xmlns:c16="http://schemas.microsoft.com/office/drawing/2014/chart" uri="{C3380CC4-5D6E-409C-BE32-E72D297353CC}">
                  <c16:uniqueId val="{000000B5-504C-421D-AE36-2B15419FE06E}"/>
                </c:ext>
              </c:extLst>
            </c:dLbl>
            <c:dLbl>
              <c:idx val="180"/>
              <c:tx>
                <c:strRef>
                  <c:f>Frontend!$BR$190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{B8F09E0C-A99E-4773-B3B8-00B5537F2018}</c15:txfldGUID>
                      <c15:f>Frontend!$BR$190</c15:f>
                      <c15:dlblFieldTableCache>
                        <c:ptCount val="1"/>
                      </c15:dlblFieldTableCache>
                    </c15:dlblFTEntry>
                  </c15:dlblFieldTable>
                  <c15:showDataLabelsRange val="0"/>
                </c:ext>
                <c:ext xmlns:c16="http://schemas.microsoft.com/office/drawing/2014/chart" uri="{C3380CC4-5D6E-409C-BE32-E72D297353CC}">
                  <c16:uniqueId val="{000000B6-504C-421D-AE36-2B15419FE06E}"/>
                </c:ext>
              </c:extLst>
            </c:dLbl>
            <c:dLbl>
              <c:idx val="181"/>
              <c:tx>
                <c:strRef>
                  <c:f>Frontend!$BR$191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{E9DEC950-CC97-42F2-A39B-0C1D400D6DA9}</c15:txfldGUID>
                      <c15:f>Frontend!$BR$191</c15:f>
                      <c15:dlblFieldTableCache>
                        <c:ptCount val="1"/>
                      </c15:dlblFieldTableCache>
                    </c15:dlblFTEntry>
                  </c15:dlblFieldTable>
                  <c15:showDataLabelsRange val="0"/>
                </c:ext>
                <c:ext xmlns:c16="http://schemas.microsoft.com/office/drawing/2014/chart" uri="{C3380CC4-5D6E-409C-BE32-E72D297353CC}">
                  <c16:uniqueId val="{000000B7-504C-421D-AE36-2B15419FE06E}"/>
                </c:ext>
              </c:extLst>
            </c:dLbl>
            <c:dLbl>
              <c:idx val="182"/>
              <c:tx>
                <c:strRef>
                  <c:f>Frontend!$BR$192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{27252C15-4FEA-4C3D-A627-E3A740928AB5}</c15:txfldGUID>
                      <c15:f>Frontend!$BR$192</c15:f>
                      <c15:dlblFieldTableCache>
                        <c:ptCount val="1"/>
                      </c15:dlblFieldTableCache>
                    </c15:dlblFTEntry>
                  </c15:dlblFieldTable>
                  <c15:showDataLabelsRange val="0"/>
                </c:ext>
                <c:ext xmlns:c16="http://schemas.microsoft.com/office/drawing/2014/chart" uri="{C3380CC4-5D6E-409C-BE32-E72D297353CC}">
                  <c16:uniqueId val="{000000B8-504C-421D-AE36-2B15419FE06E}"/>
                </c:ext>
              </c:extLst>
            </c:dLbl>
            <c:dLbl>
              <c:idx val="183"/>
              <c:tx>
                <c:strRef>
                  <c:f>Frontend!$BR$193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{ECE60255-D24F-4BA2-A19B-C71F82FD4C58}</c15:txfldGUID>
                      <c15:f>Frontend!$BR$193</c15:f>
                      <c15:dlblFieldTableCache>
                        <c:ptCount val="1"/>
                      </c15:dlblFieldTableCache>
                    </c15:dlblFTEntry>
                  </c15:dlblFieldTable>
                  <c15:showDataLabelsRange val="0"/>
                </c:ext>
                <c:ext xmlns:c16="http://schemas.microsoft.com/office/drawing/2014/chart" uri="{C3380CC4-5D6E-409C-BE32-E72D297353CC}">
                  <c16:uniqueId val="{000000B9-504C-421D-AE36-2B15419FE06E}"/>
                </c:ext>
              </c:extLst>
            </c:dLbl>
            <c:dLbl>
              <c:idx val="184"/>
              <c:tx>
                <c:strRef>
                  <c:f>Frontend!$BR$194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{BCDC41B2-C4E5-4C2D-95CC-21D6EF9E81A9}</c15:txfldGUID>
                      <c15:f>Frontend!$BR$194</c15:f>
                      <c15:dlblFieldTableCache>
                        <c:ptCount val="1"/>
                      </c15:dlblFieldTableCache>
                    </c15:dlblFTEntry>
                  </c15:dlblFieldTable>
                  <c15:showDataLabelsRange val="0"/>
                </c:ext>
                <c:ext xmlns:c16="http://schemas.microsoft.com/office/drawing/2014/chart" uri="{C3380CC4-5D6E-409C-BE32-E72D297353CC}">
                  <c16:uniqueId val="{000000BA-504C-421D-AE36-2B15419FE06E}"/>
                </c:ext>
              </c:extLst>
            </c:dLbl>
            <c:dLbl>
              <c:idx val="185"/>
              <c:tx>
                <c:strRef>
                  <c:f>Frontend!$BR$195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{22A2E8BE-5F44-469A-A2C4-40B963CA5C84}</c15:txfldGUID>
                      <c15:f>Frontend!$BR$195</c15:f>
                      <c15:dlblFieldTableCache>
                        <c:ptCount val="1"/>
                      </c15:dlblFieldTableCache>
                    </c15:dlblFTEntry>
                  </c15:dlblFieldTable>
                  <c15:showDataLabelsRange val="0"/>
                </c:ext>
                <c:ext xmlns:c16="http://schemas.microsoft.com/office/drawing/2014/chart" uri="{C3380CC4-5D6E-409C-BE32-E72D297353CC}">
                  <c16:uniqueId val="{000000BB-504C-421D-AE36-2B15419FE06E}"/>
                </c:ext>
              </c:extLst>
            </c:dLbl>
            <c:dLbl>
              <c:idx val="186"/>
              <c:tx>
                <c:strRef>
                  <c:f>Frontend!$BR$196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{68C1C753-CB46-4D37-BE31-B02D370A2D0E}</c15:txfldGUID>
                      <c15:f>Frontend!$BR$196</c15:f>
                      <c15:dlblFieldTableCache>
                        <c:ptCount val="1"/>
                      </c15:dlblFieldTableCache>
                    </c15:dlblFTEntry>
                  </c15:dlblFieldTable>
                  <c15:showDataLabelsRange val="0"/>
                </c:ext>
                <c:ext xmlns:c16="http://schemas.microsoft.com/office/drawing/2014/chart" uri="{C3380CC4-5D6E-409C-BE32-E72D297353CC}">
                  <c16:uniqueId val="{000000BC-504C-421D-AE36-2B15419FE06E}"/>
                </c:ext>
              </c:extLst>
            </c:dLbl>
            <c:dLbl>
              <c:idx val="187"/>
              <c:tx>
                <c:strRef>
                  <c:f>Frontend!$BR$197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{0099EC38-2362-43F3-8E53-FF8FB755E7E9}</c15:txfldGUID>
                      <c15:f>Frontend!$BR$197</c15:f>
                      <c15:dlblFieldTableCache>
                        <c:ptCount val="1"/>
                      </c15:dlblFieldTableCache>
                    </c15:dlblFTEntry>
                  </c15:dlblFieldTable>
                  <c15:showDataLabelsRange val="0"/>
                </c:ext>
                <c:ext xmlns:c16="http://schemas.microsoft.com/office/drawing/2014/chart" uri="{C3380CC4-5D6E-409C-BE32-E72D297353CC}">
                  <c16:uniqueId val="{000000BD-504C-421D-AE36-2B15419FE06E}"/>
                </c:ext>
              </c:extLst>
            </c:dLbl>
            <c:dLbl>
              <c:idx val="188"/>
              <c:tx>
                <c:strRef>
                  <c:f>Frontend!$BR$198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{203EC3D0-7CD8-457B-B3C0-3D7BDF7941C7}</c15:txfldGUID>
                      <c15:f>Frontend!$BR$198</c15:f>
                      <c15:dlblFieldTableCache>
                        <c:ptCount val="1"/>
                      </c15:dlblFieldTableCache>
                    </c15:dlblFTEntry>
                  </c15:dlblFieldTable>
                  <c15:showDataLabelsRange val="0"/>
                </c:ext>
                <c:ext xmlns:c16="http://schemas.microsoft.com/office/drawing/2014/chart" uri="{C3380CC4-5D6E-409C-BE32-E72D297353CC}">
                  <c16:uniqueId val="{000000BE-504C-421D-AE36-2B15419FE06E}"/>
                </c:ext>
              </c:extLst>
            </c:dLbl>
            <c:dLbl>
              <c:idx val="189"/>
              <c:tx>
                <c:strRef>
                  <c:f>Frontend!$BR$199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{CBAC1DEB-0779-4DE7-83AA-A0FC79A564E7}</c15:txfldGUID>
                      <c15:f>Frontend!$BR$199</c15:f>
                      <c15:dlblFieldTableCache>
                        <c:ptCount val="1"/>
                      </c15:dlblFieldTableCache>
                    </c15:dlblFTEntry>
                  </c15:dlblFieldTable>
                  <c15:showDataLabelsRange val="0"/>
                </c:ext>
                <c:ext xmlns:c16="http://schemas.microsoft.com/office/drawing/2014/chart" uri="{C3380CC4-5D6E-409C-BE32-E72D297353CC}">
                  <c16:uniqueId val="{000000BF-504C-421D-AE36-2B15419FE06E}"/>
                </c:ext>
              </c:extLst>
            </c:dLbl>
            <c:dLbl>
              <c:idx val="190"/>
              <c:tx>
                <c:strRef>
                  <c:f>Frontend!$BR$200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{198AE821-BBA2-405F-A2DC-8E550B0DF6AF}</c15:txfldGUID>
                      <c15:f>Frontend!$BR$200</c15:f>
                      <c15:dlblFieldTableCache>
                        <c:ptCount val="1"/>
                      </c15:dlblFieldTableCache>
                    </c15:dlblFTEntry>
                  </c15:dlblFieldTable>
                  <c15:showDataLabelsRange val="0"/>
                </c:ext>
                <c:ext xmlns:c16="http://schemas.microsoft.com/office/drawing/2014/chart" uri="{C3380CC4-5D6E-409C-BE32-E72D297353CC}">
                  <c16:uniqueId val="{000000C0-504C-421D-AE36-2B15419FE06E}"/>
                </c:ext>
              </c:extLst>
            </c:dLbl>
            <c:dLbl>
              <c:idx val="191"/>
              <c:tx>
                <c:strRef>
                  <c:f>Frontend!$BR$201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{E341CCA2-AA7F-4FAD-8225-C635C97D677A}</c15:txfldGUID>
                      <c15:f>Frontend!$BR$201</c15:f>
                      <c15:dlblFieldTableCache>
                        <c:ptCount val="1"/>
                      </c15:dlblFieldTableCache>
                    </c15:dlblFTEntry>
                  </c15:dlblFieldTable>
                  <c15:showDataLabelsRange val="0"/>
                </c:ext>
                <c:ext xmlns:c16="http://schemas.microsoft.com/office/drawing/2014/chart" uri="{C3380CC4-5D6E-409C-BE32-E72D297353CC}">
                  <c16:uniqueId val="{000000C1-504C-421D-AE36-2B15419FE06E}"/>
                </c:ext>
              </c:extLst>
            </c:dLbl>
            <c:dLbl>
              <c:idx val="192"/>
              <c:tx>
                <c:strRef>
                  <c:f>Frontend!$BR$202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{D0F47013-15BA-4057-B30B-5B1C9FFAF430}</c15:txfldGUID>
                      <c15:f>Frontend!$BR$202</c15:f>
                      <c15:dlblFieldTableCache>
                        <c:ptCount val="1"/>
                      </c15:dlblFieldTableCache>
                    </c15:dlblFTEntry>
                  </c15:dlblFieldTable>
                  <c15:showDataLabelsRange val="0"/>
                </c:ext>
                <c:ext xmlns:c16="http://schemas.microsoft.com/office/drawing/2014/chart" uri="{C3380CC4-5D6E-409C-BE32-E72D297353CC}">
                  <c16:uniqueId val="{000000C2-504C-421D-AE36-2B15419FE06E}"/>
                </c:ext>
              </c:extLst>
            </c:dLbl>
            <c:dLbl>
              <c:idx val="193"/>
              <c:tx>
                <c:strRef>
                  <c:f>Frontend!$BR$203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{B3CF1A46-1986-409B-9A80-05166AC3AD37}</c15:txfldGUID>
                      <c15:f>Frontend!$BR$203</c15:f>
                      <c15:dlblFieldTableCache>
                        <c:ptCount val="1"/>
                      </c15:dlblFieldTableCache>
                    </c15:dlblFTEntry>
                  </c15:dlblFieldTable>
                  <c15:showDataLabelsRange val="0"/>
                </c:ext>
                <c:ext xmlns:c16="http://schemas.microsoft.com/office/drawing/2014/chart" uri="{C3380CC4-5D6E-409C-BE32-E72D297353CC}">
                  <c16:uniqueId val="{000000C3-504C-421D-AE36-2B15419FE06E}"/>
                </c:ext>
              </c:extLst>
            </c:dLbl>
            <c:dLbl>
              <c:idx val="194"/>
              <c:tx>
                <c:strRef>
                  <c:f>Frontend!$BR$204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{4EB351B7-2C72-40A0-8E83-D26F5CD2214B}</c15:txfldGUID>
                      <c15:f>Frontend!$BR$204</c15:f>
                      <c15:dlblFieldTableCache>
                        <c:ptCount val="1"/>
                      </c15:dlblFieldTableCache>
                    </c15:dlblFTEntry>
                  </c15:dlblFieldTable>
                  <c15:showDataLabelsRange val="0"/>
                </c:ext>
                <c:ext xmlns:c16="http://schemas.microsoft.com/office/drawing/2014/chart" uri="{C3380CC4-5D6E-409C-BE32-E72D297353CC}">
                  <c16:uniqueId val="{000000C4-504C-421D-AE36-2B15419FE06E}"/>
                </c:ext>
              </c:extLst>
            </c:dLbl>
            <c:dLbl>
              <c:idx val="195"/>
              <c:tx>
                <c:strRef>
                  <c:f>Frontend!$BR$205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{23EF6F74-42C6-4119-9A47-BB7D93A0196B}</c15:txfldGUID>
                      <c15:f>Frontend!$BR$205</c15:f>
                      <c15:dlblFieldTableCache>
                        <c:ptCount val="1"/>
                      </c15:dlblFieldTableCache>
                    </c15:dlblFTEntry>
                  </c15:dlblFieldTable>
                  <c15:showDataLabelsRange val="0"/>
                </c:ext>
                <c:ext xmlns:c16="http://schemas.microsoft.com/office/drawing/2014/chart" uri="{C3380CC4-5D6E-409C-BE32-E72D297353CC}">
                  <c16:uniqueId val="{000000C5-504C-421D-AE36-2B15419FE06E}"/>
                </c:ext>
              </c:extLst>
            </c:dLbl>
            <c:dLbl>
              <c:idx val="196"/>
              <c:tx>
                <c:strRef>
                  <c:f>Frontend!$BR$206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{C71D96EF-21B8-4C93-9FC7-DAF77E59C5F4}</c15:txfldGUID>
                      <c15:f>Frontend!$BR$206</c15:f>
                      <c15:dlblFieldTableCache>
                        <c:ptCount val="1"/>
                      </c15:dlblFieldTableCache>
                    </c15:dlblFTEntry>
                  </c15:dlblFieldTable>
                  <c15:showDataLabelsRange val="0"/>
                </c:ext>
                <c:ext xmlns:c16="http://schemas.microsoft.com/office/drawing/2014/chart" uri="{C3380CC4-5D6E-409C-BE32-E72D297353CC}">
                  <c16:uniqueId val="{000000C6-504C-421D-AE36-2B15419FE06E}"/>
                </c:ext>
              </c:extLst>
            </c:dLbl>
            <c:dLbl>
              <c:idx val="197"/>
              <c:tx>
                <c:strRef>
                  <c:f>Frontend!$BR$207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{3E2B1DC7-858D-498B-B0E9-420127604F5F}</c15:txfldGUID>
                      <c15:f>Frontend!$BR$207</c15:f>
                      <c15:dlblFieldTableCache>
                        <c:ptCount val="1"/>
                      </c15:dlblFieldTableCache>
                    </c15:dlblFTEntry>
                  </c15:dlblFieldTable>
                  <c15:showDataLabelsRange val="0"/>
                </c:ext>
                <c:ext xmlns:c16="http://schemas.microsoft.com/office/drawing/2014/chart" uri="{C3380CC4-5D6E-409C-BE32-E72D297353CC}">
                  <c16:uniqueId val="{000000C7-504C-421D-AE36-2B15419FE06E}"/>
                </c:ext>
              </c:extLst>
            </c:dLbl>
            <c:dLbl>
              <c:idx val="198"/>
              <c:tx>
                <c:strRef>
                  <c:f>Frontend!$BR$208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{4E74C6D7-8824-4712-87B5-A8977C4802CD}</c15:txfldGUID>
                      <c15:f>Frontend!$BR$208</c15:f>
                      <c15:dlblFieldTableCache>
                        <c:ptCount val="1"/>
                      </c15:dlblFieldTableCache>
                    </c15:dlblFTEntry>
                  </c15:dlblFieldTable>
                  <c15:showDataLabelsRange val="0"/>
                </c:ext>
                <c:ext xmlns:c16="http://schemas.microsoft.com/office/drawing/2014/chart" uri="{C3380CC4-5D6E-409C-BE32-E72D297353CC}">
                  <c16:uniqueId val="{000000C8-504C-421D-AE36-2B15419FE06E}"/>
                </c:ext>
              </c:extLst>
            </c:dLbl>
            <c:dLbl>
              <c:idx val="199"/>
              <c:tx>
                <c:strRef>
                  <c:f>Frontend!$BR$209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{C09FFF10-3249-4309-A6BB-9F03234214F4}</c15:txfldGUID>
                      <c15:f>Frontend!$BR$209</c15:f>
                      <c15:dlblFieldTableCache>
                        <c:ptCount val="1"/>
                      </c15:dlblFieldTableCache>
                    </c15:dlblFTEntry>
                  </c15:dlblFieldTable>
                  <c15:showDataLabelsRange val="0"/>
                </c:ext>
                <c:ext xmlns:c16="http://schemas.microsoft.com/office/drawing/2014/chart" uri="{C3380CC4-5D6E-409C-BE32-E72D297353CC}">
                  <c16:uniqueId val="{000000C9-504C-421D-AE36-2B15419FE06E}"/>
                </c:ext>
              </c:extLst>
            </c:dLbl>
            <c:dLbl>
              <c:idx val="200"/>
              <c:tx>
                <c:strRef>
                  <c:f>Frontend!$BR$210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{B9C96F22-5193-478C-859E-596CAABCAD8B}</c15:txfldGUID>
                      <c15:f>Frontend!$BR$210</c15:f>
                      <c15:dlblFieldTableCache>
                        <c:ptCount val="1"/>
                      </c15:dlblFieldTableCache>
                    </c15:dlblFTEntry>
                  </c15:dlblFieldTable>
                  <c15:showDataLabelsRange val="0"/>
                </c:ext>
                <c:ext xmlns:c16="http://schemas.microsoft.com/office/drawing/2014/chart" uri="{C3380CC4-5D6E-409C-BE32-E72D297353CC}">
                  <c16:uniqueId val="{000000CA-504C-421D-AE36-2B15419FE06E}"/>
                </c:ext>
              </c:extLst>
            </c:dLbl>
            <c:dLbl>
              <c:idx val="201"/>
              <c:tx>
                <c:strRef>
                  <c:f>Frontend!$BR$211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{B8949702-FD4C-4FD6-A427-D76C8C87013B}</c15:txfldGUID>
                      <c15:f>Frontend!$BR$211</c15:f>
                      <c15:dlblFieldTableCache>
                        <c:ptCount val="1"/>
                      </c15:dlblFieldTableCache>
                    </c15:dlblFTEntry>
                  </c15:dlblFieldTable>
                  <c15:showDataLabelsRange val="0"/>
                </c:ext>
                <c:ext xmlns:c16="http://schemas.microsoft.com/office/drawing/2014/chart" uri="{C3380CC4-5D6E-409C-BE32-E72D297353CC}">
                  <c16:uniqueId val="{000000CB-504C-421D-AE36-2B15419FE06E}"/>
                </c:ext>
              </c:extLst>
            </c:dLbl>
            <c:dLbl>
              <c:idx val="202"/>
              <c:tx>
                <c:strRef>
                  <c:f>Frontend!$BR$212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{46F62446-F500-4F24-82E1-C776F522761E}</c15:txfldGUID>
                      <c15:f>Frontend!$BR$212</c15:f>
                      <c15:dlblFieldTableCache>
                        <c:ptCount val="1"/>
                      </c15:dlblFieldTableCache>
                    </c15:dlblFTEntry>
                  </c15:dlblFieldTable>
                  <c15:showDataLabelsRange val="0"/>
                </c:ext>
                <c:ext xmlns:c16="http://schemas.microsoft.com/office/drawing/2014/chart" uri="{C3380CC4-5D6E-409C-BE32-E72D297353CC}">
                  <c16:uniqueId val="{000000CC-504C-421D-AE36-2B15419FE06E}"/>
                </c:ext>
              </c:extLst>
            </c:dLbl>
            <c:dLbl>
              <c:idx val="203"/>
              <c:tx>
                <c:strRef>
                  <c:f>Frontend!$BR$213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{73DA9291-7946-4158-97CB-C90067C80D4A}</c15:txfldGUID>
                      <c15:f>Frontend!$BR$213</c15:f>
                      <c15:dlblFieldTableCache>
                        <c:ptCount val="1"/>
                      </c15:dlblFieldTableCache>
                    </c15:dlblFTEntry>
                  </c15:dlblFieldTable>
                  <c15:showDataLabelsRange val="0"/>
                </c:ext>
                <c:ext xmlns:c16="http://schemas.microsoft.com/office/drawing/2014/chart" uri="{C3380CC4-5D6E-409C-BE32-E72D297353CC}">
                  <c16:uniqueId val="{000000CD-504C-421D-AE36-2B15419FE06E}"/>
                </c:ext>
              </c:extLst>
            </c:dLbl>
            <c:dLbl>
              <c:idx val="204"/>
              <c:tx>
                <c:strRef>
                  <c:f>Frontend!$BR$214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{CCBF8EA0-0018-484E-98BC-864CBF98710A}</c15:txfldGUID>
                      <c15:f>Frontend!$BR$214</c15:f>
                      <c15:dlblFieldTableCache>
                        <c:ptCount val="1"/>
                      </c15:dlblFieldTableCache>
                    </c15:dlblFTEntry>
                  </c15:dlblFieldTable>
                  <c15:showDataLabelsRange val="0"/>
                </c:ext>
                <c:ext xmlns:c16="http://schemas.microsoft.com/office/drawing/2014/chart" uri="{C3380CC4-5D6E-409C-BE32-E72D297353CC}">
                  <c16:uniqueId val="{000000CE-504C-421D-AE36-2B15419FE06E}"/>
                </c:ext>
              </c:extLst>
            </c:dLbl>
            <c:dLbl>
              <c:idx val="205"/>
              <c:tx>
                <c:strRef>
                  <c:f>Frontend!$BR$215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{5D9A1DAF-A026-4020-A7EE-3B8751E78284}</c15:txfldGUID>
                      <c15:f>Frontend!$BR$215</c15:f>
                      <c15:dlblFieldTableCache>
                        <c:ptCount val="1"/>
                      </c15:dlblFieldTableCache>
                    </c15:dlblFTEntry>
                  </c15:dlblFieldTable>
                  <c15:showDataLabelsRange val="0"/>
                </c:ext>
                <c:ext xmlns:c16="http://schemas.microsoft.com/office/drawing/2014/chart" uri="{C3380CC4-5D6E-409C-BE32-E72D297353CC}">
                  <c16:uniqueId val="{000000CF-504C-421D-AE36-2B15419FE06E}"/>
                </c:ext>
              </c:extLst>
            </c:dLbl>
            <c:dLbl>
              <c:idx val="206"/>
              <c:tx>
                <c:strRef>
                  <c:f>Frontend!$BR$216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{FA339530-57E6-48C4-B366-EC81D5FAAD1C}</c15:txfldGUID>
                      <c15:f>Frontend!$BR$216</c15:f>
                      <c15:dlblFieldTableCache>
                        <c:ptCount val="1"/>
                      </c15:dlblFieldTableCache>
                    </c15:dlblFTEntry>
                  </c15:dlblFieldTable>
                  <c15:showDataLabelsRange val="0"/>
                </c:ext>
                <c:ext xmlns:c16="http://schemas.microsoft.com/office/drawing/2014/chart" uri="{C3380CC4-5D6E-409C-BE32-E72D297353CC}">
                  <c16:uniqueId val="{000000D0-504C-421D-AE36-2B15419FE06E}"/>
                </c:ext>
              </c:extLst>
            </c:dLbl>
            <c:dLbl>
              <c:idx val="207"/>
              <c:tx>
                <c:strRef>
                  <c:f>Frontend!$BR$217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{8A79A0DF-D417-4FBD-99CE-C09F4325C945}</c15:txfldGUID>
                      <c15:f>Frontend!$BR$217</c15:f>
                      <c15:dlblFieldTableCache>
                        <c:ptCount val="1"/>
                      </c15:dlblFieldTableCache>
                    </c15:dlblFTEntry>
                  </c15:dlblFieldTable>
                  <c15:showDataLabelsRange val="0"/>
                </c:ext>
                <c:ext xmlns:c16="http://schemas.microsoft.com/office/drawing/2014/chart" uri="{C3380CC4-5D6E-409C-BE32-E72D297353CC}">
                  <c16:uniqueId val="{000000D1-504C-421D-AE36-2B15419FE06E}"/>
                </c:ext>
              </c:extLst>
            </c:dLbl>
            <c:dLbl>
              <c:idx val="208"/>
              <c:tx>
                <c:strRef>
                  <c:f>Frontend!$BR$218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{4A8DFE30-D233-40A4-B817-4C916F9E9B4C}</c15:txfldGUID>
                      <c15:f>Frontend!$BR$218</c15:f>
                      <c15:dlblFieldTableCache>
                        <c:ptCount val="1"/>
                      </c15:dlblFieldTableCache>
                    </c15:dlblFTEntry>
                  </c15:dlblFieldTable>
                  <c15:showDataLabelsRange val="0"/>
                </c:ext>
                <c:ext xmlns:c16="http://schemas.microsoft.com/office/drawing/2014/chart" uri="{C3380CC4-5D6E-409C-BE32-E72D297353CC}">
                  <c16:uniqueId val="{000000D2-504C-421D-AE36-2B15419FE06E}"/>
                </c:ext>
              </c:extLst>
            </c:dLbl>
            <c:dLbl>
              <c:idx val="209"/>
              <c:tx>
                <c:strRef>
                  <c:f>Frontend!$BR$219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{B23831E5-DE0C-44EE-A20E-636855BF26E1}</c15:txfldGUID>
                      <c15:f>Frontend!$BR$219</c15:f>
                      <c15:dlblFieldTableCache>
                        <c:ptCount val="1"/>
                      </c15:dlblFieldTableCache>
                    </c15:dlblFTEntry>
                  </c15:dlblFieldTable>
                  <c15:showDataLabelsRange val="0"/>
                </c:ext>
                <c:ext xmlns:c16="http://schemas.microsoft.com/office/drawing/2014/chart" uri="{C3380CC4-5D6E-409C-BE32-E72D297353CC}">
                  <c16:uniqueId val="{000000D3-504C-421D-AE36-2B15419FE06E}"/>
                </c:ext>
              </c:extLst>
            </c:dLbl>
            <c:dLbl>
              <c:idx val="210"/>
              <c:tx>
                <c:strRef>
                  <c:f>Frontend!$BR$220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{FDF5F388-CD36-4C8C-BF15-2B10E939E88C}</c15:txfldGUID>
                      <c15:f>Frontend!$BR$220</c15:f>
                      <c15:dlblFieldTableCache>
                        <c:ptCount val="1"/>
                      </c15:dlblFieldTableCache>
                    </c15:dlblFTEntry>
                  </c15:dlblFieldTable>
                  <c15:showDataLabelsRange val="0"/>
                </c:ext>
                <c:ext xmlns:c16="http://schemas.microsoft.com/office/drawing/2014/chart" uri="{C3380CC4-5D6E-409C-BE32-E72D297353CC}">
                  <c16:uniqueId val="{000000D4-504C-421D-AE36-2B15419FE06E}"/>
                </c:ext>
              </c:extLst>
            </c:dLbl>
            <c:dLbl>
              <c:idx val="211"/>
              <c:tx>
                <c:strRef>
                  <c:f>Frontend!$BR$221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{06224E46-BF5A-4B4C-A560-9F216F5E47BC}</c15:txfldGUID>
                      <c15:f>Frontend!$BR$221</c15:f>
                      <c15:dlblFieldTableCache>
                        <c:ptCount val="1"/>
                      </c15:dlblFieldTableCache>
                    </c15:dlblFTEntry>
                  </c15:dlblFieldTable>
                  <c15:showDataLabelsRange val="0"/>
                </c:ext>
                <c:ext xmlns:c16="http://schemas.microsoft.com/office/drawing/2014/chart" uri="{C3380CC4-5D6E-409C-BE32-E72D297353CC}">
                  <c16:uniqueId val="{000000D5-504C-421D-AE36-2B15419FE06E}"/>
                </c:ext>
              </c:extLst>
            </c:dLbl>
            <c:dLbl>
              <c:idx val="212"/>
              <c:tx>
                <c:strRef>
                  <c:f>Frontend!$BR$222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{EF48969C-7FC7-4F43-9141-89F662E1A037}</c15:txfldGUID>
                      <c15:f>Frontend!$BR$222</c15:f>
                      <c15:dlblFieldTableCache>
                        <c:ptCount val="1"/>
                      </c15:dlblFieldTableCache>
                    </c15:dlblFTEntry>
                  </c15:dlblFieldTable>
                  <c15:showDataLabelsRange val="0"/>
                </c:ext>
                <c:ext xmlns:c16="http://schemas.microsoft.com/office/drawing/2014/chart" uri="{C3380CC4-5D6E-409C-BE32-E72D297353CC}">
                  <c16:uniqueId val="{000000D6-504C-421D-AE36-2B15419FE06E}"/>
                </c:ext>
              </c:extLst>
            </c:dLbl>
            <c:dLbl>
              <c:idx val="213"/>
              <c:tx>
                <c:strRef>
                  <c:f>Frontend!$BR$223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{16F178D9-0F00-4178-BB4D-42D567234F69}</c15:txfldGUID>
                      <c15:f>Frontend!$BR$223</c15:f>
                      <c15:dlblFieldTableCache>
                        <c:ptCount val="1"/>
                      </c15:dlblFieldTableCache>
                    </c15:dlblFTEntry>
                  </c15:dlblFieldTable>
                  <c15:showDataLabelsRange val="0"/>
                </c:ext>
                <c:ext xmlns:c16="http://schemas.microsoft.com/office/drawing/2014/chart" uri="{C3380CC4-5D6E-409C-BE32-E72D297353CC}">
                  <c16:uniqueId val="{000000D7-504C-421D-AE36-2B15419FE06E}"/>
                </c:ext>
              </c:extLst>
            </c:dLbl>
            <c:dLbl>
              <c:idx val="214"/>
              <c:tx>
                <c:strRef>
                  <c:f>Frontend!$BR$224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{DC507046-CE3F-4662-AA7B-A01B9669E2CA}</c15:txfldGUID>
                      <c15:f>Frontend!$BR$224</c15:f>
                      <c15:dlblFieldTableCache>
                        <c:ptCount val="1"/>
                      </c15:dlblFieldTableCache>
                    </c15:dlblFTEntry>
                  </c15:dlblFieldTable>
                  <c15:showDataLabelsRange val="0"/>
                </c:ext>
                <c:ext xmlns:c16="http://schemas.microsoft.com/office/drawing/2014/chart" uri="{C3380CC4-5D6E-409C-BE32-E72D297353CC}">
                  <c16:uniqueId val="{000000D8-504C-421D-AE36-2B15419FE06E}"/>
                </c:ext>
              </c:extLst>
            </c:dLbl>
            <c:dLbl>
              <c:idx val="215"/>
              <c:tx>
                <c:strRef>
                  <c:f>Frontend!$BR$225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{44EA65B8-FED4-47DA-859F-158ADDEAB2F9}</c15:txfldGUID>
                      <c15:f>Frontend!$BR$225</c15:f>
                      <c15:dlblFieldTableCache>
                        <c:ptCount val="1"/>
                      </c15:dlblFieldTableCache>
                    </c15:dlblFTEntry>
                  </c15:dlblFieldTable>
                  <c15:showDataLabelsRange val="0"/>
                </c:ext>
                <c:ext xmlns:c16="http://schemas.microsoft.com/office/drawing/2014/chart" uri="{C3380CC4-5D6E-409C-BE32-E72D297353CC}">
                  <c16:uniqueId val="{000000D9-504C-421D-AE36-2B15419FE06E}"/>
                </c:ext>
              </c:extLst>
            </c:dLbl>
            <c:dLbl>
              <c:idx val="216"/>
              <c:tx>
                <c:strRef>
                  <c:f>Frontend!$BR$226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{A0B9ECFF-5130-4117-A2DD-96427DB8FDCC}</c15:txfldGUID>
                      <c15:f>Frontend!$BR$226</c15:f>
                      <c15:dlblFieldTableCache>
                        <c:ptCount val="1"/>
                      </c15:dlblFieldTableCache>
                    </c15:dlblFTEntry>
                  </c15:dlblFieldTable>
                  <c15:showDataLabelsRange val="0"/>
                </c:ext>
                <c:ext xmlns:c16="http://schemas.microsoft.com/office/drawing/2014/chart" uri="{C3380CC4-5D6E-409C-BE32-E72D297353CC}">
                  <c16:uniqueId val="{000000DA-504C-421D-AE36-2B15419FE06E}"/>
                </c:ext>
              </c:extLst>
            </c:dLbl>
            <c:dLbl>
              <c:idx val="217"/>
              <c:tx>
                <c:strRef>
                  <c:f>Frontend!$BR$227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{52755ECE-329F-40E1-8503-CBE9BA1EA170}</c15:txfldGUID>
                      <c15:f>Frontend!$BR$227</c15:f>
                      <c15:dlblFieldTableCache>
                        <c:ptCount val="1"/>
                      </c15:dlblFieldTableCache>
                    </c15:dlblFTEntry>
                  </c15:dlblFieldTable>
                  <c15:showDataLabelsRange val="0"/>
                </c:ext>
                <c:ext xmlns:c16="http://schemas.microsoft.com/office/drawing/2014/chart" uri="{C3380CC4-5D6E-409C-BE32-E72D297353CC}">
                  <c16:uniqueId val="{000000DB-504C-421D-AE36-2B15419FE06E}"/>
                </c:ext>
              </c:extLst>
            </c:dLbl>
            <c:dLbl>
              <c:idx val="218"/>
              <c:tx>
                <c:strRef>
                  <c:f>Frontend!$BR$228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{51802C49-7527-4191-A997-A336559013CC}</c15:txfldGUID>
                      <c15:f>Frontend!$BR$228</c15:f>
                      <c15:dlblFieldTableCache>
                        <c:ptCount val="1"/>
                      </c15:dlblFieldTableCache>
                    </c15:dlblFTEntry>
                  </c15:dlblFieldTable>
                  <c15:showDataLabelsRange val="0"/>
                </c:ext>
                <c:ext xmlns:c16="http://schemas.microsoft.com/office/drawing/2014/chart" uri="{C3380CC4-5D6E-409C-BE32-E72D297353CC}">
                  <c16:uniqueId val="{000000DC-504C-421D-AE36-2B15419FE06E}"/>
                </c:ext>
              </c:extLst>
            </c:dLbl>
            <c:dLbl>
              <c:idx val="219"/>
              <c:tx>
                <c:strRef>
                  <c:f>Frontend!$BR$229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{0E908215-EFB8-4394-B758-7E4687999F87}</c15:txfldGUID>
                      <c15:f>Frontend!$BR$229</c15:f>
                      <c15:dlblFieldTableCache>
                        <c:ptCount val="1"/>
                      </c15:dlblFieldTableCache>
                    </c15:dlblFTEntry>
                  </c15:dlblFieldTable>
                  <c15:showDataLabelsRange val="0"/>
                </c:ext>
                <c:ext xmlns:c16="http://schemas.microsoft.com/office/drawing/2014/chart" uri="{C3380CC4-5D6E-409C-BE32-E72D297353CC}">
                  <c16:uniqueId val="{000000DD-504C-421D-AE36-2B15419FE06E}"/>
                </c:ext>
              </c:extLst>
            </c:dLbl>
            <c:dLbl>
              <c:idx val="220"/>
              <c:tx>
                <c:strRef>
                  <c:f>Frontend!$BR$230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{1B6DF3AC-EEAD-42DD-B0AC-CAE3A100314C}</c15:txfldGUID>
                      <c15:f>Frontend!$BR$230</c15:f>
                      <c15:dlblFieldTableCache>
                        <c:ptCount val="1"/>
                      </c15:dlblFieldTableCache>
                    </c15:dlblFTEntry>
                  </c15:dlblFieldTable>
                  <c15:showDataLabelsRange val="0"/>
                </c:ext>
                <c:ext xmlns:c16="http://schemas.microsoft.com/office/drawing/2014/chart" uri="{C3380CC4-5D6E-409C-BE32-E72D297353CC}">
                  <c16:uniqueId val="{000000DE-504C-421D-AE36-2B15419FE06E}"/>
                </c:ext>
              </c:extLst>
            </c:dLbl>
            <c:dLbl>
              <c:idx val="221"/>
              <c:tx>
                <c:strRef>
                  <c:f>Frontend!$BR$231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{EE63CD33-9014-4F0A-BF31-9AA191F317E2}</c15:txfldGUID>
                      <c15:f>Frontend!$BR$231</c15:f>
                      <c15:dlblFieldTableCache>
                        <c:ptCount val="1"/>
                      </c15:dlblFieldTableCache>
                    </c15:dlblFTEntry>
                  </c15:dlblFieldTable>
                  <c15:showDataLabelsRange val="0"/>
                </c:ext>
                <c:ext xmlns:c16="http://schemas.microsoft.com/office/drawing/2014/chart" uri="{C3380CC4-5D6E-409C-BE32-E72D297353CC}">
                  <c16:uniqueId val="{000000DF-504C-421D-AE36-2B15419FE06E}"/>
                </c:ext>
              </c:extLst>
            </c:dLbl>
            <c:dLbl>
              <c:idx val="222"/>
              <c:tx>
                <c:strRef>
                  <c:f>Frontend!$BR$232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{1C408B00-0FFE-4AF4-8451-5152DF1E0542}</c15:txfldGUID>
                      <c15:f>Frontend!$BR$232</c15:f>
                      <c15:dlblFieldTableCache>
                        <c:ptCount val="1"/>
                      </c15:dlblFieldTableCache>
                    </c15:dlblFTEntry>
                  </c15:dlblFieldTable>
                  <c15:showDataLabelsRange val="0"/>
                </c:ext>
                <c:ext xmlns:c16="http://schemas.microsoft.com/office/drawing/2014/chart" uri="{C3380CC4-5D6E-409C-BE32-E72D297353CC}">
                  <c16:uniqueId val="{000000E0-504C-421D-AE36-2B15419FE06E}"/>
                </c:ext>
              </c:extLst>
            </c:dLbl>
            <c:dLbl>
              <c:idx val="223"/>
              <c:tx>
                <c:strRef>
                  <c:f>Frontend!$BR$233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{9C19625D-2182-4110-94AF-203CCC537333}</c15:txfldGUID>
                      <c15:f>Frontend!$BR$233</c15:f>
                      <c15:dlblFieldTableCache>
                        <c:ptCount val="1"/>
                      </c15:dlblFieldTableCache>
                    </c15:dlblFTEntry>
                  </c15:dlblFieldTable>
                  <c15:showDataLabelsRange val="0"/>
                </c:ext>
                <c:ext xmlns:c16="http://schemas.microsoft.com/office/drawing/2014/chart" uri="{C3380CC4-5D6E-409C-BE32-E72D297353CC}">
                  <c16:uniqueId val="{000000E1-504C-421D-AE36-2B15419FE06E}"/>
                </c:ext>
              </c:extLst>
            </c:dLbl>
            <c:dLbl>
              <c:idx val="224"/>
              <c:tx>
                <c:strRef>
                  <c:f>Frontend!$BR$234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{9868577B-F8A9-4EF7-BD45-C1EC999A3B7D}</c15:txfldGUID>
                      <c15:f>Frontend!$BR$234</c15:f>
                      <c15:dlblFieldTableCache>
                        <c:ptCount val="1"/>
                      </c15:dlblFieldTableCache>
                    </c15:dlblFTEntry>
                  </c15:dlblFieldTable>
                  <c15:showDataLabelsRange val="0"/>
                </c:ext>
                <c:ext xmlns:c16="http://schemas.microsoft.com/office/drawing/2014/chart" uri="{C3380CC4-5D6E-409C-BE32-E72D297353CC}">
                  <c16:uniqueId val="{000000E2-504C-421D-AE36-2B15419FE06E}"/>
                </c:ext>
              </c:extLst>
            </c:dLbl>
            <c:dLbl>
              <c:idx val="225"/>
              <c:tx>
                <c:strRef>
                  <c:f>Frontend!$BR$235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{1FC27A7E-338C-4816-A93C-41EB71A22C22}</c15:txfldGUID>
                      <c15:f>Frontend!$BR$235</c15:f>
                      <c15:dlblFieldTableCache>
                        <c:ptCount val="1"/>
                      </c15:dlblFieldTableCache>
                    </c15:dlblFTEntry>
                  </c15:dlblFieldTable>
                  <c15:showDataLabelsRange val="0"/>
                </c:ext>
                <c:ext xmlns:c16="http://schemas.microsoft.com/office/drawing/2014/chart" uri="{C3380CC4-5D6E-409C-BE32-E72D297353CC}">
                  <c16:uniqueId val="{000000E3-504C-421D-AE36-2B15419FE06E}"/>
                </c:ext>
              </c:extLst>
            </c:dLbl>
            <c:dLbl>
              <c:idx val="226"/>
              <c:tx>
                <c:strRef>
                  <c:f>Frontend!$BR$236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{E69A1C5F-1558-4A02-8BF5-091D6D8091EA}</c15:txfldGUID>
                      <c15:f>Frontend!$BR$236</c15:f>
                      <c15:dlblFieldTableCache>
                        <c:ptCount val="1"/>
                      </c15:dlblFieldTableCache>
                    </c15:dlblFTEntry>
                  </c15:dlblFieldTable>
                  <c15:showDataLabelsRange val="0"/>
                </c:ext>
                <c:ext xmlns:c16="http://schemas.microsoft.com/office/drawing/2014/chart" uri="{C3380CC4-5D6E-409C-BE32-E72D297353CC}">
                  <c16:uniqueId val="{000000E4-504C-421D-AE36-2B15419FE06E}"/>
                </c:ext>
              </c:extLst>
            </c:dLbl>
            <c:dLbl>
              <c:idx val="227"/>
              <c:tx>
                <c:strRef>
                  <c:f>Frontend!$BR$237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{785B754E-C7E5-45F9-84AD-E69428D899C5}</c15:txfldGUID>
                      <c15:f>Frontend!$BR$237</c15:f>
                      <c15:dlblFieldTableCache>
                        <c:ptCount val="1"/>
                      </c15:dlblFieldTableCache>
                    </c15:dlblFTEntry>
                  </c15:dlblFieldTable>
                  <c15:showDataLabelsRange val="0"/>
                </c:ext>
                <c:ext xmlns:c16="http://schemas.microsoft.com/office/drawing/2014/chart" uri="{C3380CC4-5D6E-409C-BE32-E72D297353CC}">
                  <c16:uniqueId val="{000000E5-504C-421D-AE36-2B15419FE06E}"/>
                </c:ext>
              </c:extLst>
            </c:dLbl>
            <c:dLbl>
              <c:idx val="228"/>
              <c:tx>
                <c:strRef>
                  <c:f>Frontend!$BR$238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{5C863037-D5C5-4FAC-986D-C45EC0159004}</c15:txfldGUID>
                      <c15:f>Frontend!$BR$238</c15:f>
                      <c15:dlblFieldTableCache>
                        <c:ptCount val="1"/>
                      </c15:dlblFieldTableCache>
                    </c15:dlblFTEntry>
                  </c15:dlblFieldTable>
                  <c15:showDataLabelsRange val="0"/>
                </c:ext>
                <c:ext xmlns:c16="http://schemas.microsoft.com/office/drawing/2014/chart" uri="{C3380CC4-5D6E-409C-BE32-E72D297353CC}">
                  <c16:uniqueId val="{000000E6-504C-421D-AE36-2B15419FE06E}"/>
                </c:ext>
              </c:extLst>
            </c:dLbl>
            <c:dLbl>
              <c:idx val="229"/>
              <c:tx>
                <c:strRef>
                  <c:f>Frontend!$BR$239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{4C329EF2-2082-45A1-8234-854F30ECC66E}</c15:txfldGUID>
                      <c15:f>Frontend!$BR$239</c15:f>
                      <c15:dlblFieldTableCache>
                        <c:ptCount val="1"/>
                      </c15:dlblFieldTableCache>
                    </c15:dlblFTEntry>
                  </c15:dlblFieldTable>
                  <c15:showDataLabelsRange val="0"/>
                </c:ext>
                <c:ext xmlns:c16="http://schemas.microsoft.com/office/drawing/2014/chart" uri="{C3380CC4-5D6E-409C-BE32-E72D297353CC}">
                  <c16:uniqueId val="{000000E7-504C-421D-AE36-2B15419FE06E}"/>
                </c:ext>
              </c:extLst>
            </c:dLbl>
            <c:dLbl>
              <c:idx val="230"/>
              <c:tx>
                <c:strRef>
                  <c:f>Frontend!$BR$240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{358E6863-ECA6-4050-ACB9-DAB1994E9D58}</c15:txfldGUID>
                      <c15:f>Frontend!$BR$240</c15:f>
                      <c15:dlblFieldTableCache>
                        <c:ptCount val="1"/>
                      </c15:dlblFieldTableCache>
                    </c15:dlblFTEntry>
                  </c15:dlblFieldTable>
                  <c15:showDataLabelsRange val="0"/>
                </c:ext>
                <c:ext xmlns:c16="http://schemas.microsoft.com/office/drawing/2014/chart" uri="{C3380CC4-5D6E-409C-BE32-E72D297353CC}">
                  <c16:uniqueId val="{000000E8-504C-421D-AE36-2B15419FE06E}"/>
                </c:ext>
              </c:extLst>
            </c:dLbl>
            <c:dLbl>
              <c:idx val="231"/>
              <c:tx>
                <c:strRef>
                  <c:f>Frontend!$BR$241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{22075022-2D66-4CC0-AFE3-10023E21427C}</c15:txfldGUID>
                      <c15:f>Frontend!$BR$241</c15:f>
                      <c15:dlblFieldTableCache>
                        <c:ptCount val="1"/>
                      </c15:dlblFieldTableCache>
                    </c15:dlblFTEntry>
                  </c15:dlblFieldTable>
                  <c15:showDataLabelsRange val="0"/>
                </c:ext>
                <c:ext xmlns:c16="http://schemas.microsoft.com/office/drawing/2014/chart" uri="{C3380CC4-5D6E-409C-BE32-E72D297353CC}">
                  <c16:uniqueId val="{000000E9-504C-421D-AE36-2B15419FE06E}"/>
                </c:ext>
              </c:extLst>
            </c:dLbl>
            <c:dLbl>
              <c:idx val="232"/>
              <c:tx>
                <c:strRef>
                  <c:f>Frontend!$BR$242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{85D3C1D5-6711-49EA-97AF-B26E877BB4E6}</c15:txfldGUID>
                      <c15:f>Frontend!$BR$242</c15:f>
                      <c15:dlblFieldTableCache>
                        <c:ptCount val="1"/>
                      </c15:dlblFieldTableCache>
                    </c15:dlblFTEntry>
                  </c15:dlblFieldTable>
                  <c15:showDataLabelsRange val="0"/>
                </c:ext>
                <c:ext xmlns:c16="http://schemas.microsoft.com/office/drawing/2014/chart" uri="{C3380CC4-5D6E-409C-BE32-E72D297353CC}">
                  <c16:uniqueId val="{000000EA-504C-421D-AE36-2B15419FE06E}"/>
                </c:ext>
              </c:extLst>
            </c:dLbl>
            <c:dLbl>
              <c:idx val="233"/>
              <c:tx>
                <c:strRef>
                  <c:f>Frontend!$BR$243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{98566B38-02B0-4421-912D-F565BD45C99A}</c15:txfldGUID>
                      <c15:f>Frontend!$BR$243</c15:f>
                      <c15:dlblFieldTableCache>
                        <c:ptCount val="1"/>
                      </c15:dlblFieldTableCache>
                    </c15:dlblFTEntry>
                  </c15:dlblFieldTable>
                  <c15:showDataLabelsRange val="0"/>
                </c:ext>
                <c:ext xmlns:c16="http://schemas.microsoft.com/office/drawing/2014/chart" uri="{C3380CC4-5D6E-409C-BE32-E72D297353CC}">
                  <c16:uniqueId val="{000000EB-504C-421D-AE36-2B15419FE06E}"/>
                </c:ext>
              </c:extLst>
            </c:dLbl>
            <c:dLbl>
              <c:idx val="234"/>
              <c:tx>
                <c:strRef>
                  <c:f>Frontend!$BR$244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{88E33E91-D0ED-4C63-AB88-54BD98036680}</c15:txfldGUID>
                      <c15:f>Frontend!$BR$244</c15:f>
                      <c15:dlblFieldTableCache>
                        <c:ptCount val="1"/>
                      </c15:dlblFieldTableCache>
                    </c15:dlblFTEntry>
                  </c15:dlblFieldTable>
                  <c15:showDataLabelsRange val="0"/>
                </c:ext>
                <c:ext xmlns:c16="http://schemas.microsoft.com/office/drawing/2014/chart" uri="{C3380CC4-5D6E-409C-BE32-E72D297353CC}">
                  <c16:uniqueId val="{000000EC-504C-421D-AE36-2B15419FE06E}"/>
                </c:ext>
              </c:extLst>
            </c:dLbl>
            <c:dLbl>
              <c:idx val="235"/>
              <c:tx>
                <c:strRef>
                  <c:f>Frontend!$BR$245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{0FDDF62E-DCF8-4C91-A56D-42BE79EDD832}</c15:txfldGUID>
                      <c15:f>Frontend!$BR$245</c15:f>
                      <c15:dlblFieldTableCache>
                        <c:ptCount val="1"/>
                      </c15:dlblFieldTableCache>
                    </c15:dlblFTEntry>
                  </c15:dlblFieldTable>
                  <c15:showDataLabelsRange val="0"/>
                </c:ext>
                <c:ext xmlns:c16="http://schemas.microsoft.com/office/drawing/2014/chart" uri="{C3380CC4-5D6E-409C-BE32-E72D297353CC}">
                  <c16:uniqueId val="{000000ED-504C-421D-AE36-2B15419FE06E}"/>
                </c:ext>
              </c:extLst>
            </c:dLbl>
            <c:dLbl>
              <c:idx val="236"/>
              <c:tx>
                <c:strRef>
                  <c:f>Frontend!$BR$246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{43BB41E6-F619-4484-A157-C4921C77691A}</c15:txfldGUID>
                      <c15:f>Frontend!$BR$246</c15:f>
                      <c15:dlblFieldTableCache>
                        <c:ptCount val="1"/>
                      </c15:dlblFieldTableCache>
                    </c15:dlblFTEntry>
                  </c15:dlblFieldTable>
                  <c15:showDataLabelsRange val="0"/>
                </c:ext>
                <c:ext xmlns:c16="http://schemas.microsoft.com/office/drawing/2014/chart" uri="{C3380CC4-5D6E-409C-BE32-E72D297353CC}">
                  <c16:uniqueId val="{000000EE-504C-421D-AE36-2B15419FE06E}"/>
                </c:ext>
              </c:extLst>
            </c:dLbl>
            <c:dLbl>
              <c:idx val="237"/>
              <c:tx>
                <c:strRef>
                  <c:f>Frontend!$BR$247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{FD68F71E-9A2F-440F-94FB-F1DC4F20B49E}</c15:txfldGUID>
                      <c15:f>Frontend!$BR$247</c15:f>
                      <c15:dlblFieldTableCache>
                        <c:ptCount val="1"/>
                      </c15:dlblFieldTableCache>
                    </c15:dlblFTEntry>
                  </c15:dlblFieldTable>
                  <c15:showDataLabelsRange val="0"/>
                </c:ext>
                <c:ext xmlns:c16="http://schemas.microsoft.com/office/drawing/2014/chart" uri="{C3380CC4-5D6E-409C-BE32-E72D297353CC}">
                  <c16:uniqueId val="{000000EF-504C-421D-AE36-2B15419FE06E}"/>
                </c:ext>
              </c:extLst>
            </c:dLbl>
            <c:dLbl>
              <c:idx val="238"/>
              <c:tx>
                <c:strRef>
                  <c:f>Frontend!$BR$248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{4F004A17-96B2-4ED7-B9E1-04E9E9D9B72E}</c15:txfldGUID>
                      <c15:f>Frontend!$BR$248</c15:f>
                      <c15:dlblFieldTableCache>
                        <c:ptCount val="1"/>
                      </c15:dlblFieldTableCache>
                    </c15:dlblFTEntry>
                  </c15:dlblFieldTable>
                  <c15:showDataLabelsRange val="0"/>
                </c:ext>
                <c:ext xmlns:c16="http://schemas.microsoft.com/office/drawing/2014/chart" uri="{C3380CC4-5D6E-409C-BE32-E72D297353CC}">
                  <c16:uniqueId val="{000000F0-504C-421D-AE36-2B15419FE06E}"/>
                </c:ext>
              </c:extLst>
            </c:dLbl>
            <c:dLbl>
              <c:idx val="239"/>
              <c:tx>
                <c:strRef>
                  <c:f>Frontend!$BR$249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{F64BC910-1715-4BCB-88C9-F09C95DE0391}</c15:txfldGUID>
                      <c15:f>Frontend!$BR$249</c15:f>
                      <c15:dlblFieldTableCache>
                        <c:ptCount val="1"/>
                      </c15:dlblFieldTableCache>
                    </c15:dlblFTEntry>
                  </c15:dlblFieldTable>
                  <c15:showDataLabelsRange val="0"/>
                </c:ext>
                <c:ext xmlns:c16="http://schemas.microsoft.com/office/drawing/2014/chart" uri="{C3380CC4-5D6E-409C-BE32-E72D297353CC}">
                  <c16:uniqueId val="{000000F1-504C-421D-AE36-2B15419FE06E}"/>
                </c:ext>
              </c:extLst>
            </c:dLbl>
            <c:dLbl>
              <c:idx val="240"/>
              <c:tx>
                <c:strRef>
                  <c:f>Frontend!$BR$250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{042BA9F6-CDBE-44B9-93C7-17176F2BF733}</c15:txfldGUID>
                      <c15:f>Frontend!$BR$250</c15:f>
                      <c15:dlblFieldTableCache>
                        <c:ptCount val="1"/>
                      </c15:dlblFieldTableCache>
                    </c15:dlblFTEntry>
                  </c15:dlblFieldTable>
                  <c15:showDataLabelsRange val="0"/>
                </c:ext>
                <c:ext xmlns:c16="http://schemas.microsoft.com/office/drawing/2014/chart" uri="{C3380CC4-5D6E-409C-BE32-E72D297353CC}">
                  <c16:uniqueId val="{000000F2-504C-421D-AE36-2B15419FE06E}"/>
                </c:ext>
              </c:extLst>
            </c:dLbl>
            <c:dLbl>
              <c:idx val="241"/>
              <c:tx>
                <c:strRef>
                  <c:f>Frontend!$BR$251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{8B9DDC57-2B6E-4519-AAEC-5D53611F0EDA}</c15:txfldGUID>
                      <c15:f>Frontend!$BR$251</c15:f>
                      <c15:dlblFieldTableCache>
                        <c:ptCount val="1"/>
                      </c15:dlblFieldTableCache>
                    </c15:dlblFTEntry>
                  </c15:dlblFieldTable>
                  <c15:showDataLabelsRange val="0"/>
                </c:ext>
                <c:ext xmlns:c16="http://schemas.microsoft.com/office/drawing/2014/chart" uri="{C3380CC4-5D6E-409C-BE32-E72D297353CC}">
                  <c16:uniqueId val="{000000F3-504C-421D-AE36-2B15419FE06E}"/>
                </c:ext>
              </c:extLst>
            </c:dLbl>
            <c:dLbl>
              <c:idx val="242"/>
              <c:tx>
                <c:strRef>
                  <c:f>Frontend!$BR$252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{C4BF1F2A-26A3-4D2A-AA64-875B2D30072D}</c15:txfldGUID>
                      <c15:f>Frontend!$BR$252</c15:f>
                      <c15:dlblFieldTableCache>
                        <c:ptCount val="1"/>
                      </c15:dlblFieldTableCache>
                    </c15:dlblFTEntry>
                  </c15:dlblFieldTable>
                  <c15:showDataLabelsRange val="0"/>
                </c:ext>
                <c:ext xmlns:c16="http://schemas.microsoft.com/office/drawing/2014/chart" uri="{C3380CC4-5D6E-409C-BE32-E72D297353CC}">
                  <c16:uniqueId val="{000000F4-504C-421D-AE36-2B15419FE06E}"/>
                </c:ext>
              </c:extLst>
            </c:dLbl>
            <c:dLbl>
              <c:idx val="243"/>
              <c:tx>
                <c:strRef>
                  <c:f>Frontend!$BR$253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{674165AF-5EDB-40C3-80BB-05A1B533F95A}</c15:txfldGUID>
                      <c15:f>Frontend!$BR$253</c15:f>
                      <c15:dlblFieldTableCache>
                        <c:ptCount val="1"/>
                      </c15:dlblFieldTableCache>
                    </c15:dlblFTEntry>
                  </c15:dlblFieldTable>
                  <c15:showDataLabelsRange val="0"/>
                </c:ext>
                <c:ext xmlns:c16="http://schemas.microsoft.com/office/drawing/2014/chart" uri="{C3380CC4-5D6E-409C-BE32-E72D297353CC}">
                  <c16:uniqueId val="{000000F5-504C-421D-AE36-2B15419FE06E}"/>
                </c:ext>
              </c:extLst>
            </c:dLbl>
            <c:dLbl>
              <c:idx val="244"/>
              <c:tx>
                <c:strRef>
                  <c:f>Frontend!$BR$254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{6CDE7055-C142-4354-A8BE-9F03F8CE8BCC}</c15:txfldGUID>
                      <c15:f>Frontend!$BR$254</c15:f>
                      <c15:dlblFieldTableCache>
                        <c:ptCount val="1"/>
                      </c15:dlblFieldTableCache>
                    </c15:dlblFTEntry>
                  </c15:dlblFieldTable>
                  <c15:showDataLabelsRange val="0"/>
                </c:ext>
                <c:ext xmlns:c16="http://schemas.microsoft.com/office/drawing/2014/chart" uri="{C3380CC4-5D6E-409C-BE32-E72D297353CC}">
                  <c16:uniqueId val="{000000F6-504C-421D-AE36-2B15419FE06E}"/>
                </c:ext>
              </c:extLst>
            </c:dLbl>
            <c:dLbl>
              <c:idx val="245"/>
              <c:tx>
                <c:strRef>
                  <c:f>Frontend!$BR$255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{B914E034-D74C-46D4-8639-5BC33C920CC8}</c15:txfldGUID>
                      <c15:f>Frontend!$BR$255</c15:f>
                      <c15:dlblFieldTableCache>
                        <c:ptCount val="1"/>
                      </c15:dlblFieldTableCache>
                    </c15:dlblFTEntry>
                  </c15:dlblFieldTable>
                  <c15:showDataLabelsRange val="0"/>
                </c:ext>
                <c:ext xmlns:c16="http://schemas.microsoft.com/office/drawing/2014/chart" uri="{C3380CC4-5D6E-409C-BE32-E72D297353CC}">
                  <c16:uniqueId val="{000000F7-504C-421D-AE36-2B15419FE06E}"/>
                </c:ext>
              </c:extLst>
            </c:dLbl>
            <c:dLbl>
              <c:idx val="246"/>
              <c:tx>
                <c:strRef>
                  <c:f>Frontend!$BR$256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{CFFF56BB-17AC-4226-93FB-787F276FFAC5}</c15:txfldGUID>
                      <c15:f>Frontend!$BR$256</c15:f>
                      <c15:dlblFieldTableCache>
                        <c:ptCount val="1"/>
                      </c15:dlblFieldTableCache>
                    </c15:dlblFTEntry>
                  </c15:dlblFieldTable>
                  <c15:showDataLabelsRange val="0"/>
                </c:ext>
                <c:ext xmlns:c16="http://schemas.microsoft.com/office/drawing/2014/chart" uri="{C3380CC4-5D6E-409C-BE32-E72D297353CC}">
                  <c16:uniqueId val="{000000F8-504C-421D-AE36-2B15419FE06E}"/>
                </c:ext>
              </c:extLst>
            </c:dLbl>
            <c:dLbl>
              <c:idx val="247"/>
              <c:tx>
                <c:strRef>
                  <c:f>Frontend!$BR$257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{AEC9CF13-956B-4E35-9937-088B5414B76B}</c15:txfldGUID>
                      <c15:f>Frontend!$BR$257</c15:f>
                      <c15:dlblFieldTableCache>
                        <c:ptCount val="1"/>
                      </c15:dlblFieldTableCache>
                    </c15:dlblFTEntry>
                  </c15:dlblFieldTable>
                  <c15:showDataLabelsRange val="0"/>
                </c:ext>
                <c:ext xmlns:c16="http://schemas.microsoft.com/office/drawing/2014/chart" uri="{C3380CC4-5D6E-409C-BE32-E72D297353CC}">
                  <c16:uniqueId val="{000000F9-504C-421D-AE36-2B15419FE06E}"/>
                </c:ext>
              </c:extLst>
            </c:dLbl>
            <c:dLbl>
              <c:idx val="248"/>
              <c:tx>
                <c:strRef>
                  <c:f>Frontend!$BR$258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{E380E493-8093-40F9-99E3-6F278E7992FD}</c15:txfldGUID>
                      <c15:f>Frontend!$BR$258</c15:f>
                      <c15:dlblFieldTableCache>
                        <c:ptCount val="1"/>
                      </c15:dlblFieldTableCache>
                    </c15:dlblFTEntry>
                  </c15:dlblFieldTable>
                  <c15:showDataLabelsRange val="0"/>
                </c:ext>
                <c:ext xmlns:c16="http://schemas.microsoft.com/office/drawing/2014/chart" uri="{C3380CC4-5D6E-409C-BE32-E72D297353CC}">
                  <c16:uniqueId val="{000000FA-504C-421D-AE36-2B15419FE06E}"/>
                </c:ext>
              </c:extLst>
            </c:dLbl>
            <c:dLbl>
              <c:idx val="249"/>
              <c:tx>
                <c:strRef>
                  <c:f>Frontend!$BR$259</c:f>
                  <c:strCache>
                    <c:ptCount val="1"/>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{DA88AEF2-AE9E-49C6-87FF-BD34466F412D}</c15:txfldGUID>
                      <c15:f>Frontend!$BR$259</c15:f>
                      <c15:dlblFieldTableCache>
                        <c:ptCount val="1"/>
                      </c15:dlblFieldTableCache>
                    </c15:dlblFTEntry>
                  </c15:dlblFieldTable>
                  <c15:showDataLabelsRange val="0"/>
                </c:ext>
                <c:ext xmlns:c16="http://schemas.microsoft.com/office/drawing/2014/chart" uri="{C3380CC4-5D6E-409C-BE32-E72D297353CC}">
                  <c16:uniqueId val="{000000FB-504C-421D-AE36-2B15419FE06E}"/>
                </c:ext>
              </c:extLst>
            </c:dLbl>
            <c:dLbl>
              <c:idx val="250"/>
              <c:tx>
                <c:strRef>
                  <c:f>Frontend!$BR$260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{286356EC-C09B-4971-B2B0-94FC361D41A1}</c15:txfldGUID>
                      <c15:f>Frontend!$BR$260</c15:f>
                      <c15:dlblFieldTableCache>
                        <c:ptCount val="1"/>
                      </c15:dlblFieldTableCache>
                    </c15:dlblFTEntry>
                  </c15:dlblFieldTable>
                  <c15:showDataLabelsRange val="0"/>
                </c:ext>
                <c:ext xmlns:c16="http://schemas.microsoft.com/office/drawing/2014/chart" uri="{C3380CC4-5D6E-409C-BE32-E72D297353CC}">
                  <c16:uniqueId val="{000000FC-504C-421D-AE36-2B15419FE06E}"/>
                </c:ext>
              </c:extLst>
            </c:dLbl>
            <c:dLbl>
              <c:idx val="251"/>
              <c:tx>
                <c:strRef>
                  <c:f>Frontend!$BR$261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{EF1B30B7-CC05-4044-8209-15A66EC31EFB}</c15:txfldGUID>
                      <c15:f>Frontend!$BR$261</c15:f>
                      <c15:dlblFieldTableCache>
                        <c:ptCount val="1"/>
                      </c15:dlblFieldTableCache>
                    </c15:dlblFTEntry>
                  </c15:dlblFieldTable>
                  <c15:showDataLabelsRange val="0"/>
                </c:ext>
                <c:ext xmlns:c16="http://schemas.microsoft.com/office/drawing/2014/chart" uri="{C3380CC4-5D6E-409C-BE32-E72D297353CC}">
                  <c16:uniqueId val="{000000FD-504C-421D-AE36-2B15419FE06E}"/>
                </c:ext>
              </c:extLst>
            </c:dLbl>
            <c:dLbl>
              <c:idx val="252"/>
              <c:tx>
                <c:strRef>
                  <c:f>Frontend!$BR$262</c:f>
                  <c:strCache>
                    <c:ptCount val="1"/>
                    <c:pt idx="0">
                      <c:v> 20.20 (+41.7%)</c:v>
                    </c:pt>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{882771B0-69A1-4AD1-8DCC-9089A8D68634}</c15:txfldGUID>
                      <c15:f>Frontend!$BR$262</c15:f>
                      <c15:dlblFieldTableCache>
                        <c:ptCount val="1"/>
                        <c:pt idx="0">
                          <c:v> 20.20 (+41.7%)</c:v>
                        </c:pt>
                      </c15:dlblFieldTableCache>
                    </c15:dlblFTEntry>
                  </c15:dlblFieldTable>
                  <c15:showDataLabelsRange val="0"/>
                </c:ext>
                <c:ext xmlns:c16="http://schemas.microsoft.com/office/drawing/2014/chart" uri="{C3380CC4-5D6E-409C-BE32-E72D297353CC}">
                  <c16:uniqueId val="{000000FE-504C-421D-AE36-2B15419FE06E}"/>
                </c:ext>
              </c:extLst>
            </c:dLbl>
            <c:dLbl>
              <c:idx val="253"/>
              <c:tx>
                <c:strRef>
                  <c:f>Frontend!$BR$263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{FEAD595E-E9E6-4ECC-80A5-16150D13B01E}</c15:txfldGUID>
                      <c15:f>Frontend!$BR$263</c15:f>
                      <c15:dlblFieldTableCache>
                        <c:ptCount val="1"/>
                      </c15:dlblFieldTableCache>
                    </c15:dlblFTEntry>
                  </c15:dlblFieldTable>
                  <c15:showDataLabelsRange val="0"/>
                </c:ext>
                <c:ext xmlns:c16="http://schemas.microsoft.com/office/drawing/2014/chart" uri="{C3380CC4-5D6E-409C-BE32-E72D297353CC}">
                  <c16:uniqueId val="{000000FF-504C-421D-AE36-2B15419FE06E}"/>
                </c:ext>
              </c:extLst>
            </c:dLbl>
            <c:dLbl>
              <c:idx val="254"/>
              <c:tx>
                <c:strRef>
                  <c:f>Frontend!$BR$264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{DC0B9F8C-3E91-4EF9-8858-2DD6D5185EDC}</c15:txfldGUID>
                      <c15:f>Frontend!$BR$264</c15:f>
                      <c15:dlblFieldTableCache>
                        <c:ptCount val="1"/>
                      </c15:dlblFieldTableCache>
                    </c15:dlblFTEntry>
                  </c15:dlblFieldTable>
                  <c15:showDataLabelsRange val="0"/>
                </c:ext>
                <c:ext xmlns:c16="http://schemas.microsoft.com/office/drawing/2014/chart" uri="{C3380CC4-5D6E-409C-BE32-E72D297353CC}">
                  <c16:uniqueId val="{00000100-504C-421D-AE36-2B15419FE06E}"/>
                </c:ext>
              </c:extLst>
            </c:dLbl>
            <c:dLbl>
              <c:idx val="255"/>
              <c:tx>
                <c:strRef>
                  <c:f>Frontend!$BR$265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{ADFFC32E-396E-4543-8FBB-6E254916B2CC}</c15:txfldGUID>
                      <c15:f>Frontend!$BR$265</c15:f>
                      <c15:dlblFieldTableCache>
                        <c:ptCount val="1"/>
                      </c15:dlblFieldTableCache>
                    </c15:dlblFTEntry>
                  </c15:dlblFieldTable>
                  <c15:showDataLabelsRange val="0"/>
                </c:ext>
                <c:ext xmlns:c16="http://schemas.microsoft.com/office/drawing/2014/chart" uri="{C3380CC4-5D6E-409C-BE32-E72D297353CC}">
                  <c16:uniqueId val="{00000101-504C-421D-AE36-2B15419FE06E}"/>
                </c:ext>
              </c:extLst>
            </c:dLbl>
            <c:dLbl>
              <c:idx val="256"/>
              <c:tx>
                <c:strRef>
                  <c:f>Frontend!$BR$266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{88A36B2D-22DB-498E-8AD7-CC8EEAA6E922}</c15:txfldGUID>
                      <c15:f>Frontend!$BR$266</c15:f>
                      <c15:dlblFieldTableCache>
                        <c:ptCount val="1"/>
                      </c15:dlblFieldTableCache>
                    </c15:dlblFTEntry>
                  </c15:dlblFieldTable>
                  <c15:showDataLabelsRange val="0"/>
                </c:ext>
                <c:ext xmlns:c16="http://schemas.microsoft.com/office/drawing/2014/chart" uri="{C3380CC4-5D6E-409C-BE32-E72D297353CC}">
                  <c16:uniqueId val="{00000102-504C-421D-AE36-2B15419FE06E}"/>
                </c:ext>
              </c:extLst>
            </c:dLbl>
            <c:dLbl>
              <c:idx val="257"/>
              <c:tx>
                <c:strRef>
                  <c:f>Frontend!$BR$267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{D768A43D-56BC-41FF-B4CD-51E48D355506}</c15:txfldGUID>
                      <c15:f>Frontend!$BR$267</c15:f>
                      <c15:dlblFieldTableCache>
                        <c:ptCount val="1"/>
                      </c15:dlblFieldTableCache>
                    </c15:dlblFTEntry>
                  </c15:dlblFieldTable>
                  <c15:showDataLabelsRange val="0"/>
                </c:ext>
                <c:ext xmlns:c16="http://schemas.microsoft.com/office/drawing/2014/chart" uri="{C3380CC4-5D6E-409C-BE32-E72D297353CC}">
                  <c16:uniqueId val="{00000103-504C-421D-AE36-2B15419FE06E}"/>
                </c:ext>
              </c:extLst>
            </c:dLbl>
            <c:dLbl>
              <c:idx val="258"/>
              <c:tx>
                <c:strRef>
                  <c:f>Frontend!$BR$268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{7E9E3BA2-909F-4EC5-99F3-E3AB1E599766}</c15:txfldGUID>
                      <c15:f>Frontend!$BR$268</c15:f>
                      <c15:dlblFieldTableCache>
                        <c:ptCount val="1"/>
                      </c15:dlblFieldTableCache>
                    </c15:dlblFTEntry>
                  </c15:dlblFieldTable>
                  <c15:showDataLabelsRange val="0"/>
                </c:ext>
                <c:ext xmlns:c16="http://schemas.microsoft.com/office/drawing/2014/chart" uri="{C3380CC4-5D6E-409C-BE32-E72D297353CC}">
                  <c16:uniqueId val="{00000104-504C-421D-AE36-2B15419FE06E}"/>
                </c:ext>
              </c:extLst>
            </c:dLbl>
            <c:dLbl>
              <c:idx val="259"/>
              <c:tx>
                <c:strRef>
                  <c:f>Frontend!$BR$269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{6FAB7C52-8335-4E7D-9D4D-00DE4D963776}</c15:txfldGUID>
                      <c15:f>Frontend!$BR$269</c15:f>
                      <c15:dlblFieldTableCache>
                        <c:ptCount val="1"/>
                      </c15:dlblFieldTableCache>
                    </c15:dlblFTEntry>
                  </c15:dlblFieldTable>
                  <c15:showDataLabelsRange val="0"/>
                </c:ext>
                <c:ext xmlns:c16="http://schemas.microsoft.com/office/drawing/2014/chart" uri="{C3380CC4-5D6E-409C-BE32-E72D297353CC}">
                  <c16:uniqueId val="{00000105-504C-421D-AE36-2B15419FE06E}"/>
                </c:ext>
              </c:extLst>
            </c:dLbl>
            <c:dLbl>
              <c:idx val="260"/>
              <c:tx>
                <c:strRef>
                  <c:f>Frontend!$BR$270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{3FD8060E-5A68-4233-A48B-2E8F4385E4EB}</c15:txfldGUID>
                      <c15:f>Frontend!$BR$270</c15:f>
                      <c15:dlblFieldTableCache>
                        <c:ptCount val="1"/>
                      </c15:dlblFieldTableCache>
                    </c15:dlblFTEntry>
                  </c15:dlblFieldTable>
                  <c15:showDataLabelsRange val="0"/>
                </c:ext>
                <c:ext xmlns:c16="http://schemas.microsoft.com/office/drawing/2014/chart" uri="{C3380CC4-5D6E-409C-BE32-E72D297353CC}">
                  <c16:uniqueId val="{00000106-504C-421D-AE36-2B15419FE06E}"/>
                </c:ext>
              </c:extLst>
            </c:dLbl>
            <c:dLbl>
              <c:idx val="261"/>
              <c:tx>
                <c:strRef>
                  <c:f>Frontend!$BR$271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{1E338649-9468-4831-8FBF-2F4EBE36AD32}</c15:txfldGUID>
                      <c15:f>Frontend!$BR$271</c15:f>
                      <c15:dlblFieldTableCache>
                        <c:ptCount val="1"/>
                      </c15:dlblFieldTableCache>
                    </c15:dlblFTEntry>
                  </c15:dlblFieldTable>
                  <c15:showDataLabelsRange val="0"/>
                </c:ext>
                <c:ext xmlns:c16="http://schemas.microsoft.com/office/drawing/2014/chart" uri="{C3380CC4-5D6E-409C-BE32-E72D297353CC}">
                  <c16:uniqueId val="{00000107-504C-421D-AE36-2B15419FE06E}"/>
                </c:ext>
              </c:extLst>
            </c:dLbl>
            <c:dLbl>
              <c:idx val="262"/>
              <c:tx>
                <c:strRef>
                  <c:f>Frontend!$BR$272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{9F4595B6-9BAB-4F8B-AA13-41EA480DAEEB}</c15:txfldGUID>
                      <c15:f>Frontend!$BR$272</c15:f>
                      <c15:dlblFieldTableCache>
                        <c:ptCount val="1"/>
                      </c15:dlblFieldTableCache>
                    </c15:dlblFTEntry>
                  </c15:dlblFieldTable>
                  <c15:showDataLabelsRange val="0"/>
                </c:ext>
                <c:ext xmlns:c16="http://schemas.microsoft.com/office/drawing/2014/chart" uri="{C3380CC4-5D6E-409C-BE32-E72D297353CC}">
                  <c16:uniqueId val="{00000108-504C-421D-AE36-2B15419FE06E}"/>
                </c:ext>
              </c:extLst>
            </c:dLbl>
            <c:dLbl>
              <c:idx val="263"/>
              <c:tx>
                <c:strRef>
                  <c:f>Frontend!$BR$273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{F4A820A1-294E-4F48-B4A8-2E5A9D6CBAFB}</c15:txfldGUID>
                      <c15:f>Frontend!$BR$273</c15:f>
                      <c15:dlblFieldTableCache>
                        <c:ptCount val="1"/>
                      </c15:dlblFieldTableCache>
                    </c15:dlblFTEntry>
                  </c15:dlblFieldTable>
                  <c15:showDataLabelsRange val="0"/>
                </c:ext>
                <c:ext xmlns:c16="http://schemas.microsoft.com/office/drawing/2014/chart" uri="{C3380CC4-5D6E-409C-BE32-E72D297353CC}">
                  <c16:uniqueId val="{00000109-504C-421D-AE36-2B15419FE06E}"/>
                </c:ext>
              </c:extLst>
            </c:dLbl>
            <c:dLbl>
              <c:idx val="264"/>
              <c:tx>
                <c:strRef>
                  <c:f>Frontend!$BR$274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{8F3DD714-8F4E-4C63-9357-BE711EA21FF2}</c15:txfldGUID>
                      <c15:f>Frontend!$BR$274</c15:f>
                      <c15:dlblFieldTableCache>
                        <c:ptCount val="1"/>
                      </c15:dlblFieldTableCache>
                    </c15:dlblFTEntry>
                  </c15:dlblFieldTable>
                  <c15:showDataLabelsRange val="0"/>
                </c:ext>
                <c:ext xmlns:c16="http://schemas.microsoft.com/office/drawing/2014/chart" uri="{C3380CC4-5D6E-409C-BE32-E72D297353CC}">
                  <c16:uniqueId val="{0000010A-504C-421D-AE36-2B15419FE06E}"/>
                </c:ext>
              </c:extLst>
            </c:dLbl>
            <c:dLbl>
              <c:idx val="265"/>
              <c:tx>
                <c:strRef>
                  <c:f>Frontend!$BR$275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{490C458B-3C6A-4EF4-A419-254FAFB83103}</c15:txfldGUID>
                      <c15:f>Frontend!$BR$275</c15:f>
                      <c15:dlblFieldTableCache>
                        <c:ptCount val="1"/>
                      </c15:dlblFieldTableCache>
                    </c15:dlblFTEntry>
                  </c15:dlblFieldTable>
                  <c15:showDataLabelsRange val="0"/>
                </c:ext>
                <c:ext xmlns:c16="http://schemas.microsoft.com/office/drawing/2014/chart" uri="{C3380CC4-5D6E-409C-BE32-E72D297353CC}">
                  <c16:uniqueId val="{0000010B-504C-421D-AE36-2B15419FE06E}"/>
                </c:ext>
              </c:extLst>
            </c:dLbl>
            <c:dLbl>
              <c:idx val="266"/>
              <c:tx>
                <c:strRef>
                  <c:f>Frontend!$BR$276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{53F2CE6D-7B17-4D19-B872-E64403EC4AF4}</c15:txfldGUID>
                      <c15:f>Frontend!$BR$276</c15:f>
                      <c15:dlblFieldTableCache>
                        <c:ptCount val="1"/>
                      </c15:dlblFieldTableCache>
                    </c15:dlblFTEntry>
                  </c15:dlblFieldTable>
                  <c15:showDataLabelsRange val="0"/>
                </c:ext>
                <c:ext xmlns:c16="http://schemas.microsoft.com/office/drawing/2014/chart" uri="{C3380CC4-5D6E-409C-BE32-E72D297353CC}">
                  <c16:uniqueId val="{0000010C-504C-421D-AE36-2B15419FE06E}"/>
                </c:ext>
              </c:extLst>
            </c:dLbl>
            <c:dLbl>
              <c:idx val="267"/>
              <c:tx>
                <c:strRef>
                  <c:f>Frontend!$BR$277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{E8C9080E-A1FA-48C0-B018-B436E4383352}</c15:txfldGUID>
                      <c15:f>Frontend!$BR$277</c15:f>
                      <c15:dlblFieldTableCache>
                        <c:ptCount val="1"/>
                      </c15:dlblFieldTableCache>
                    </c15:dlblFTEntry>
                  </c15:dlblFieldTable>
                  <c15:showDataLabelsRange val="0"/>
                </c:ext>
                <c:ext xmlns:c16="http://schemas.microsoft.com/office/drawing/2014/chart" uri="{C3380CC4-5D6E-409C-BE32-E72D297353CC}">
                  <c16:uniqueId val="{0000010D-504C-421D-AE36-2B15419FE06E}"/>
                </c:ext>
              </c:extLst>
            </c:dLbl>
            <c:dLbl>
              <c:idx val="268"/>
              <c:tx>
                <c:strRef>
                  <c:f>Frontend!$BR$278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{FB823F24-1F0E-4988-98E2-342C7C3FA110}</c15:txfldGUID>
                      <c15:f>Frontend!$BR$278</c15:f>
                      <c15:dlblFieldTableCache>
                        <c:ptCount val="1"/>
                      </c15:dlblFieldTableCache>
                    </c15:dlblFTEntry>
                  </c15:dlblFieldTable>
                  <c15:showDataLabelsRange val="0"/>
                </c:ext>
                <c:ext xmlns:c16="http://schemas.microsoft.com/office/drawing/2014/chart" uri="{C3380CC4-5D6E-409C-BE32-E72D297353CC}">
                  <c16:uniqueId val="{0000010E-504C-421D-AE36-2B15419FE06E}"/>
                </c:ext>
              </c:extLst>
            </c:dLbl>
            <c:dLbl>
              <c:idx val="269"/>
              <c:tx>
                <c:strRef>
                  <c:f>Frontend!$BR$279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{0C0EFCDE-F18B-4D09-BCDD-728A357B6957}</c15:txfldGUID>
                      <c15:f>Frontend!$BR$279</c15:f>
                      <c15:dlblFieldTableCache>
                        <c:ptCount val="1"/>
                      </c15:dlblFieldTableCache>
                    </c15:dlblFTEntry>
                  </c15:dlblFieldTable>
                  <c15:showDataLabelsRange val="0"/>
                </c:ext>
                <c:ext xmlns:c16="http://schemas.microsoft.com/office/drawing/2014/chart" uri="{C3380CC4-5D6E-409C-BE32-E72D297353CC}">
                  <c16:uniqueId val="{0000010F-504C-421D-AE36-2B15419FE06E}"/>
                </c:ext>
              </c:extLst>
            </c:dLbl>
            <c:dLbl>
              <c:idx val="270"/>
              <c:tx>
                <c:strRef>
                  <c:f>Frontend!$BR$280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{019C8470-157B-4A2C-A899-5058F9678D36}</c15:txfldGUID>
                      <c15:f>Frontend!$BR$280</c15:f>
                      <c15:dlblFieldTableCache>
                        <c:ptCount val="1"/>
                      </c15:dlblFieldTableCache>
                    </c15:dlblFTEntry>
                  </c15:dlblFieldTable>
                  <c15:showDataLabelsRange val="0"/>
                </c:ext>
                <c:ext xmlns:c16="http://schemas.microsoft.com/office/drawing/2014/chart" uri="{C3380CC4-5D6E-409C-BE32-E72D297353CC}">
                  <c16:uniqueId val="{00000110-504C-421D-AE36-2B15419FE06E}"/>
                </c:ext>
              </c:extLst>
            </c:dLbl>
            <c:dLbl>
              <c:idx val="271"/>
              <c:tx>
                <c:strRef>
                  <c:f>Frontend!$BR$281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{62E8FFF8-5DA3-430E-BA66-28B69BD6A015}</c15:txfldGUID>
                      <c15:f>Frontend!$BR$281</c15:f>
                      <c15:dlblFieldTableCache>
                        <c:ptCount val="1"/>
                      </c15:dlblFieldTableCache>
                    </c15:dlblFTEntry>
                  </c15:dlblFieldTable>
                  <c15:showDataLabelsRange val="0"/>
                </c:ext>
                <c:ext xmlns:c16="http://schemas.microsoft.com/office/drawing/2014/chart" uri="{C3380CC4-5D6E-409C-BE32-E72D297353CC}">
                  <c16:uniqueId val="{00000111-504C-421D-AE36-2B15419FE06E}"/>
                </c:ext>
              </c:extLst>
            </c:dLbl>
            <c:dLbl>
              <c:idx val="272"/>
              <c:tx>
                <c:strRef>
                  <c:f>Frontend!$BR$282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{515D2A32-4BC1-473E-9ADA-427F61DE26E4}</c15:txfldGUID>
                      <c15:f>Frontend!$BR$282</c15:f>
                      <c15:dlblFieldTableCache>
                        <c:ptCount val="1"/>
                      </c15:dlblFieldTableCache>
                    </c15:dlblFTEntry>
                  </c15:dlblFieldTable>
                  <c15:showDataLabelsRange val="0"/>
                </c:ext>
                <c:ext xmlns:c16="http://schemas.microsoft.com/office/drawing/2014/chart" uri="{C3380CC4-5D6E-409C-BE32-E72D297353CC}">
                  <c16:uniqueId val="{00000112-504C-421D-AE36-2B15419FE06E}"/>
                </c:ext>
              </c:extLst>
            </c:dLbl>
            <c:dLbl>
              <c:idx val="273"/>
              <c:tx>
                <c:strRef>
                  <c:f>Frontend!$BR$283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{075C4AF0-477B-499E-99BD-2C7210CD34A1}</c15:txfldGUID>
                      <c15:f>Frontend!$BR$283</c15:f>
                      <c15:dlblFieldTableCache>
                        <c:ptCount val="1"/>
                      </c15:dlblFieldTableCache>
                    </c15:dlblFTEntry>
                  </c15:dlblFieldTable>
                  <c15:showDataLabelsRange val="0"/>
                </c:ext>
                <c:ext xmlns:c16="http://schemas.microsoft.com/office/drawing/2014/chart" uri="{C3380CC4-5D6E-409C-BE32-E72D297353CC}">
                  <c16:uniqueId val="{00000113-504C-421D-AE36-2B15419FE06E}"/>
                </c:ext>
              </c:extLst>
            </c:dLbl>
            <c:dLbl>
              <c:idx val="274"/>
              <c:tx>
                <c:strRef>
                  <c:f>Frontend!$BR$284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{0A677CAC-4305-48B8-89F3-9923D5FB1EB1}</c15:txfldGUID>
                      <c15:f>Frontend!$BR$284</c15:f>
                      <c15:dlblFieldTableCache>
                        <c:ptCount val="1"/>
                      </c15:dlblFieldTableCache>
                    </c15:dlblFTEntry>
                  </c15:dlblFieldTable>
                  <c15:showDataLabelsRange val="0"/>
                </c:ext>
                <c:ext xmlns:c16="http://schemas.microsoft.com/office/drawing/2014/chart" uri="{C3380CC4-5D6E-409C-BE32-E72D297353CC}">
                  <c16:uniqueId val="{00000114-504C-421D-AE36-2B15419FE06E}"/>
                </c:ext>
              </c:extLst>
            </c:dLbl>
            <c:dLbl>
              <c:idx val="275"/>
              <c:tx>
                <c:strRef>
                  <c:f>Frontend!$BR$285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{71072E87-64F5-4579-943B-B6771CD5B222}</c15:txfldGUID>
                      <c15:f>Frontend!$BR$285</c15:f>
                      <c15:dlblFieldTableCache>
                        <c:ptCount val="1"/>
                      </c15:dlblFieldTableCache>
                    </c15:dlblFTEntry>
                  </c15:dlblFieldTable>
                  <c15:showDataLabelsRange val="0"/>
                </c:ext>
                <c:ext xmlns:c16="http://schemas.microsoft.com/office/drawing/2014/chart" uri="{C3380CC4-5D6E-409C-BE32-E72D297353CC}">
                  <c16:uniqueId val="{00000115-504C-421D-AE36-2B15419FE06E}"/>
                </c:ext>
              </c:extLst>
            </c:dLbl>
            <c:dLbl>
              <c:idx val="276"/>
              <c:tx>
                <c:strRef>
                  <c:f>Frontend!$BR$286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{32AB4AE1-5501-49EF-8BAB-C4A457374EF4}</c15:txfldGUID>
                      <c15:f>Frontend!$BR$286</c15:f>
                      <c15:dlblFieldTableCache>
                        <c:ptCount val="1"/>
                      </c15:dlblFieldTableCache>
                    </c15:dlblFTEntry>
                  </c15:dlblFieldTable>
                  <c15:showDataLabelsRange val="0"/>
                </c:ext>
                <c:ext xmlns:c16="http://schemas.microsoft.com/office/drawing/2014/chart" uri="{C3380CC4-5D6E-409C-BE32-E72D297353CC}">
                  <c16:uniqueId val="{00000116-504C-421D-AE36-2B15419FE06E}"/>
                </c:ext>
              </c:extLst>
            </c:dLbl>
            <c:dLbl>
              <c:idx val="277"/>
              <c:tx>
                <c:strRef>
                  <c:f>Frontend!$BR$287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{5E964D0C-0A31-4097-B37B-77AB6124B2D5}</c15:txfldGUID>
                      <c15:f>Frontend!$BR$287</c15:f>
                      <c15:dlblFieldTableCache>
                        <c:ptCount val="1"/>
                      </c15:dlblFieldTableCache>
                    </c15:dlblFTEntry>
                  </c15:dlblFieldTable>
                  <c15:showDataLabelsRange val="0"/>
                </c:ext>
                <c:ext xmlns:c16="http://schemas.microsoft.com/office/drawing/2014/chart" uri="{C3380CC4-5D6E-409C-BE32-E72D297353CC}">
                  <c16:uniqueId val="{00000117-504C-421D-AE36-2B15419FE06E}"/>
                </c:ext>
              </c:extLst>
            </c:dLbl>
            <c:dLbl>
              <c:idx val="278"/>
              <c:tx>
                <c:strRef>
                  <c:f>Frontend!$BR$288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{AF09B033-B5C0-4F12-A00B-A2EB9674C48E}</c15:txfldGUID>
                      <c15:f>Frontend!$BR$288</c15:f>
                      <c15:dlblFieldTableCache>
                        <c:ptCount val="1"/>
                      </c15:dlblFieldTableCache>
                    </c15:dlblFTEntry>
                  </c15:dlblFieldTable>
                  <c15:showDataLabelsRange val="0"/>
                </c:ext>
                <c:ext xmlns:c16="http://schemas.microsoft.com/office/drawing/2014/chart" uri="{C3380CC4-5D6E-409C-BE32-E72D297353CC}">
                  <c16:uniqueId val="{00000118-504C-421D-AE36-2B15419FE06E}"/>
                </c:ext>
              </c:extLst>
            </c:dLbl>
            <c:dLbl>
              <c:idx val="279"/>
              <c:tx>
                <c:strRef>
                  <c:f>Frontend!$BR$289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{BF680A9D-4AF0-46D0-BAFB-26C3E72CC879}</c15:txfldGUID>
                      <c15:f>Frontend!$BR$289</c15:f>
                      <c15:dlblFieldTableCache>
                        <c:ptCount val="1"/>
                      </c15:dlblFieldTableCache>
                    </c15:dlblFTEntry>
                  </c15:dlblFieldTable>
                  <c15:showDataLabelsRange val="0"/>
                </c:ext>
                <c:ext xmlns:c16="http://schemas.microsoft.com/office/drawing/2014/chart" uri="{C3380CC4-5D6E-409C-BE32-E72D297353CC}">
                  <c16:uniqueId val="{00000119-504C-421D-AE36-2B15419FE06E}"/>
                </c:ext>
              </c:extLst>
            </c:dLbl>
            <c:dLbl>
              <c:idx val="280"/>
              <c:tx>
                <c:strRef>
                  <c:f>Frontend!$BR$290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{5DC3CEEE-B477-4658-9CC1-C9422298BFBE}</c15:txfldGUID>
                      <c15:f>Frontend!$BR$290</c15:f>
                      <c15:dlblFieldTableCache>
                        <c:ptCount val="1"/>
                      </c15:dlblFieldTableCache>
                    </c15:dlblFTEntry>
                  </c15:dlblFieldTable>
                  <c15:showDataLabelsRange val="0"/>
                </c:ext>
                <c:ext xmlns:c16="http://schemas.microsoft.com/office/drawing/2014/chart" uri="{C3380CC4-5D6E-409C-BE32-E72D297353CC}">
                  <c16:uniqueId val="{0000011A-504C-421D-AE36-2B15419FE06E}"/>
                </c:ext>
              </c:extLst>
            </c:dLbl>
            <c:dLbl>
              <c:idx val="281"/>
              <c:tx>
                <c:strRef>
                  <c:f>Frontend!$BR$291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{2BDBFDE3-9D43-4C82-85C6-8CDAEE909243}</c15:txfldGUID>
                      <c15:f>Frontend!$BR$291</c15:f>
                      <c15:dlblFieldTableCache>
                        <c:ptCount val="1"/>
                      </c15:dlblFieldTableCache>
                    </c15:dlblFTEntry>
                  </c15:dlblFieldTable>
                  <c15:showDataLabelsRange val="0"/>
                </c:ext>
                <c:ext xmlns:c16="http://schemas.microsoft.com/office/drawing/2014/chart" uri="{C3380CC4-5D6E-409C-BE32-E72D297353CC}">
                  <c16:uniqueId val="{0000011B-504C-421D-AE36-2B15419FE06E}"/>
                </c:ext>
              </c:extLst>
            </c:dLbl>
            <c:dLbl>
              <c:idx val="282"/>
              <c:tx>
                <c:strRef>
                  <c:f>Frontend!$BR$292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{EE8556BB-F9FB-4ED1-B7F6-4BC74CE7C46D}</c15:txfldGUID>
                      <c15:f>Frontend!$BR$292</c15:f>
                      <c15:dlblFieldTableCache>
                        <c:ptCount val="1"/>
                      </c15:dlblFieldTableCache>
                    </c15:dlblFTEntry>
                  </c15:dlblFieldTable>
                  <c15:showDataLabelsRange val="0"/>
                </c:ext>
                <c:ext xmlns:c16="http://schemas.microsoft.com/office/drawing/2014/chart" uri="{C3380CC4-5D6E-409C-BE32-E72D297353CC}">
                  <c16:uniqueId val="{0000011C-504C-421D-AE36-2B15419FE06E}"/>
                </c:ext>
              </c:extLst>
            </c:dLbl>
            <c:dLbl>
              <c:idx val="283"/>
              <c:tx>
                <c:strRef>
                  <c:f>Frontend!$BR$293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{F7EFFDED-CCCA-4B83-8B35-A8FB225F0339}</c15:txfldGUID>
                      <c15:f>Frontend!$BR$293</c15:f>
                      <c15:dlblFieldTableCache>
                        <c:ptCount val="1"/>
                      </c15:dlblFieldTableCache>
                    </c15:dlblFTEntry>
                  </c15:dlblFieldTable>
                  <c15:showDataLabelsRange val="0"/>
                </c:ext>
                <c:ext xmlns:c16="http://schemas.microsoft.com/office/drawing/2014/chart" uri="{C3380CC4-5D6E-409C-BE32-E72D297353CC}">
                  <c16:uniqueId val="{0000011D-504C-421D-AE36-2B15419FE06E}"/>
                </c:ext>
              </c:extLst>
            </c:dLbl>
            <c:dLbl>
              <c:idx val="284"/>
              <c:tx>
                <c:strRef>
                  <c:f>Frontend!$BR$294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{FC06A2EA-16A1-4D25-B6A8-2DBEF871E4EF}</c15:txfldGUID>
                      <c15:f>Frontend!$BR$294</c15:f>
                      <c15:dlblFieldTableCache>
                        <c:ptCount val="1"/>
                      </c15:dlblFieldTableCache>
                    </c15:dlblFTEntry>
                  </c15:dlblFieldTable>
                  <c15:showDataLabelsRange val="0"/>
                </c:ext>
                <c:ext xmlns:c16="http://schemas.microsoft.com/office/drawing/2014/chart" uri="{C3380CC4-5D6E-409C-BE32-E72D297353CC}">
                  <c16:uniqueId val="{0000011E-504C-421D-AE36-2B15419FE06E}"/>
                </c:ext>
              </c:extLst>
            </c:dLbl>
            <c:dLbl>
              <c:idx val="285"/>
              <c:tx>
                <c:strRef>
                  <c:f>Frontend!$BR$295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{532E5630-C145-494D-B208-2F73513350C6}</c15:txfldGUID>
                      <c15:f>Frontend!$BR$295</c15:f>
                      <c15:dlblFieldTableCache>
                        <c:ptCount val="1"/>
                      </c15:dlblFieldTableCache>
                    </c15:dlblFTEntry>
                  </c15:dlblFieldTable>
                  <c15:showDataLabelsRange val="0"/>
                </c:ext>
                <c:ext xmlns:c16="http://schemas.microsoft.com/office/drawing/2014/chart" uri="{C3380CC4-5D6E-409C-BE32-E72D297353CC}">
                  <c16:uniqueId val="{0000011F-504C-421D-AE36-2B15419FE06E}"/>
                </c:ext>
              </c:extLst>
            </c:dLbl>
            <c:dLbl>
              <c:idx val="286"/>
              <c:tx>
                <c:strRef>
                  <c:f>Frontend!$BR$296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{A44EC816-AD1A-4E5F-A57F-CCB8CC90CEAB}</c15:txfldGUID>
                      <c15:f>Frontend!$BR$296</c15:f>
                      <c15:dlblFieldTableCache>
                        <c:ptCount val="1"/>
                      </c15:dlblFieldTableCache>
                    </c15:dlblFTEntry>
                  </c15:dlblFieldTable>
                  <c15:showDataLabelsRange val="0"/>
                </c:ext>
                <c:ext xmlns:c16="http://schemas.microsoft.com/office/drawing/2014/chart" uri="{C3380CC4-5D6E-409C-BE32-E72D297353CC}">
                  <c16:uniqueId val="{00000120-504C-421D-AE36-2B15419FE06E}"/>
                </c:ext>
              </c:extLst>
            </c:dLbl>
            <c:dLbl>
              <c:idx val="287"/>
              <c:tx>
                <c:strRef>
                  <c:f>Frontend!$BR$297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{81731CCD-8AFE-4119-A45A-9084DB94D979}</c15:txfldGUID>
                      <c15:f>Frontend!$BR$297</c15:f>
                      <c15:dlblFieldTableCache>
                        <c:ptCount val="1"/>
                      </c15:dlblFieldTableCache>
                    </c15:dlblFTEntry>
                  </c15:dlblFieldTable>
                  <c15:showDataLabelsRange val="0"/>
                </c:ext>
                <c:ext xmlns:c16="http://schemas.microsoft.com/office/drawing/2014/chart" uri="{C3380CC4-5D6E-409C-BE32-E72D297353CC}">
                  <c16:uniqueId val="{00000121-504C-421D-AE36-2B15419FE06E}"/>
                </c:ext>
              </c:extLst>
            </c:dLbl>
            <c:dLbl>
              <c:idx val="288"/>
              <c:tx>
                <c:strRef>
                  <c:f>Frontend!$BR$298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{DA31DF19-AA9F-44C6-8164-9E514E1B18B8}</c15:txfldGUID>
                      <c15:f>Frontend!$BR$298</c15:f>
                      <c15:dlblFieldTableCache>
                        <c:ptCount val="1"/>
                      </c15:dlblFieldTableCache>
                    </c15:dlblFTEntry>
                  </c15:dlblFieldTable>
                  <c15:showDataLabelsRange val="0"/>
                </c:ext>
                <c:ext xmlns:c16="http://schemas.microsoft.com/office/drawing/2014/chart" uri="{C3380CC4-5D6E-409C-BE32-E72D297353CC}">
                  <c16:uniqueId val="{00000122-504C-421D-AE36-2B15419FE06E}"/>
                </c:ext>
              </c:extLst>
            </c:dLbl>
            <c:dLbl>
              <c:idx val="289"/>
              <c:tx>
                <c:strRef>
                  <c:f>Frontend!$BR$299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{86CF05EA-2BA2-4B4D-9368-52AEA93496E8}</c15:txfldGUID>
                      <c15:f>Frontend!$BR$299</c15:f>
                      <c15:dlblFieldTableCache>
                        <c:ptCount val="1"/>
                      </c15:dlblFieldTableCache>
                    </c15:dlblFTEntry>
                  </c15:dlblFieldTable>
                  <c15:showDataLabelsRange val="0"/>
                </c:ext>
                <c:ext xmlns:c16="http://schemas.microsoft.com/office/drawing/2014/chart" uri="{C3380CC4-5D6E-409C-BE32-E72D297353CC}">
                  <c16:uniqueId val="{00000123-504C-421D-AE36-2B15419FE06E}"/>
                </c:ext>
              </c:extLst>
            </c:dLbl>
            <c:dLbl>
              <c:idx val="290"/>
              <c:tx>
                <c:strRef>
                  <c:f>Frontend!$BR$300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{7A007E1A-76EF-4166-813C-E2B5E51CC8D3}</c15:txfldGUID>
                      <c15:f>Frontend!$BR$300</c15:f>
                      <c15:dlblFieldTableCache>
                        <c:ptCount val="1"/>
                      </c15:dlblFieldTableCache>
                    </c15:dlblFTEntry>
                  </c15:dlblFieldTable>
                  <c15:showDataLabelsRange val="0"/>
                </c:ext>
                <c:ext xmlns:c16="http://schemas.microsoft.com/office/drawing/2014/chart" uri="{C3380CC4-5D6E-409C-BE32-E72D297353CC}">
                  <c16:uniqueId val="{00000124-504C-421D-AE36-2B15419FE06E}"/>
                </c:ext>
              </c:extLst>
            </c:dLbl>
            <c:dLbl>
              <c:idx val="291"/>
              <c:tx>
                <c:strRef>
                  <c:f>Frontend!$BR$301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{1659406C-E8C7-435C-A93D-6CBE2EFCF220}</c15:txfldGUID>
                      <c15:f>Frontend!$BR$301</c15:f>
                      <c15:dlblFieldTableCache>
                        <c:ptCount val="1"/>
                      </c15:dlblFieldTableCache>
                    </c15:dlblFTEntry>
                  </c15:dlblFieldTable>
                  <c15:showDataLabelsRange val="0"/>
                </c:ext>
                <c:ext xmlns:c16="http://schemas.microsoft.com/office/drawing/2014/chart" uri="{C3380CC4-5D6E-409C-BE32-E72D297353CC}">
                  <c16:uniqueId val="{00000125-504C-421D-AE36-2B15419FE0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Frontend!$BL$10:$BL$301</c:f>
              <c:numCache>
                <c:formatCode>d\-mmm\-yy</c:formatCode>
                <c:ptCount val="292"/>
                <c:pt idx="0">
                  <c:v>44705</c:v>
                </c:pt>
                <c:pt idx="1">
                  <c:v>44705</c:v>
                </c:pt>
                <c:pt idx="2">
                  <c:v>44706</c:v>
                </c:pt>
                <c:pt idx="3">
                  <c:v>44707</c:v>
                </c:pt>
                <c:pt idx="4">
                  <c:v>44708</c:v>
                </c:pt>
                <c:pt idx="5">
                  <c:v>44711</c:v>
                </c:pt>
                <c:pt idx="6">
                  <c:v>44712</c:v>
                </c:pt>
                <c:pt idx="7">
                  <c:v>44713</c:v>
                </c:pt>
                <c:pt idx="8">
                  <c:v>44714</c:v>
                </c:pt>
                <c:pt idx="9">
                  <c:v>44715</c:v>
                </c:pt>
                <c:pt idx="10">
                  <c:v>44718</c:v>
                </c:pt>
                <c:pt idx="11">
                  <c:v>44719</c:v>
                </c:pt>
                <c:pt idx="12">
                  <c:v>44720</c:v>
                </c:pt>
                <c:pt idx="13">
                  <c:v>44721</c:v>
                </c:pt>
                <c:pt idx="14">
                  <c:v>44722</c:v>
                </c:pt>
                <c:pt idx="15">
                  <c:v>44725</c:v>
                </c:pt>
                <c:pt idx="16">
                  <c:v>44726</c:v>
                </c:pt>
                <c:pt idx="17">
                  <c:v>44727</c:v>
                </c:pt>
                <c:pt idx="18">
                  <c:v>44729</c:v>
                </c:pt>
                <c:pt idx="19">
                  <c:v>44732</c:v>
                </c:pt>
                <c:pt idx="20">
                  <c:v>44733</c:v>
                </c:pt>
                <c:pt idx="21">
                  <c:v>44734</c:v>
                </c:pt>
                <c:pt idx="22">
                  <c:v>44735</c:v>
                </c:pt>
                <c:pt idx="23">
                  <c:v>44736</c:v>
                </c:pt>
                <c:pt idx="24">
                  <c:v>44739</c:v>
                </c:pt>
                <c:pt idx="25">
                  <c:v>44740</c:v>
                </c:pt>
                <c:pt idx="26">
                  <c:v>44741</c:v>
                </c:pt>
                <c:pt idx="27">
                  <c:v>44742</c:v>
                </c:pt>
                <c:pt idx="28">
                  <c:v>44743</c:v>
                </c:pt>
                <c:pt idx="29">
                  <c:v>44746</c:v>
                </c:pt>
                <c:pt idx="30">
                  <c:v>44747</c:v>
                </c:pt>
                <c:pt idx="31">
                  <c:v>44748</c:v>
                </c:pt>
                <c:pt idx="32">
                  <c:v>44749</c:v>
                </c:pt>
                <c:pt idx="33">
                  <c:v>44750</c:v>
                </c:pt>
                <c:pt idx="34">
                  <c:v>44753</c:v>
                </c:pt>
                <c:pt idx="35">
                  <c:v>44754</c:v>
                </c:pt>
                <c:pt idx="36">
                  <c:v>44755</c:v>
                </c:pt>
                <c:pt idx="37">
                  <c:v>44756</c:v>
                </c:pt>
                <c:pt idx="38">
                  <c:v>44757</c:v>
                </c:pt>
                <c:pt idx="39">
                  <c:v>44760</c:v>
                </c:pt>
                <c:pt idx="40">
                  <c:v>44761</c:v>
                </c:pt>
                <c:pt idx="41">
                  <c:v>44762</c:v>
                </c:pt>
                <c:pt idx="42">
                  <c:v>44763</c:v>
                </c:pt>
                <c:pt idx="43">
                  <c:v>44764</c:v>
                </c:pt>
                <c:pt idx="44">
                  <c:v>44767</c:v>
                </c:pt>
                <c:pt idx="45">
                  <c:v>44768</c:v>
                </c:pt>
                <c:pt idx="46">
                  <c:v>44769</c:v>
                </c:pt>
                <c:pt idx="47">
                  <c:v>44770</c:v>
                </c:pt>
                <c:pt idx="48">
                  <c:v>44771</c:v>
                </c:pt>
                <c:pt idx="49">
                  <c:v>44774</c:v>
                </c:pt>
                <c:pt idx="50">
                  <c:v>44775</c:v>
                </c:pt>
                <c:pt idx="51">
                  <c:v>44776</c:v>
                </c:pt>
                <c:pt idx="52">
                  <c:v>44777</c:v>
                </c:pt>
                <c:pt idx="53">
                  <c:v>44778</c:v>
                </c:pt>
                <c:pt idx="54">
                  <c:v>44781</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44820</c:v>
                </c:pt>
                <c:pt idx="83">
                  <c:v>44823</c:v>
                </c:pt>
                <c:pt idx="84">
                  <c:v>44824</c:v>
                </c:pt>
                <c:pt idx="85">
                  <c:v>44825</c:v>
                </c:pt>
                <c:pt idx="86">
                  <c:v>44826</c:v>
                </c:pt>
                <c:pt idx="87">
                  <c:v>44827</c:v>
                </c:pt>
                <c:pt idx="88">
                  <c:v>44830</c:v>
                </c:pt>
                <c:pt idx="89">
                  <c:v>44831</c:v>
                </c:pt>
                <c:pt idx="90">
                  <c:v>44832</c:v>
                </c:pt>
                <c:pt idx="91">
                  <c:v>44833</c:v>
                </c:pt>
                <c:pt idx="92">
                  <c:v>44834</c:v>
                </c:pt>
                <c:pt idx="93">
                  <c:v>44837</c:v>
                </c:pt>
                <c:pt idx="94">
                  <c:v>44838</c:v>
                </c:pt>
                <c:pt idx="95">
                  <c:v>44839</c:v>
                </c:pt>
                <c:pt idx="96">
                  <c:v>44840</c:v>
                </c:pt>
                <c:pt idx="97">
                  <c:v>44841</c:v>
                </c:pt>
                <c:pt idx="98">
                  <c:v>44844</c:v>
                </c:pt>
                <c:pt idx="99">
                  <c:v>44845</c:v>
                </c:pt>
                <c:pt idx="100">
                  <c:v>44846</c:v>
                </c:pt>
                <c:pt idx="101">
                  <c:v>44847</c:v>
                </c:pt>
                <c:pt idx="102">
                  <c:v>44848</c:v>
                </c:pt>
                <c:pt idx="103">
                  <c:v>44851</c:v>
                </c:pt>
                <c:pt idx="104">
                  <c:v>44852</c:v>
                </c:pt>
                <c:pt idx="105">
                  <c:v>44853</c:v>
                </c:pt>
                <c:pt idx="106">
                  <c:v>44854</c:v>
                </c:pt>
                <c:pt idx="107">
                  <c:v>44855</c:v>
                </c:pt>
                <c:pt idx="108">
                  <c:v>44858</c:v>
                </c:pt>
                <c:pt idx="109">
                  <c:v>44859</c:v>
                </c:pt>
                <c:pt idx="110">
                  <c:v>44860</c:v>
                </c:pt>
                <c:pt idx="111">
                  <c:v>44861</c:v>
                </c:pt>
                <c:pt idx="112">
                  <c:v>44862</c:v>
                </c:pt>
                <c:pt idx="113">
                  <c:v>44865</c:v>
                </c:pt>
                <c:pt idx="114">
                  <c:v>44866</c:v>
                </c:pt>
                <c:pt idx="115">
                  <c:v>44867</c:v>
                </c:pt>
                <c:pt idx="116">
                  <c:v>44868</c:v>
                </c:pt>
                <c:pt idx="117">
                  <c:v>44869</c:v>
                </c:pt>
                <c:pt idx="118">
                  <c:v>44872</c:v>
                </c:pt>
                <c:pt idx="119">
                  <c:v>44873</c:v>
                </c:pt>
                <c:pt idx="120">
                  <c:v>44874</c:v>
                </c:pt>
                <c:pt idx="121">
                  <c:v>44875</c:v>
                </c:pt>
                <c:pt idx="122">
                  <c:v>44876</c:v>
                </c:pt>
                <c:pt idx="123">
                  <c:v>44879</c:v>
                </c:pt>
                <c:pt idx="124">
                  <c:v>44880</c:v>
                </c:pt>
                <c:pt idx="125">
                  <c:v>44881</c:v>
                </c:pt>
                <c:pt idx="126">
                  <c:v>44882</c:v>
                </c:pt>
                <c:pt idx="127">
                  <c:v>44883</c:v>
                </c:pt>
                <c:pt idx="128">
                  <c:v>44886</c:v>
                </c:pt>
                <c:pt idx="129">
                  <c:v>44887</c:v>
                </c:pt>
                <c:pt idx="130">
                  <c:v>44888</c:v>
                </c:pt>
                <c:pt idx="131">
                  <c:v>44889</c:v>
                </c:pt>
                <c:pt idx="132">
                  <c:v>44890</c:v>
                </c:pt>
                <c:pt idx="133">
                  <c:v>44893</c:v>
                </c:pt>
                <c:pt idx="134">
                  <c:v>44894</c:v>
                </c:pt>
                <c:pt idx="135">
                  <c:v>44895</c:v>
                </c:pt>
                <c:pt idx="136">
                  <c:v>44896</c:v>
                </c:pt>
                <c:pt idx="137">
                  <c:v>44897</c:v>
                </c:pt>
                <c:pt idx="138">
                  <c:v>44900</c:v>
                </c:pt>
                <c:pt idx="139">
                  <c:v>44901</c:v>
                </c:pt>
                <c:pt idx="140">
                  <c:v>44902</c:v>
                </c:pt>
                <c:pt idx="141">
                  <c:v>44903</c:v>
                </c:pt>
                <c:pt idx="142">
                  <c:v>44904</c:v>
                </c:pt>
                <c:pt idx="143">
                  <c:v>44907</c:v>
                </c:pt>
                <c:pt idx="144">
                  <c:v>44908</c:v>
                </c:pt>
                <c:pt idx="145">
                  <c:v>44909</c:v>
                </c:pt>
                <c:pt idx="146">
                  <c:v>44910</c:v>
                </c:pt>
                <c:pt idx="147">
                  <c:v>44914</c:v>
                </c:pt>
                <c:pt idx="148">
                  <c:v>44915</c:v>
                </c:pt>
                <c:pt idx="149">
                  <c:v>44916</c:v>
                </c:pt>
                <c:pt idx="150">
                  <c:v>44917</c:v>
                </c:pt>
                <c:pt idx="151">
                  <c:v>44918</c:v>
                </c:pt>
                <c:pt idx="152">
                  <c:v>44923</c:v>
                </c:pt>
                <c:pt idx="153">
                  <c:v>44924</c:v>
                </c:pt>
                <c:pt idx="154">
                  <c:v>44925</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44963</c:v>
                </c:pt>
                <c:pt idx="180">
                  <c:v>44964</c:v>
                </c:pt>
                <c:pt idx="181">
                  <c:v>44965</c:v>
                </c:pt>
                <c:pt idx="182">
                  <c:v>44966</c:v>
                </c:pt>
                <c:pt idx="183">
                  <c:v>44967</c:v>
                </c:pt>
                <c:pt idx="184">
                  <c:v>44970</c:v>
                </c:pt>
                <c:pt idx="185">
                  <c:v>44971</c:v>
                </c:pt>
                <c:pt idx="186">
                  <c:v>44972</c:v>
                </c:pt>
                <c:pt idx="187">
                  <c:v>44973</c:v>
                </c:pt>
                <c:pt idx="188">
                  <c:v>44974</c:v>
                </c:pt>
                <c:pt idx="189">
                  <c:v>44977</c:v>
                </c:pt>
                <c:pt idx="190">
                  <c:v>44978</c:v>
                </c:pt>
                <c:pt idx="191">
                  <c:v>44979</c:v>
                </c:pt>
                <c:pt idx="192">
                  <c:v>44980</c:v>
                </c:pt>
                <c:pt idx="193">
                  <c:v>44981</c:v>
                </c:pt>
                <c:pt idx="194">
                  <c:v>44984</c:v>
                </c:pt>
                <c:pt idx="195">
                  <c:v>44985</c:v>
                </c:pt>
                <c:pt idx="196">
                  <c:v>44986</c:v>
                </c:pt>
                <c:pt idx="197">
                  <c:v>44987</c:v>
                </c:pt>
                <c:pt idx="198">
                  <c:v>44988</c:v>
                </c:pt>
                <c:pt idx="199">
                  <c:v>44991</c:v>
                </c:pt>
                <c:pt idx="200">
                  <c:v>44992</c:v>
                </c:pt>
                <c:pt idx="201">
                  <c:v>44993</c:v>
                </c:pt>
                <c:pt idx="202">
                  <c:v>44994</c:v>
                </c:pt>
                <c:pt idx="203">
                  <c:v>44995</c:v>
                </c:pt>
                <c:pt idx="204">
                  <c:v>44998</c:v>
                </c:pt>
                <c:pt idx="205">
                  <c:v>44999</c:v>
                </c:pt>
                <c:pt idx="206">
                  <c:v>45000</c:v>
                </c:pt>
                <c:pt idx="207">
                  <c:v>45001</c:v>
                </c:pt>
                <c:pt idx="208">
                  <c:v>45002</c:v>
                </c:pt>
                <c:pt idx="209">
                  <c:v>45005</c:v>
                </c:pt>
                <c:pt idx="210">
                  <c:v>45007</c:v>
                </c:pt>
                <c:pt idx="211">
                  <c:v>45008</c:v>
                </c:pt>
                <c:pt idx="212">
                  <c:v>45009</c:v>
                </c:pt>
                <c:pt idx="213">
                  <c:v>45012</c:v>
                </c:pt>
                <c:pt idx="214">
                  <c:v>45013</c:v>
                </c:pt>
                <c:pt idx="215">
                  <c:v>45014</c:v>
                </c:pt>
                <c:pt idx="216">
                  <c:v>45015</c:v>
                </c:pt>
                <c:pt idx="217">
                  <c:v>45016</c:v>
                </c:pt>
                <c:pt idx="218">
                  <c:v>45019</c:v>
                </c:pt>
                <c:pt idx="219">
                  <c:v>45020</c:v>
                </c:pt>
                <c:pt idx="220">
                  <c:v>45021</c:v>
                </c:pt>
                <c:pt idx="221">
                  <c:v>45022</c:v>
                </c:pt>
                <c:pt idx="222">
                  <c:v>45027</c:v>
                </c:pt>
                <c:pt idx="223">
                  <c:v>45028</c:v>
                </c:pt>
                <c:pt idx="224">
                  <c:v>45029</c:v>
                </c:pt>
                <c:pt idx="225">
                  <c:v>45030</c:v>
                </c:pt>
                <c:pt idx="226">
                  <c:v>45033</c:v>
                </c:pt>
                <c:pt idx="227">
                  <c:v>45034</c:v>
                </c:pt>
                <c:pt idx="228">
                  <c:v>45035</c:v>
                </c:pt>
                <c:pt idx="229">
                  <c:v>45036</c:v>
                </c:pt>
                <c:pt idx="230">
                  <c:v>45037</c:v>
                </c:pt>
                <c:pt idx="231">
                  <c:v>45040</c:v>
                </c:pt>
                <c:pt idx="232">
                  <c:v>45041</c:v>
                </c:pt>
                <c:pt idx="233">
                  <c:v>45042</c:v>
                </c:pt>
                <c:pt idx="234">
                  <c:v>45044</c:v>
                </c:pt>
                <c:pt idx="235">
                  <c:v>45048</c:v>
                </c:pt>
                <c:pt idx="236">
                  <c:v>45049</c:v>
                </c:pt>
                <c:pt idx="237">
                  <c:v>45050</c:v>
                </c:pt>
                <c:pt idx="238">
                  <c:v>45051</c:v>
                </c:pt>
                <c:pt idx="239">
                  <c:v>45054</c:v>
                </c:pt>
                <c:pt idx="240">
                  <c:v>45055</c:v>
                </c:pt>
                <c:pt idx="241">
                  <c:v>45056</c:v>
                </c:pt>
                <c:pt idx="242">
                  <c:v>45057</c:v>
                </c:pt>
                <c:pt idx="243">
                  <c:v>45058</c:v>
                </c:pt>
                <c:pt idx="244">
                  <c:v>45061</c:v>
                </c:pt>
                <c:pt idx="245">
                  <c:v>45062</c:v>
                </c:pt>
                <c:pt idx="246">
                  <c:v>45063</c:v>
                </c:pt>
                <c:pt idx="247">
                  <c:v>45064</c:v>
                </c:pt>
                <c:pt idx="248">
                  <c:v>45065</c:v>
                </c:pt>
                <c:pt idx="249">
                  <c:v>45068</c:v>
                </c:pt>
                <c:pt idx="250">
                  <c:v>45069</c:v>
                </c:pt>
                <c:pt idx="251">
                  <c:v>45070</c:v>
                </c:pt>
                <c:pt idx="252">
                  <c:v>45071</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cat>
          <c:val>
            <c:numRef>
              <c:f>Frontend!$BQ$10:$BQ$301</c:f>
              <c:numCache>
                <c:formatCode>#,##0.00</c:formatCode>
                <c:ptCount val="29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20.204677144327977</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val>
          <c:smooth val="0"/>
          <c:extLst>
            <c:ext xmlns:c16="http://schemas.microsoft.com/office/drawing/2014/chart" uri="{C3380CC4-5D6E-409C-BE32-E72D297353CC}">
              <c16:uniqueId val="{00000126-504C-421D-AE36-2B15419FE06E}"/>
            </c:ext>
          </c:extLst>
        </c:ser>
        <c:ser>
          <c:idx val="2"/>
          <c:order val="2"/>
          <c:tx>
            <c:strRef>
              <c:f>Frontend!$B$21</c:f>
              <c:strCache>
                <c:ptCount val="1"/>
                <c:pt idx="0">
                  <c:v>Current Price (ZAR)</c:v>
                </c:pt>
              </c:strCache>
            </c:strRef>
          </c:tx>
          <c:spPr>
            <a:ln w="28575" cap="rnd">
              <a:noFill/>
              <a:round/>
            </a:ln>
            <a:effectLst/>
          </c:spPr>
          <c:marker>
            <c:symbol val="circle"/>
            <c:size val="7"/>
            <c:spPr>
              <a:solidFill>
                <a:srgbClr val="44546A"/>
              </a:solidFill>
              <a:ln w="9525">
                <a:noFill/>
              </a:ln>
              <a:effectLst/>
            </c:spPr>
          </c:marker>
          <c:dLbls>
            <c:dLbl>
              <c:idx val="0"/>
              <c:tx>
                <c:strRef>
                  <c:f>Frontend!$BS$10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{3A7413E2-9EC6-4F2E-80CA-682F3C8DABFB}</c15:txfldGUID>
                      <c15:f>Frontend!$BS$10</c15:f>
                      <c15:dlblFieldTableCache>
                        <c:ptCount val="1"/>
                      </c15:dlblFieldTableCache>
                    </c15:dlblFTEntry>
                  </c15:dlblFieldTable>
                  <c15:showDataLabelsRange val="0"/>
                </c:ext>
                <c:ext xmlns:c16="http://schemas.microsoft.com/office/drawing/2014/chart" uri="{C3380CC4-5D6E-409C-BE32-E72D297353CC}">
                  <c16:uniqueId val="{00000127-504C-421D-AE36-2B15419FE06E}"/>
                </c:ext>
              </c:extLst>
            </c:dLbl>
            <c:dLbl>
              <c:idx val="1"/>
              <c:tx>
                <c:strRef>
                  <c:f>Frontend!$BS$11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{30E7F818-E45E-40FC-A147-37139EF76369}</c15:txfldGUID>
                      <c15:f>Frontend!$BS$11</c15:f>
                      <c15:dlblFieldTableCache>
                        <c:ptCount val="1"/>
                      </c15:dlblFieldTableCache>
                    </c15:dlblFTEntry>
                  </c15:dlblFieldTable>
                  <c15:showDataLabelsRange val="0"/>
                </c:ext>
                <c:ext xmlns:c16="http://schemas.microsoft.com/office/drawing/2014/chart" uri="{C3380CC4-5D6E-409C-BE32-E72D297353CC}">
                  <c16:uniqueId val="{00000128-504C-421D-AE36-2B15419FE06E}"/>
                </c:ext>
              </c:extLst>
            </c:dLbl>
            <c:dLbl>
              <c:idx val="2"/>
              <c:tx>
                <c:strRef>
                  <c:f>Frontend!$BS$12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{9F992544-5010-4FB2-892A-A4A90CCE1871}</c15:txfldGUID>
                      <c15:f>Frontend!$BS$12</c15:f>
                      <c15:dlblFieldTableCache>
                        <c:ptCount val="1"/>
                      </c15:dlblFieldTableCache>
                    </c15:dlblFTEntry>
                  </c15:dlblFieldTable>
                  <c15:showDataLabelsRange val="0"/>
                </c:ext>
                <c:ext xmlns:c16="http://schemas.microsoft.com/office/drawing/2014/chart" uri="{C3380CC4-5D6E-409C-BE32-E72D297353CC}">
                  <c16:uniqueId val="{00000129-504C-421D-AE36-2B15419FE06E}"/>
                </c:ext>
              </c:extLst>
            </c:dLbl>
            <c:dLbl>
              <c:idx val="3"/>
              <c:tx>
                <c:strRef>
                  <c:f>Frontend!$BS$13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{6F04602C-A5C3-45EC-9AB6-BD5A1782983E}</c15:txfldGUID>
                      <c15:f>Frontend!$BS$13</c15:f>
                      <c15:dlblFieldTableCache>
                        <c:ptCount val="1"/>
                      </c15:dlblFieldTableCache>
                    </c15:dlblFTEntry>
                  </c15:dlblFieldTable>
                  <c15:showDataLabelsRange val="0"/>
                </c:ext>
                <c:ext xmlns:c16="http://schemas.microsoft.com/office/drawing/2014/chart" uri="{C3380CC4-5D6E-409C-BE32-E72D297353CC}">
                  <c16:uniqueId val="{0000012A-504C-421D-AE36-2B15419FE06E}"/>
                </c:ext>
              </c:extLst>
            </c:dLbl>
            <c:dLbl>
              <c:idx val="4"/>
              <c:tx>
                <c:strRef>
                  <c:f>Frontend!$BS$14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{854438EE-5B53-42E2-B57D-7AE29E664705}</c15:txfldGUID>
                      <c15:f>Frontend!$BS$14</c15:f>
                      <c15:dlblFieldTableCache>
                        <c:ptCount val="1"/>
                      </c15:dlblFieldTableCache>
                    </c15:dlblFTEntry>
                  </c15:dlblFieldTable>
                  <c15:showDataLabelsRange val="0"/>
                </c:ext>
                <c:ext xmlns:c16="http://schemas.microsoft.com/office/drawing/2014/chart" uri="{C3380CC4-5D6E-409C-BE32-E72D297353CC}">
                  <c16:uniqueId val="{0000012B-504C-421D-AE36-2B15419FE06E}"/>
                </c:ext>
              </c:extLst>
            </c:dLbl>
            <c:dLbl>
              <c:idx val="5"/>
              <c:tx>
                <c:strRef>
                  <c:f>Frontend!$BS$15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{0FF41541-2F18-4CF4-B009-4C709F3B6705}</c15:txfldGUID>
                      <c15:f>Frontend!$BS$15</c15:f>
                      <c15:dlblFieldTableCache>
                        <c:ptCount val="1"/>
                      </c15:dlblFieldTableCache>
                    </c15:dlblFTEntry>
                  </c15:dlblFieldTable>
                  <c15:showDataLabelsRange val="0"/>
                </c:ext>
                <c:ext xmlns:c16="http://schemas.microsoft.com/office/drawing/2014/chart" uri="{C3380CC4-5D6E-409C-BE32-E72D297353CC}">
                  <c16:uniqueId val="{0000012C-504C-421D-AE36-2B15419FE06E}"/>
                </c:ext>
              </c:extLst>
            </c:dLbl>
            <c:dLbl>
              <c:idx val="6"/>
              <c:tx>
                <c:strRef>
                  <c:f>Frontend!$BS$16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{79CD93A1-B53C-4DB0-8A28-A7DC9C3C27A8}</c15:txfldGUID>
                      <c15:f>Frontend!$BS$16</c15:f>
                      <c15:dlblFieldTableCache>
                        <c:ptCount val="1"/>
                      </c15:dlblFieldTableCache>
                    </c15:dlblFTEntry>
                  </c15:dlblFieldTable>
                  <c15:showDataLabelsRange val="0"/>
                </c:ext>
                <c:ext xmlns:c16="http://schemas.microsoft.com/office/drawing/2014/chart" uri="{C3380CC4-5D6E-409C-BE32-E72D297353CC}">
                  <c16:uniqueId val="{0000012D-504C-421D-AE36-2B15419FE06E}"/>
                </c:ext>
              </c:extLst>
            </c:dLbl>
            <c:dLbl>
              <c:idx val="7"/>
              <c:tx>
                <c:strRef>
                  <c:f>Frontend!$BS$17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{E062FF7C-BDC6-4682-BBF2-31C579D3B06C}</c15:txfldGUID>
                      <c15:f>Frontend!$BS$17</c15:f>
                      <c15:dlblFieldTableCache>
                        <c:ptCount val="1"/>
                      </c15:dlblFieldTableCache>
                    </c15:dlblFTEntry>
                  </c15:dlblFieldTable>
                  <c15:showDataLabelsRange val="0"/>
                </c:ext>
                <c:ext xmlns:c16="http://schemas.microsoft.com/office/drawing/2014/chart" uri="{C3380CC4-5D6E-409C-BE32-E72D297353CC}">
                  <c16:uniqueId val="{0000012E-504C-421D-AE36-2B15419FE06E}"/>
                </c:ext>
              </c:extLst>
            </c:dLbl>
            <c:dLbl>
              <c:idx val="8"/>
              <c:tx>
                <c:strRef>
                  <c:f>Frontend!$BS$18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{1323D712-9D9D-42CF-9DA3-D456A9D3670F}</c15:txfldGUID>
                      <c15:f>Frontend!$BS$18</c15:f>
                      <c15:dlblFieldTableCache>
                        <c:ptCount val="1"/>
                      </c15:dlblFieldTableCache>
                    </c15:dlblFTEntry>
                  </c15:dlblFieldTable>
                  <c15:showDataLabelsRange val="0"/>
                </c:ext>
                <c:ext xmlns:c16="http://schemas.microsoft.com/office/drawing/2014/chart" uri="{C3380CC4-5D6E-409C-BE32-E72D297353CC}">
                  <c16:uniqueId val="{0000012F-504C-421D-AE36-2B15419FE06E}"/>
                </c:ext>
              </c:extLst>
            </c:dLbl>
            <c:dLbl>
              <c:idx val="9"/>
              <c:tx>
                <c:strRef>
                  <c:f>Frontend!$BS$19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{73F05B6F-055F-48D8-A99D-E99A0CE9D1F0}</c15:txfldGUID>
                      <c15:f>Frontend!$BS$19</c15:f>
                      <c15:dlblFieldTableCache>
                        <c:ptCount val="1"/>
                      </c15:dlblFieldTableCache>
                    </c15:dlblFTEntry>
                  </c15:dlblFieldTable>
                  <c15:showDataLabelsRange val="0"/>
                </c:ext>
                <c:ext xmlns:c16="http://schemas.microsoft.com/office/drawing/2014/chart" uri="{C3380CC4-5D6E-409C-BE32-E72D297353CC}">
                  <c16:uniqueId val="{00000130-504C-421D-AE36-2B15419FE06E}"/>
                </c:ext>
              </c:extLst>
            </c:dLbl>
            <c:dLbl>
              <c:idx val="10"/>
              <c:tx>
                <c:strRef>
                  <c:f>Frontend!$BS$20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{03EE6CC7-8FBC-408C-9AB0-73D387F96840}</c15:txfldGUID>
                      <c15:f>Frontend!$BS$20</c15:f>
                      <c15:dlblFieldTableCache>
                        <c:ptCount val="1"/>
                      </c15:dlblFieldTableCache>
                    </c15:dlblFTEntry>
                  </c15:dlblFieldTable>
                  <c15:showDataLabelsRange val="0"/>
                </c:ext>
                <c:ext xmlns:c16="http://schemas.microsoft.com/office/drawing/2014/chart" uri="{C3380CC4-5D6E-409C-BE32-E72D297353CC}">
                  <c16:uniqueId val="{00000131-504C-421D-AE36-2B15419FE06E}"/>
                </c:ext>
              </c:extLst>
            </c:dLbl>
            <c:dLbl>
              <c:idx val="11"/>
              <c:tx>
                <c:strRef>
                  <c:f>Frontend!$BS$21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{330D4C7D-FD13-47C4-9184-34D8493116EE}</c15:txfldGUID>
                      <c15:f>Frontend!$BS$21</c15:f>
                      <c15:dlblFieldTableCache>
                        <c:ptCount val="1"/>
                      </c15:dlblFieldTableCache>
                    </c15:dlblFTEntry>
                  </c15:dlblFieldTable>
                  <c15:showDataLabelsRange val="0"/>
                </c:ext>
                <c:ext xmlns:c16="http://schemas.microsoft.com/office/drawing/2014/chart" uri="{C3380CC4-5D6E-409C-BE32-E72D297353CC}">
                  <c16:uniqueId val="{00000132-504C-421D-AE36-2B15419FE06E}"/>
                </c:ext>
              </c:extLst>
            </c:dLbl>
            <c:dLbl>
              <c:idx val="12"/>
              <c:tx>
                <c:strRef>
                  <c:f>Frontend!$BS$22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{5AF2E38D-C0D7-4C7D-9E44-C0F3C6BA40C9}</c15:txfldGUID>
                      <c15:f>Frontend!$BS$22</c15:f>
                      <c15:dlblFieldTableCache>
                        <c:ptCount val="1"/>
                      </c15:dlblFieldTableCache>
                    </c15:dlblFTEntry>
                  </c15:dlblFieldTable>
                  <c15:showDataLabelsRange val="0"/>
                </c:ext>
                <c:ext xmlns:c16="http://schemas.microsoft.com/office/drawing/2014/chart" uri="{C3380CC4-5D6E-409C-BE32-E72D297353CC}">
                  <c16:uniqueId val="{00000133-504C-421D-AE36-2B15419FE06E}"/>
                </c:ext>
              </c:extLst>
            </c:dLbl>
            <c:dLbl>
              <c:idx val="13"/>
              <c:tx>
                <c:strRef>
                  <c:f>Frontend!$BS$23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{84AB5064-C07C-4A5C-8CD5-D71A160329FE}</c15:txfldGUID>
                      <c15:f>Frontend!$BS$23</c15:f>
                      <c15:dlblFieldTableCache>
                        <c:ptCount val="1"/>
                      </c15:dlblFieldTableCache>
                    </c15:dlblFTEntry>
                  </c15:dlblFieldTable>
                  <c15:showDataLabelsRange val="0"/>
                </c:ext>
                <c:ext xmlns:c16="http://schemas.microsoft.com/office/drawing/2014/chart" uri="{C3380CC4-5D6E-409C-BE32-E72D297353CC}">
                  <c16:uniqueId val="{00000134-504C-421D-AE36-2B15419FE06E}"/>
                </c:ext>
              </c:extLst>
            </c:dLbl>
            <c:dLbl>
              <c:idx val="14"/>
              <c:tx>
                <c:strRef>
                  <c:f>Frontend!$BS$24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{468D8339-5677-4252-9124-AF272247A84D}</c15:txfldGUID>
                      <c15:f>Frontend!$BS$24</c15:f>
                      <c15:dlblFieldTableCache>
                        <c:ptCount val="1"/>
                      </c15:dlblFieldTableCache>
                    </c15:dlblFTEntry>
                  </c15:dlblFieldTable>
                  <c15:showDataLabelsRange val="0"/>
                </c:ext>
                <c:ext xmlns:c16="http://schemas.microsoft.com/office/drawing/2014/chart" uri="{C3380CC4-5D6E-409C-BE32-E72D297353CC}">
                  <c16:uniqueId val="{00000135-504C-421D-AE36-2B15419FE06E}"/>
                </c:ext>
              </c:extLst>
            </c:dLbl>
            <c:dLbl>
              <c:idx val="15"/>
              <c:tx>
                <c:strRef>
                  <c:f>Frontend!$BS$25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{0244759C-5810-4ED9-A67E-0FA0B316D68F}</c15:txfldGUID>
                      <c15:f>Frontend!$BS$25</c15:f>
                      <c15:dlblFieldTableCache>
                        <c:ptCount val="1"/>
                      </c15:dlblFieldTableCache>
                    </c15:dlblFTEntry>
                  </c15:dlblFieldTable>
                  <c15:showDataLabelsRange val="0"/>
                </c:ext>
                <c:ext xmlns:c16="http://schemas.microsoft.com/office/drawing/2014/chart" uri="{C3380CC4-5D6E-409C-BE32-E72D297353CC}">
                  <c16:uniqueId val="{00000136-504C-421D-AE36-2B15419FE06E}"/>
                </c:ext>
              </c:extLst>
            </c:dLbl>
            <c:dLbl>
              <c:idx val="16"/>
              <c:tx>
                <c:strRef>
                  <c:f>Frontend!$BS$26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{39EB963B-4568-48E1-A0DC-FB82CC9CAFDE}</c15:txfldGUID>
                      <c15:f>Frontend!$BS$26</c15:f>
                      <c15:dlblFieldTableCache>
                        <c:ptCount val="1"/>
                      </c15:dlblFieldTableCache>
                    </c15:dlblFTEntry>
                  </c15:dlblFieldTable>
                  <c15:showDataLabelsRange val="0"/>
                </c:ext>
                <c:ext xmlns:c16="http://schemas.microsoft.com/office/drawing/2014/chart" uri="{C3380CC4-5D6E-409C-BE32-E72D297353CC}">
                  <c16:uniqueId val="{00000137-504C-421D-AE36-2B15419FE06E}"/>
                </c:ext>
              </c:extLst>
            </c:dLbl>
            <c:dLbl>
              <c:idx val="17"/>
              <c:tx>
                <c:strRef>
                  <c:f>Frontend!$BS$27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{AD0AA4CB-D712-4A44-B7B4-DC1B96E5E4DA}</c15:txfldGUID>
                      <c15:f>Frontend!$BS$27</c15:f>
                      <c15:dlblFieldTableCache>
                        <c:ptCount val="1"/>
                      </c15:dlblFieldTableCache>
                    </c15:dlblFTEntry>
                  </c15:dlblFieldTable>
                  <c15:showDataLabelsRange val="0"/>
                </c:ext>
                <c:ext xmlns:c16="http://schemas.microsoft.com/office/drawing/2014/chart" uri="{C3380CC4-5D6E-409C-BE32-E72D297353CC}">
                  <c16:uniqueId val="{00000138-504C-421D-AE36-2B15419FE06E}"/>
                </c:ext>
              </c:extLst>
            </c:dLbl>
            <c:dLbl>
              <c:idx val="18"/>
              <c:tx>
                <c:strRef>
                  <c:f>Frontend!$BS$28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{AFC0486B-CA8B-4D89-9A10-C52912E7C486}</c15:txfldGUID>
                      <c15:f>Frontend!$BS$28</c15:f>
                      <c15:dlblFieldTableCache>
                        <c:ptCount val="1"/>
                      </c15:dlblFieldTableCache>
                    </c15:dlblFTEntry>
                  </c15:dlblFieldTable>
                  <c15:showDataLabelsRange val="0"/>
                </c:ext>
                <c:ext xmlns:c16="http://schemas.microsoft.com/office/drawing/2014/chart" uri="{C3380CC4-5D6E-409C-BE32-E72D297353CC}">
                  <c16:uniqueId val="{00000139-504C-421D-AE36-2B15419FE06E}"/>
                </c:ext>
              </c:extLst>
            </c:dLbl>
            <c:dLbl>
              <c:idx val="19"/>
              <c:tx>
                <c:strRef>
                  <c:f>Frontend!$BS$29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{AABAE31A-C724-4E2E-81A1-DAA17A8A5681}</c15:txfldGUID>
                      <c15:f>Frontend!$BS$29</c15:f>
                      <c15:dlblFieldTableCache>
                        <c:ptCount val="1"/>
                      </c15:dlblFieldTableCache>
                    </c15:dlblFTEntry>
                  </c15:dlblFieldTable>
                  <c15:showDataLabelsRange val="0"/>
                </c:ext>
                <c:ext xmlns:c16="http://schemas.microsoft.com/office/drawing/2014/chart" uri="{C3380CC4-5D6E-409C-BE32-E72D297353CC}">
                  <c16:uniqueId val="{0000013A-504C-421D-AE36-2B15419FE06E}"/>
                </c:ext>
              </c:extLst>
            </c:dLbl>
            <c:dLbl>
              <c:idx val="20"/>
              <c:tx>
                <c:strRef>
                  <c:f>Frontend!$BS$30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{E3C46D56-B3D1-433B-988C-72A5D2CD42B0}</c15:txfldGUID>
                      <c15:f>Frontend!$BS$30</c15:f>
                      <c15:dlblFieldTableCache>
                        <c:ptCount val="1"/>
                      </c15:dlblFieldTableCache>
                    </c15:dlblFTEntry>
                  </c15:dlblFieldTable>
                  <c15:showDataLabelsRange val="0"/>
                </c:ext>
                <c:ext xmlns:c16="http://schemas.microsoft.com/office/drawing/2014/chart" uri="{C3380CC4-5D6E-409C-BE32-E72D297353CC}">
                  <c16:uniqueId val="{0000013B-504C-421D-AE36-2B15419FE06E}"/>
                </c:ext>
              </c:extLst>
            </c:dLbl>
            <c:dLbl>
              <c:idx val="21"/>
              <c:tx>
                <c:strRef>
                  <c:f>Frontend!$BS$31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{B836C84F-4FAF-4816-93D4-F7D66AAFA88C}</c15:txfldGUID>
                      <c15:f>Frontend!$BS$31</c15:f>
                      <c15:dlblFieldTableCache>
                        <c:ptCount val="1"/>
                      </c15:dlblFieldTableCache>
                    </c15:dlblFTEntry>
                  </c15:dlblFieldTable>
                  <c15:showDataLabelsRange val="0"/>
                </c:ext>
                <c:ext xmlns:c16="http://schemas.microsoft.com/office/drawing/2014/chart" uri="{C3380CC4-5D6E-409C-BE32-E72D297353CC}">
                  <c16:uniqueId val="{0000013C-504C-421D-AE36-2B15419FE06E}"/>
                </c:ext>
              </c:extLst>
            </c:dLbl>
            <c:dLbl>
              <c:idx val="22"/>
              <c:tx>
                <c:strRef>
                  <c:f>Frontend!$BS$32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{EE4BB922-1010-48A4-B827-C61171D26086}</c15:txfldGUID>
                      <c15:f>Frontend!$BS$32</c15:f>
                      <c15:dlblFieldTableCache>
                        <c:ptCount val="1"/>
                      </c15:dlblFieldTableCache>
                    </c15:dlblFTEntry>
                  </c15:dlblFieldTable>
                  <c15:showDataLabelsRange val="0"/>
                </c:ext>
                <c:ext xmlns:c16="http://schemas.microsoft.com/office/drawing/2014/chart" uri="{C3380CC4-5D6E-409C-BE32-E72D297353CC}">
                  <c16:uniqueId val="{0000013D-504C-421D-AE36-2B15419FE06E}"/>
                </c:ext>
              </c:extLst>
            </c:dLbl>
            <c:dLbl>
              <c:idx val="23"/>
              <c:tx>
                <c:strRef>
                  <c:f>Frontend!$BS$33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{B01F9320-2A35-46C6-8E1A-9A6B27A21FC3}</c15:txfldGUID>
                      <c15:f>Frontend!$BS$33</c15:f>
                      <c15:dlblFieldTableCache>
                        <c:ptCount val="1"/>
                      </c15:dlblFieldTableCache>
                    </c15:dlblFTEntry>
                  </c15:dlblFieldTable>
                  <c15:showDataLabelsRange val="0"/>
                </c:ext>
                <c:ext xmlns:c16="http://schemas.microsoft.com/office/drawing/2014/chart" uri="{C3380CC4-5D6E-409C-BE32-E72D297353CC}">
                  <c16:uniqueId val="{0000013E-504C-421D-AE36-2B15419FE06E}"/>
                </c:ext>
              </c:extLst>
            </c:dLbl>
            <c:dLbl>
              <c:idx val="24"/>
              <c:tx>
                <c:strRef>
                  <c:f>Frontend!$BS$34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{350288D0-D2E3-4295-8E1B-DD88F449C607}</c15:txfldGUID>
                      <c15:f>Frontend!$BS$34</c15:f>
                      <c15:dlblFieldTableCache>
                        <c:ptCount val="1"/>
                      </c15:dlblFieldTableCache>
                    </c15:dlblFTEntry>
                  </c15:dlblFieldTable>
                  <c15:showDataLabelsRange val="0"/>
                </c:ext>
                <c:ext xmlns:c16="http://schemas.microsoft.com/office/drawing/2014/chart" uri="{C3380CC4-5D6E-409C-BE32-E72D297353CC}">
                  <c16:uniqueId val="{0000013F-504C-421D-AE36-2B15419FE06E}"/>
                </c:ext>
              </c:extLst>
            </c:dLbl>
            <c:dLbl>
              <c:idx val="25"/>
              <c:tx>
                <c:strRef>
                  <c:f>Frontend!$BS$35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{D9FB24D0-8412-42CD-BA45-C94BC900A2C5}</c15:txfldGUID>
                      <c15:f>Frontend!$BS$35</c15:f>
                      <c15:dlblFieldTableCache>
                        <c:ptCount val="1"/>
                      </c15:dlblFieldTableCache>
                    </c15:dlblFTEntry>
                  </c15:dlblFieldTable>
                  <c15:showDataLabelsRange val="0"/>
                </c:ext>
                <c:ext xmlns:c16="http://schemas.microsoft.com/office/drawing/2014/chart" uri="{C3380CC4-5D6E-409C-BE32-E72D297353CC}">
                  <c16:uniqueId val="{00000140-504C-421D-AE36-2B15419FE06E}"/>
                </c:ext>
              </c:extLst>
            </c:dLbl>
            <c:dLbl>
              <c:idx val="26"/>
              <c:tx>
                <c:strRef>
                  <c:f>Frontend!$BS$36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{1E0B1B6A-DA5B-49BE-8CB6-304AA6785405}</c15:txfldGUID>
                      <c15:f>Frontend!$BS$36</c15:f>
                      <c15:dlblFieldTableCache>
                        <c:ptCount val="1"/>
                      </c15:dlblFieldTableCache>
                    </c15:dlblFTEntry>
                  </c15:dlblFieldTable>
                  <c15:showDataLabelsRange val="0"/>
                </c:ext>
                <c:ext xmlns:c16="http://schemas.microsoft.com/office/drawing/2014/chart" uri="{C3380CC4-5D6E-409C-BE32-E72D297353CC}">
                  <c16:uniqueId val="{00000141-504C-421D-AE36-2B15419FE06E}"/>
                </c:ext>
              </c:extLst>
            </c:dLbl>
            <c:dLbl>
              <c:idx val="27"/>
              <c:tx>
                <c:strRef>
                  <c:f>Frontend!$BS$37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{B77B3EC4-1BE7-41E6-BC71-7139416669A0}</c15:txfldGUID>
                      <c15:f>Frontend!$BS$37</c15:f>
                      <c15:dlblFieldTableCache>
                        <c:ptCount val="1"/>
                      </c15:dlblFieldTableCache>
                    </c15:dlblFTEntry>
                  </c15:dlblFieldTable>
                  <c15:showDataLabelsRange val="0"/>
                </c:ext>
                <c:ext xmlns:c16="http://schemas.microsoft.com/office/drawing/2014/chart" uri="{C3380CC4-5D6E-409C-BE32-E72D297353CC}">
                  <c16:uniqueId val="{00000142-504C-421D-AE36-2B15419FE06E}"/>
                </c:ext>
              </c:extLst>
            </c:dLbl>
            <c:dLbl>
              <c:idx val="28"/>
              <c:tx>
                <c:strRef>
                  <c:f>Frontend!$BS$38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{AADC2ADA-00DA-4681-B8E4-907A2A127ADD}</c15:txfldGUID>
                      <c15:f>Frontend!$BS$38</c15:f>
                      <c15:dlblFieldTableCache>
                        <c:ptCount val="1"/>
                      </c15:dlblFieldTableCache>
                    </c15:dlblFTEntry>
                  </c15:dlblFieldTable>
                  <c15:showDataLabelsRange val="0"/>
                </c:ext>
                <c:ext xmlns:c16="http://schemas.microsoft.com/office/drawing/2014/chart" uri="{C3380CC4-5D6E-409C-BE32-E72D297353CC}">
                  <c16:uniqueId val="{00000143-504C-421D-AE36-2B15419FE06E}"/>
                </c:ext>
              </c:extLst>
            </c:dLbl>
            <c:dLbl>
              <c:idx val="29"/>
              <c:tx>
                <c:strRef>
                  <c:f>Frontend!$BS$39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{70D58246-E1A1-4D4B-956F-53CDD653464F}</c15:txfldGUID>
                      <c15:f>Frontend!$BS$39</c15:f>
                      <c15:dlblFieldTableCache>
                        <c:ptCount val="1"/>
                      </c15:dlblFieldTableCache>
                    </c15:dlblFTEntry>
                  </c15:dlblFieldTable>
                  <c15:showDataLabelsRange val="0"/>
                </c:ext>
                <c:ext xmlns:c16="http://schemas.microsoft.com/office/drawing/2014/chart" uri="{C3380CC4-5D6E-409C-BE32-E72D297353CC}">
                  <c16:uniqueId val="{00000144-504C-421D-AE36-2B15419FE06E}"/>
                </c:ext>
              </c:extLst>
            </c:dLbl>
            <c:dLbl>
              <c:idx val="30"/>
              <c:tx>
                <c:strRef>
                  <c:f>Frontend!$BS$40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{CB56F013-3AB2-4D43-A760-42643D2E9F30}</c15:txfldGUID>
                      <c15:f>Frontend!$BS$40</c15:f>
                      <c15:dlblFieldTableCache>
                        <c:ptCount val="1"/>
                      </c15:dlblFieldTableCache>
                    </c15:dlblFTEntry>
                  </c15:dlblFieldTable>
                  <c15:showDataLabelsRange val="0"/>
                </c:ext>
                <c:ext xmlns:c16="http://schemas.microsoft.com/office/drawing/2014/chart" uri="{C3380CC4-5D6E-409C-BE32-E72D297353CC}">
                  <c16:uniqueId val="{00000145-504C-421D-AE36-2B15419FE06E}"/>
                </c:ext>
              </c:extLst>
            </c:dLbl>
            <c:dLbl>
              <c:idx val="31"/>
              <c:tx>
                <c:strRef>
                  <c:f>Frontend!$BS$41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{C136948B-A02F-4FE5-9224-AC33A21FEBCD}</c15:txfldGUID>
                      <c15:f>Frontend!$BS$41</c15:f>
                      <c15:dlblFieldTableCache>
                        <c:ptCount val="1"/>
                      </c15:dlblFieldTableCache>
                    </c15:dlblFTEntry>
                  </c15:dlblFieldTable>
                  <c15:showDataLabelsRange val="0"/>
                </c:ext>
                <c:ext xmlns:c16="http://schemas.microsoft.com/office/drawing/2014/chart" uri="{C3380CC4-5D6E-409C-BE32-E72D297353CC}">
                  <c16:uniqueId val="{00000146-504C-421D-AE36-2B15419FE06E}"/>
                </c:ext>
              </c:extLst>
            </c:dLbl>
            <c:dLbl>
              <c:idx val="32"/>
              <c:tx>
                <c:strRef>
                  <c:f>Frontend!$BS$42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{F7183D41-7CF3-4DCB-9A50-FE77A93B3ABE}</c15:txfldGUID>
                      <c15:f>Frontend!$BS$42</c15:f>
                      <c15:dlblFieldTableCache>
                        <c:ptCount val="1"/>
                      </c15:dlblFieldTableCache>
                    </c15:dlblFTEntry>
                  </c15:dlblFieldTable>
                  <c15:showDataLabelsRange val="0"/>
                </c:ext>
                <c:ext xmlns:c16="http://schemas.microsoft.com/office/drawing/2014/chart" uri="{C3380CC4-5D6E-409C-BE32-E72D297353CC}">
                  <c16:uniqueId val="{00000147-504C-421D-AE36-2B15419FE06E}"/>
                </c:ext>
              </c:extLst>
            </c:dLbl>
            <c:dLbl>
              <c:idx val="33"/>
              <c:tx>
                <c:strRef>
                  <c:f>Frontend!$BS$43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{E54461CD-5E76-4621-A7D3-FA895BDD10DE}</c15:txfldGUID>
                      <c15:f>Frontend!$BS$43</c15:f>
                      <c15:dlblFieldTableCache>
                        <c:ptCount val="1"/>
                      </c15:dlblFieldTableCache>
                    </c15:dlblFTEntry>
                  </c15:dlblFieldTable>
                  <c15:showDataLabelsRange val="0"/>
                </c:ext>
                <c:ext xmlns:c16="http://schemas.microsoft.com/office/drawing/2014/chart" uri="{C3380CC4-5D6E-409C-BE32-E72D297353CC}">
                  <c16:uniqueId val="{00000148-504C-421D-AE36-2B15419FE06E}"/>
                </c:ext>
              </c:extLst>
            </c:dLbl>
            <c:dLbl>
              <c:idx val="34"/>
              <c:tx>
                <c:strRef>
                  <c:f>Frontend!$BS$44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{2F69176C-E70C-41EE-8EBC-57B0A8B280B9}</c15:txfldGUID>
                      <c15:f>Frontend!$BS$44</c15:f>
                      <c15:dlblFieldTableCache>
                        <c:ptCount val="1"/>
                      </c15:dlblFieldTableCache>
                    </c15:dlblFTEntry>
                  </c15:dlblFieldTable>
                  <c15:showDataLabelsRange val="0"/>
                </c:ext>
                <c:ext xmlns:c16="http://schemas.microsoft.com/office/drawing/2014/chart" uri="{C3380CC4-5D6E-409C-BE32-E72D297353CC}">
                  <c16:uniqueId val="{00000149-504C-421D-AE36-2B15419FE06E}"/>
                </c:ext>
              </c:extLst>
            </c:dLbl>
            <c:dLbl>
              <c:idx val="35"/>
              <c:tx>
                <c:strRef>
                  <c:f>Frontend!$BS$45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{C5A22A06-AD11-480D-9E33-8577EBA4CFAB}</c15:txfldGUID>
                      <c15:f>Frontend!$BS$45</c15:f>
                      <c15:dlblFieldTableCache>
                        <c:ptCount val="1"/>
                      </c15:dlblFieldTableCache>
                    </c15:dlblFTEntry>
                  </c15:dlblFieldTable>
                  <c15:showDataLabelsRange val="0"/>
                </c:ext>
                <c:ext xmlns:c16="http://schemas.microsoft.com/office/drawing/2014/chart" uri="{C3380CC4-5D6E-409C-BE32-E72D297353CC}">
                  <c16:uniqueId val="{0000014A-504C-421D-AE36-2B15419FE06E}"/>
                </c:ext>
              </c:extLst>
            </c:dLbl>
            <c:dLbl>
              <c:idx val="36"/>
              <c:tx>
                <c:strRef>
                  <c:f>Frontend!$BS$46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{5AA6D7A5-2347-42FB-9DDA-54FA63608CAC}</c15:txfldGUID>
                      <c15:f>Frontend!$BS$46</c15:f>
                      <c15:dlblFieldTableCache>
                        <c:ptCount val="1"/>
                      </c15:dlblFieldTableCache>
                    </c15:dlblFTEntry>
                  </c15:dlblFieldTable>
                  <c15:showDataLabelsRange val="0"/>
                </c:ext>
                <c:ext xmlns:c16="http://schemas.microsoft.com/office/drawing/2014/chart" uri="{C3380CC4-5D6E-409C-BE32-E72D297353CC}">
                  <c16:uniqueId val="{0000014B-504C-421D-AE36-2B15419FE06E}"/>
                </c:ext>
              </c:extLst>
            </c:dLbl>
            <c:dLbl>
              <c:idx val="37"/>
              <c:tx>
                <c:strRef>
                  <c:f>Frontend!$BS$47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{7BF0628E-B773-481D-8D59-9FF692E38FEA}</c15:txfldGUID>
                      <c15:f>Frontend!$BS$47</c15:f>
                      <c15:dlblFieldTableCache>
                        <c:ptCount val="1"/>
                      </c15:dlblFieldTableCache>
                    </c15:dlblFTEntry>
                  </c15:dlblFieldTable>
                  <c15:showDataLabelsRange val="0"/>
                </c:ext>
                <c:ext xmlns:c16="http://schemas.microsoft.com/office/drawing/2014/chart" uri="{C3380CC4-5D6E-409C-BE32-E72D297353CC}">
                  <c16:uniqueId val="{0000014C-504C-421D-AE36-2B15419FE06E}"/>
                </c:ext>
              </c:extLst>
            </c:dLbl>
            <c:dLbl>
              <c:idx val="38"/>
              <c:tx>
                <c:strRef>
                  <c:f>Frontend!$BS$48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{3A2FDF82-ECCC-49DC-8663-358F51F846FD}</c15:txfldGUID>
                      <c15:f>Frontend!$BS$48</c15:f>
                      <c15:dlblFieldTableCache>
                        <c:ptCount val="1"/>
                      </c15:dlblFieldTableCache>
                    </c15:dlblFTEntry>
                  </c15:dlblFieldTable>
                  <c15:showDataLabelsRange val="0"/>
                </c:ext>
                <c:ext xmlns:c16="http://schemas.microsoft.com/office/drawing/2014/chart" uri="{C3380CC4-5D6E-409C-BE32-E72D297353CC}">
                  <c16:uniqueId val="{0000014D-504C-421D-AE36-2B15419FE06E}"/>
                </c:ext>
              </c:extLst>
            </c:dLbl>
            <c:dLbl>
              <c:idx val="39"/>
              <c:tx>
                <c:strRef>
                  <c:f>Frontend!$BS$49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{DBF75A8D-4981-44CF-BA8B-343406EA5187}</c15:txfldGUID>
                      <c15:f>Frontend!$BS$49</c15:f>
                      <c15:dlblFieldTableCache>
                        <c:ptCount val="1"/>
                      </c15:dlblFieldTableCache>
                    </c15:dlblFTEntry>
                  </c15:dlblFieldTable>
                  <c15:showDataLabelsRange val="0"/>
                </c:ext>
                <c:ext xmlns:c16="http://schemas.microsoft.com/office/drawing/2014/chart" uri="{C3380CC4-5D6E-409C-BE32-E72D297353CC}">
                  <c16:uniqueId val="{0000014E-504C-421D-AE36-2B15419FE06E}"/>
                </c:ext>
              </c:extLst>
            </c:dLbl>
            <c:dLbl>
              <c:idx val="40"/>
              <c:tx>
                <c:strRef>
                  <c:f>Frontend!$BS$50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{489D55C2-C6B5-4348-9DA2-3E3F570A9F82}</c15:txfldGUID>
                      <c15:f>Frontend!$BS$50</c15:f>
                      <c15:dlblFieldTableCache>
                        <c:ptCount val="1"/>
                      </c15:dlblFieldTableCache>
                    </c15:dlblFTEntry>
                  </c15:dlblFieldTable>
                  <c15:showDataLabelsRange val="0"/>
                </c:ext>
                <c:ext xmlns:c16="http://schemas.microsoft.com/office/drawing/2014/chart" uri="{C3380CC4-5D6E-409C-BE32-E72D297353CC}">
                  <c16:uniqueId val="{0000014F-504C-421D-AE36-2B15419FE06E}"/>
                </c:ext>
              </c:extLst>
            </c:dLbl>
            <c:dLbl>
              <c:idx val="41"/>
              <c:tx>
                <c:strRef>
                  <c:f>Frontend!$BS$51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{1274C25F-7229-4696-AE4E-8FFCC7CD8052}</c15:txfldGUID>
                      <c15:f>Frontend!$BS$51</c15:f>
                      <c15:dlblFieldTableCache>
                        <c:ptCount val="1"/>
                      </c15:dlblFieldTableCache>
                    </c15:dlblFTEntry>
                  </c15:dlblFieldTable>
                  <c15:showDataLabelsRange val="0"/>
                </c:ext>
                <c:ext xmlns:c16="http://schemas.microsoft.com/office/drawing/2014/chart" uri="{C3380CC4-5D6E-409C-BE32-E72D297353CC}">
                  <c16:uniqueId val="{00000150-504C-421D-AE36-2B15419FE06E}"/>
                </c:ext>
              </c:extLst>
            </c:dLbl>
            <c:dLbl>
              <c:idx val="42"/>
              <c:tx>
                <c:strRef>
                  <c:f>Frontend!$BS$52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{57E2D95A-6335-462A-AEDB-26C252D18EDC}</c15:txfldGUID>
                      <c15:f>Frontend!$BS$52</c15:f>
                      <c15:dlblFieldTableCache>
                        <c:ptCount val="1"/>
                      </c15:dlblFieldTableCache>
                    </c15:dlblFTEntry>
                  </c15:dlblFieldTable>
                  <c15:showDataLabelsRange val="0"/>
                </c:ext>
                <c:ext xmlns:c16="http://schemas.microsoft.com/office/drawing/2014/chart" uri="{C3380CC4-5D6E-409C-BE32-E72D297353CC}">
                  <c16:uniqueId val="{00000151-504C-421D-AE36-2B15419FE06E}"/>
                </c:ext>
              </c:extLst>
            </c:dLbl>
            <c:dLbl>
              <c:idx val="43"/>
              <c:tx>
                <c:strRef>
                  <c:f>Frontend!$BS$53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{4C593691-E079-4572-9E44-FF22733F6DED}</c15:txfldGUID>
                      <c15:f>Frontend!$BS$53</c15:f>
                      <c15:dlblFieldTableCache>
                        <c:ptCount val="1"/>
                      </c15:dlblFieldTableCache>
                    </c15:dlblFTEntry>
                  </c15:dlblFieldTable>
                  <c15:showDataLabelsRange val="0"/>
                </c:ext>
                <c:ext xmlns:c16="http://schemas.microsoft.com/office/drawing/2014/chart" uri="{C3380CC4-5D6E-409C-BE32-E72D297353CC}">
                  <c16:uniqueId val="{00000152-504C-421D-AE36-2B15419FE06E}"/>
                </c:ext>
              </c:extLst>
            </c:dLbl>
            <c:dLbl>
              <c:idx val="44"/>
              <c:tx>
                <c:strRef>
                  <c:f>Frontend!$BS$54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{D99AD189-9AD9-4FA4-9185-F419A083808F}</c15:txfldGUID>
                      <c15:f>Frontend!$BS$54</c15:f>
                      <c15:dlblFieldTableCache>
                        <c:ptCount val="1"/>
                      </c15:dlblFieldTableCache>
                    </c15:dlblFTEntry>
                  </c15:dlblFieldTable>
                  <c15:showDataLabelsRange val="0"/>
                </c:ext>
                <c:ext xmlns:c16="http://schemas.microsoft.com/office/drawing/2014/chart" uri="{C3380CC4-5D6E-409C-BE32-E72D297353CC}">
                  <c16:uniqueId val="{00000153-504C-421D-AE36-2B15419FE06E}"/>
                </c:ext>
              </c:extLst>
            </c:dLbl>
            <c:dLbl>
              <c:idx val="45"/>
              <c:tx>
                <c:strRef>
                  <c:f>Frontend!$BS$55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{16758EC3-91A8-433B-8606-74C011203CA9}</c15:txfldGUID>
                      <c15:f>Frontend!$BS$55</c15:f>
                      <c15:dlblFieldTableCache>
                        <c:ptCount val="1"/>
                      </c15:dlblFieldTableCache>
                    </c15:dlblFTEntry>
                  </c15:dlblFieldTable>
                  <c15:showDataLabelsRange val="0"/>
                </c:ext>
                <c:ext xmlns:c16="http://schemas.microsoft.com/office/drawing/2014/chart" uri="{C3380CC4-5D6E-409C-BE32-E72D297353CC}">
                  <c16:uniqueId val="{00000154-504C-421D-AE36-2B15419FE06E}"/>
                </c:ext>
              </c:extLst>
            </c:dLbl>
            <c:dLbl>
              <c:idx val="46"/>
              <c:tx>
                <c:strRef>
                  <c:f>Frontend!$BS$56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{88388D13-F9F3-43C7-9E31-2751DAF9FDFE}</c15:txfldGUID>
                      <c15:f>Frontend!$BS$56</c15:f>
                      <c15:dlblFieldTableCache>
                        <c:ptCount val="1"/>
                      </c15:dlblFieldTableCache>
                    </c15:dlblFTEntry>
                  </c15:dlblFieldTable>
                  <c15:showDataLabelsRange val="0"/>
                </c:ext>
                <c:ext xmlns:c16="http://schemas.microsoft.com/office/drawing/2014/chart" uri="{C3380CC4-5D6E-409C-BE32-E72D297353CC}">
                  <c16:uniqueId val="{00000155-504C-421D-AE36-2B15419FE06E}"/>
                </c:ext>
              </c:extLst>
            </c:dLbl>
            <c:dLbl>
              <c:idx val="47"/>
              <c:tx>
                <c:strRef>
                  <c:f>Frontend!$BS$57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{8AA9263C-35BC-4D5B-B516-E15A0CADDF43}</c15:txfldGUID>
                      <c15:f>Frontend!$BS$57</c15:f>
                      <c15:dlblFieldTableCache>
                        <c:ptCount val="1"/>
                      </c15:dlblFieldTableCache>
                    </c15:dlblFTEntry>
                  </c15:dlblFieldTable>
                  <c15:showDataLabelsRange val="0"/>
                </c:ext>
                <c:ext xmlns:c16="http://schemas.microsoft.com/office/drawing/2014/chart" uri="{C3380CC4-5D6E-409C-BE32-E72D297353CC}">
                  <c16:uniqueId val="{00000156-504C-421D-AE36-2B15419FE06E}"/>
                </c:ext>
              </c:extLst>
            </c:dLbl>
            <c:dLbl>
              <c:idx val="48"/>
              <c:tx>
                <c:strRef>
                  <c:f>Frontend!$BS$58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{8345C917-07C1-470D-B5E1-B18F10C51826}</c15:txfldGUID>
                      <c15:f>Frontend!$BS$58</c15:f>
                      <c15:dlblFieldTableCache>
                        <c:ptCount val="1"/>
                      </c15:dlblFieldTableCache>
                    </c15:dlblFTEntry>
                  </c15:dlblFieldTable>
                  <c15:showDataLabelsRange val="0"/>
                </c:ext>
                <c:ext xmlns:c16="http://schemas.microsoft.com/office/drawing/2014/chart" uri="{C3380CC4-5D6E-409C-BE32-E72D297353CC}">
                  <c16:uniqueId val="{00000157-504C-421D-AE36-2B15419FE06E}"/>
                </c:ext>
              </c:extLst>
            </c:dLbl>
            <c:dLbl>
              <c:idx val="49"/>
              <c:tx>
                <c:strRef>
                  <c:f>Frontend!$BS$59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{696FAA67-A47F-4E81-90A4-30225BFC3A6B}</c15:txfldGUID>
                      <c15:f>Frontend!$BS$59</c15:f>
                      <c15:dlblFieldTableCache>
                        <c:ptCount val="1"/>
                      </c15:dlblFieldTableCache>
                    </c15:dlblFTEntry>
                  </c15:dlblFieldTable>
                  <c15:showDataLabelsRange val="0"/>
                </c:ext>
                <c:ext xmlns:c16="http://schemas.microsoft.com/office/drawing/2014/chart" uri="{C3380CC4-5D6E-409C-BE32-E72D297353CC}">
                  <c16:uniqueId val="{00000158-504C-421D-AE36-2B15419FE06E}"/>
                </c:ext>
              </c:extLst>
            </c:dLbl>
            <c:dLbl>
              <c:idx val="50"/>
              <c:tx>
                <c:strRef>
                  <c:f>Frontend!$BS$60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{3075CAA7-9916-416F-8EE3-EF755B1B388B}</c15:txfldGUID>
                      <c15:f>Frontend!$BS$60</c15:f>
                      <c15:dlblFieldTableCache>
                        <c:ptCount val="1"/>
                      </c15:dlblFieldTableCache>
                    </c15:dlblFTEntry>
                  </c15:dlblFieldTable>
                  <c15:showDataLabelsRange val="0"/>
                </c:ext>
                <c:ext xmlns:c16="http://schemas.microsoft.com/office/drawing/2014/chart" uri="{C3380CC4-5D6E-409C-BE32-E72D297353CC}">
                  <c16:uniqueId val="{00000159-504C-421D-AE36-2B15419FE06E}"/>
                </c:ext>
              </c:extLst>
            </c:dLbl>
            <c:dLbl>
              <c:idx val="51"/>
              <c:tx>
                <c:strRef>
                  <c:f>Frontend!$BS$61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{AEF6A9F3-31BD-4642-A767-E14791725E64}</c15:txfldGUID>
                      <c15:f>Frontend!$BS$61</c15:f>
                      <c15:dlblFieldTableCache>
                        <c:ptCount val="1"/>
                      </c15:dlblFieldTableCache>
                    </c15:dlblFTEntry>
                  </c15:dlblFieldTable>
                  <c15:showDataLabelsRange val="0"/>
                </c:ext>
                <c:ext xmlns:c16="http://schemas.microsoft.com/office/drawing/2014/chart" uri="{C3380CC4-5D6E-409C-BE32-E72D297353CC}">
                  <c16:uniqueId val="{0000015A-504C-421D-AE36-2B15419FE06E}"/>
                </c:ext>
              </c:extLst>
            </c:dLbl>
            <c:dLbl>
              <c:idx val="52"/>
              <c:tx>
                <c:strRef>
                  <c:f>Frontend!$BS$62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{F7D8C4A6-E8E2-4BB1-916D-2A521D38C25E}</c15:txfldGUID>
                      <c15:f>Frontend!$BS$62</c15:f>
                      <c15:dlblFieldTableCache>
                        <c:ptCount val="1"/>
                      </c15:dlblFieldTableCache>
                    </c15:dlblFTEntry>
                  </c15:dlblFieldTable>
                  <c15:showDataLabelsRange val="0"/>
                </c:ext>
                <c:ext xmlns:c16="http://schemas.microsoft.com/office/drawing/2014/chart" uri="{C3380CC4-5D6E-409C-BE32-E72D297353CC}">
                  <c16:uniqueId val="{0000015B-504C-421D-AE36-2B15419FE06E}"/>
                </c:ext>
              </c:extLst>
            </c:dLbl>
            <c:dLbl>
              <c:idx val="53"/>
              <c:tx>
                <c:strRef>
                  <c:f>Frontend!$BS$63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{2111D348-9F12-44ED-90E2-5055BFA84549}</c15:txfldGUID>
                      <c15:f>Frontend!$BS$63</c15:f>
                      <c15:dlblFieldTableCache>
                        <c:ptCount val="1"/>
                      </c15:dlblFieldTableCache>
                    </c15:dlblFTEntry>
                  </c15:dlblFieldTable>
                  <c15:showDataLabelsRange val="0"/>
                </c:ext>
                <c:ext xmlns:c16="http://schemas.microsoft.com/office/drawing/2014/chart" uri="{C3380CC4-5D6E-409C-BE32-E72D297353CC}">
                  <c16:uniqueId val="{0000015C-504C-421D-AE36-2B15419FE06E}"/>
                </c:ext>
              </c:extLst>
            </c:dLbl>
            <c:dLbl>
              <c:idx val="54"/>
              <c:tx>
                <c:strRef>
                  <c:f>Frontend!$BS$64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{20AF20A3-8C07-435E-984C-E5C4FF90A6B2}</c15:txfldGUID>
                      <c15:f>Frontend!$BS$64</c15:f>
                      <c15:dlblFieldTableCache>
                        <c:ptCount val="1"/>
                      </c15:dlblFieldTableCache>
                    </c15:dlblFTEntry>
                  </c15:dlblFieldTable>
                  <c15:showDataLabelsRange val="0"/>
                </c:ext>
                <c:ext xmlns:c16="http://schemas.microsoft.com/office/drawing/2014/chart" uri="{C3380CC4-5D6E-409C-BE32-E72D297353CC}">
                  <c16:uniqueId val="{0000015D-504C-421D-AE36-2B15419FE06E}"/>
                </c:ext>
              </c:extLst>
            </c:dLbl>
            <c:dLbl>
              <c:idx val="55"/>
              <c:tx>
                <c:strRef>
                  <c:f>Frontend!$BS$65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{41BBC60B-6257-4C21-87AF-CAE8B8571BF7}</c15:txfldGUID>
                      <c15:f>Frontend!$BS$65</c15:f>
                      <c15:dlblFieldTableCache>
                        <c:ptCount val="1"/>
                      </c15:dlblFieldTableCache>
                    </c15:dlblFTEntry>
                  </c15:dlblFieldTable>
                  <c15:showDataLabelsRange val="0"/>
                </c:ext>
                <c:ext xmlns:c16="http://schemas.microsoft.com/office/drawing/2014/chart" uri="{C3380CC4-5D6E-409C-BE32-E72D297353CC}">
                  <c16:uniqueId val="{0000015E-504C-421D-AE36-2B15419FE06E}"/>
                </c:ext>
              </c:extLst>
            </c:dLbl>
            <c:dLbl>
              <c:idx val="56"/>
              <c:tx>
                <c:strRef>
                  <c:f>Frontend!$BS$66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{72C1C4AE-DD8F-45B4-BC2B-DBC647E81A9A}</c15:txfldGUID>
                      <c15:f>Frontend!$BS$66</c15:f>
                      <c15:dlblFieldTableCache>
                        <c:ptCount val="1"/>
                      </c15:dlblFieldTableCache>
                    </c15:dlblFTEntry>
                  </c15:dlblFieldTable>
                  <c15:showDataLabelsRange val="0"/>
                </c:ext>
                <c:ext xmlns:c16="http://schemas.microsoft.com/office/drawing/2014/chart" uri="{C3380CC4-5D6E-409C-BE32-E72D297353CC}">
                  <c16:uniqueId val="{0000015F-504C-421D-AE36-2B15419FE06E}"/>
                </c:ext>
              </c:extLst>
            </c:dLbl>
            <c:dLbl>
              <c:idx val="57"/>
              <c:tx>
                <c:strRef>
                  <c:f>Frontend!$BS$67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{11B645C0-C625-403B-8169-9B043E058172}</c15:txfldGUID>
                      <c15:f>Frontend!$BS$67</c15:f>
                      <c15:dlblFieldTableCache>
                        <c:ptCount val="1"/>
                      </c15:dlblFieldTableCache>
                    </c15:dlblFTEntry>
                  </c15:dlblFieldTable>
                  <c15:showDataLabelsRange val="0"/>
                </c:ext>
                <c:ext xmlns:c16="http://schemas.microsoft.com/office/drawing/2014/chart" uri="{C3380CC4-5D6E-409C-BE32-E72D297353CC}">
                  <c16:uniqueId val="{00000160-504C-421D-AE36-2B15419FE06E}"/>
                </c:ext>
              </c:extLst>
            </c:dLbl>
            <c:dLbl>
              <c:idx val="58"/>
              <c:tx>
                <c:strRef>
                  <c:f>Frontend!$BS$68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{529BA82B-EBB3-4124-9900-8C1559278641}</c15:txfldGUID>
                      <c15:f>Frontend!$BS$68</c15:f>
                      <c15:dlblFieldTableCache>
                        <c:ptCount val="1"/>
                      </c15:dlblFieldTableCache>
                    </c15:dlblFTEntry>
                  </c15:dlblFieldTable>
                  <c15:showDataLabelsRange val="0"/>
                </c:ext>
                <c:ext xmlns:c16="http://schemas.microsoft.com/office/drawing/2014/chart" uri="{C3380CC4-5D6E-409C-BE32-E72D297353CC}">
                  <c16:uniqueId val="{00000161-504C-421D-AE36-2B15419FE06E}"/>
                </c:ext>
              </c:extLst>
            </c:dLbl>
            <c:dLbl>
              <c:idx val="59"/>
              <c:tx>
                <c:strRef>
                  <c:f>Frontend!$BS$69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{2A28970A-9B3C-4C89-BB9D-0A8F6148BE61}</c15:txfldGUID>
                      <c15:f>Frontend!$BS$69</c15:f>
                      <c15:dlblFieldTableCache>
                        <c:ptCount val="1"/>
                      </c15:dlblFieldTableCache>
                    </c15:dlblFTEntry>
                  </c15:dlblFieldTable>
                  <c15:showDataLabelsRange val="0"/>
                </c:ext>
                <c:ext xmlns:c16="http://schemas.microsoft.com/office/drawing/2014/chart" uri="{C3380CC4-5D6E-409C-BE32-E72D297353CC}">
                  <c16:uniqueId val="{00000162-504C-421D-AE36-2B15419FE06E}"/>
                </c:ext>
              </c:extLst>
            </c:dLbl>
            <c:dLbl>
              <c:idx val="60"/>
              <c:tx>
                <c:strRef>
                  <c:f>Frontend!$BS$70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{4590EC0C-735C-477B-8726-AF1394C8E067}</c15:txfldGUID>
                      <c15:f>Frontend!$BS$70</c15:f>
                      <c15:dlblFieldTableCache>
                        <c:ptCount val="1"/>
                      </c15:dlblFieldTableCache>
                    </c15:dlblFTEntry>
                  </c15:dlblFieldTable>
                  <c15:showDataLabelsRange val="0"/>
                </c:ext>
                <c:ext xmlns:c16="http://schemas.microsoft.com/office/drawing/2014/chart" uri="{C3380CC4-5D6E-409C-BE32-E72D297353CC}">
                  <c16:uniqueId val="{00000163-504C-421D-AE36-2B15419FE06E}"/>
                </c:ext>
              </c:extLst>
            </c:dLbl>
            <c:dLbl>
              <c:idx val="61"/>
              <c:tx>
                <c:strRef>
                  <c:f>Frontend!$BS$71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{6606B4BF-9EC3-475B-B952-993FF344905C}</c15:txfldGUID>
                      <c15:f>Frontend!$BS$71</c15:f>
                      <c15:dlblFieldTableCache>
                        <c:ptCount val="1"/>
                      </c15:dlblFieldTableCache>
                    </c15:dlblFTEntry>
                  </c15:dlblFieldTable>
                  <c15:showDataLabelsRange val="0"/>
                </c:ext>
                <c:ext xmlns:c16="http://schemas.microsoft.com/office/drawing/2014/chart" uri="{C3380CC4-5D6E-409C-BE32-E72D297353CC}">
                  <c16:uniqueId val="{00000164-504C-421D-AE36-2B15419FE06E}"/>
                </c:ext>
              </c:extLst>
            </c:dLbl>
            <c:dLbl>
              <c:idx val="62"/>
              <c:tx>
                <c:strRef>
                  <c:f>Frontend!$BS$72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{8F223331-7E8D-460B-BAF1-11EE286C4DBE}</c15:txfldGUID>
                      <c15:f>Frontend!$BS$72</c15:f>
                      <c15:dlblFieldTableCache>
                        <c:ptCount val="1"/>
                      </c15:dlblFieldTableCache>
                    </c15:dlblFTEntry>
                  </c15:dlblFieldTable>
                  <c15:showDataLabelsRange val="0"/>
                </c:ext>
                <c:ext xmlns:c16="http://schemas.microsoft.com/office/drawing/2014/chart" uri="{C3380CC4-5D6E-409C-BE32-E72D297353CC}">
                  <c16:uniqueId val="{00000165-504C-421D-AE36-2B15419FE06E}"/>
                </c:ext>
              </c:extLst>
            </c:dLbl>
            <c:dLbl>
              <c:idx val="63"/>
              <c:tx>
                <c:strRef>
                  <c:f>Frontend!$BS$73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{3C6E7339-0F9A-4C7D-913D-087A0F2EC9AD}</c15:txfldGUID>
                      <c15:f>Frontend!$BS$73</c15:f>
                      <c15:dlblFieldTableCache>
                        <c:ptCount val="1"/>
                      </c15:dlblFieldTableCache>
                    </c15:dlblFTEntry>
                  </c15:dlblFieldTable>
                  <c15:showDataLabelsRange val="0"/>
                </c:ext>
                <c:ext xmlns:c16="http://schemas.microsoft.com/office/drawing/2014/chart" uri="{C3380CC4-5D6E-409C-BE32-E72D297353CC}">
                  <c16:uniqueId val="{00000166-504C-421D-AE36-2B15419FE06E}"/>
                </c:ext>
              </c:extLst>
            </c:dLbl>
            <c:dLbl>
              <c:idx val="64"/>
              <c:tx>
                <c:strRef>
                  <c:f>Frontend!$BS$74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{39ECC61D-C9A1-4323-80E2-C472ACB714A6}</c15:txfldGUID>
                      <c15:f>Frontend!$BS$74</c15:f>
                      <c15:dlblFieldTableCache>
                        <c:ptCount val="1"/>
                      </c15:dlblFieldTableCache>
                    </c15:dlblFTEntry>
                  </c15:dlblFieldTable>
                  <c15:showDataLabelsRange val="0"/>
                </c:ext>
                <c:ext xmlns:c16="http://schemas.microsoft.com/office/drawing/2014/chart" uri="{C3380CC4-5D6E-409C-BE32-E72D297353CC}">
                  <c16:uniqueId val="{00000167-504C-421D-AE36-2B15419FE06E}"/>
                </c:ext>
              </c:extLst>
            </c:dLbl>
            <c:dLbl>
              <c:idx val="65"/>
              <c:tx>
                <c:strRef>
                  <c:f>Frontend!$BS$75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{CEFB2D43-110D-4BBE-B9E5-AF5F4477FE05}</c15:txfldGUID>
                      <c15:f>Frontend!$BS$75</c15:f>
                      <c15:dlblFieldTableCache>
                        <c:ptCount val="1"/>
                      </c15:dlblFieldTableCache>
                    </c15:dlblFTEntry>
                  </c15:dlblFieldTable>
                  <c15:showDataLabelsRange val="0"/>
                </c:ext>
                <c:ext xmlns:c16="http://schemas.microsoft.com/office/drawing/2014/chart" uri="{C3380CC4-5D6E-409C-BE32-E72D297353CC}">
                  <c16:uniqueId val="{00000168-504C-421D-AE36-2B15419FE06E}"/>
                </c:ext>
              </c:extLst>
            </c:dLbl>
            <c:dLbl>
              <c:idx val="66"/>
              <c:tx>
                <c:strRef>
                  <c:f>Frontend!$BS$76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{4DB46F8F-E6FE-4D10-A359-B8410D6A40EB}</c15:txfldGUID>
                      <c15:f>Frontend!$BS$76</c15:f>
                      <c15:dlblFieldTableCache>
                        <c:ptCount val="1"/>
                      </c15:dlblFieldTableCache>
                    </c15:dlblFTEntry>
                  </c15:dlblFieldTable>
                  <c15:showDataLabelsRange val="0"/>
                </c:ext>
                <c:ext xmlns:c16="http://schemas.microsoft.com/office/drawing/2014/chart" uri="{C3380CC4-5D6E-409C-BE32-E72D297353CC}">
                  <c16:uniqueId val="{00000169-504C-421D-AE36-2B15419FE06E}"/>
                </c:ext>
              </c:extLst>
            </c:dLbl>
            <c:dLbl>
              <c:idx val="67"/>
              <c:tx>
                <c:strRef>
                  <c:f>Frontend!$BS$77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{3194F220-B119-4C40-A9DA-125AC40EB770}</c15:txfldGUID>
                      <c15:f>Frontend!$BS$77</c15:f>
                      <c15:dlblFieldTableCache>
                        <c:ptCount val="1"/>
                      </c15:dlblFieldTableCache>
                    </c15:dlblFTEntry>
                  </c15:dlblFieldTable>
                  <c15:showDataLabelsRange val="0"/>
                </c:ext>
                <c:ext xmlns:c16="http://schemas.microsoft.com/office/drawing/2014/chart" uri="{C3380CC4-5D6E-409C-BE32-E72D297353CC}">
                  <c16:uniqueId val="{0000016A-504C-421D-AE36-2B15419FE06E}"/>
                </c:ext>
              </c:extLst>
            </c:dLbl>
            <c:dLbl>
              <c:idx val="68"/>
              <c:tx>
                <c:strRef>
                  <c:f>Frontend!$BS$78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{6DAF32DB-5224-4B38-9047-09690439E52A}</c15:txfldGUID>
                      <c15:f>Frontend!$BS$78</c15:f>
                      <c15:dlblFieldTableCache>
                        <c:ptCount val="1"/>
                      </c15:dlblFieldTableCache>
                    </c15:dlblFTEntry>
                  </c15:dlblFieldTable>
                  <c15:showDataLabelsRange val="0"/>
                </c:ext>
                <c:ext xmlns:c16="http://schemas.microsoft.com/office/drawing/2014/chart" uri="{C3380CC4-5D6E-409C-BE32-E72D297353CC}">
                  <c16:uniqueId val="{0000016B-504C-421D-AE36-2B15419FE06E}"/>
                </c:ext>
              </c:extLst>
            </c:dLbl>
            <c:dLbl>
              <c:idx val="69"/>
              <c:tx>
                <c:strRef>
                  <c:f>Frontend!$BS$79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{B945B721-7086-4009-B573-263B979062E9}</c15:txfldGUID>
                      <c15:f>Frontend!$BS$79</c15:f>
                      <c15:dlblFieldTableCache>
                        <c:ptCount val="1"/>
                      </c15:dlblFieldTableCache>
                    </c15:dlblFTEntry>
                  </c15:dlblFieldTable>
                  <c15:showDataLabelsRange val="0"/>
                </c:ext>
                <c:ext xmlns:c16="http://schemas.microsoft.com/office/drawing/2014/chart" uri="{C3380CC4-5D6E-409C-BE32-E72D297353CC}">
                  <c16:uniqueId val="{0000016C-504C-421D-AE36-2B15419FE06E}"/>
                </c:ext>
              </c:extLst>
            </c:dLbl>
            <c:dLbl>
              <c:idx val="70"/>
              <c:tx>
                <c:strRef>
                  <c:f>Frontend!$BS$80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{8743FDC2-2A69-42B0-BF05-EB201694E5A6}</c15:txfldGUID>
                      <c15:f>Frontend!$BS$80</c15:f>
                      <c15:dlblFieldTableCache>
                        <c:ptCount val="1"/>
                      </c15:dlblFieldTableCache>
                    </c15:dlblFTEntry>
                  </c15:dlblFieldTable>
                  <c15:showDataLabelsRange val="0"/>
                </c:ext>
                <c:ext xmlns:c16="http://schemas.microsoft.com/office/drawing/2014/chart" uri="{C3380CC4-5D6E-409C-BE32-E72D297353CC}">
                  <c16:uniqueId val="{0000016D-504C-421D-AE36-2B15419FE06E}"/>
                </c:ext>
              </c:extLst>
            </c:dLbl>
            <c:dLbl>
              <c:idx val="71"/>
              <c:tx>
                <c:strRef>
                  <c:f>Frontend!$BS$81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{CEE57B66-5FD6-46DC-92D5-4AAA587568FA}</c15:txfldGUID>
                      <c15:f>Frontend!$BS$81</c15:f>
                      <c15:dlblFieldTableCache>
                        <c:ptCount val="1"/>
                      </c15:dlblFieldTableCache>
                    </c15:dlblFTEntry>
                  </c15:dlblFieldTable>
                  <c15:showDataLabelsRange val="0"/>
                </c:ext>
                <c:ext xmlns:c16="http://schemas.microsoft.com/office/drawing/2014/chart" uri="{C3380CC4-5D6E-409C-BE32-E72D297353CC}">
                  <c16:uniqueId val="{0000016E-504C-421D-AE36-2B15419FE06E}"/>
                </c:ext>
              </c:extLst>
            </c:dLbl>
            <c:dLbl>
              <c:idx val="72"/>
              <c:tx>
                <c:strRef>
                  <c:f>Frontend!$BS$82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{DBAE6FBE-BE03-48CC-9397-0EACA47895EF}</c15:txfldGUID>
                      <c15:f>Frontend!$BS$82</c15:f>
                      <c15:dlblFieldTableCache>
                        <c:ptCount val="1"/>
                      </c15:dlblFieldTableCache>
                    </c15:dlblFTEntry>
                  </c15:dlblFieldTable>
                  <c15:showDataLabelsRange val="0"/>
                </c:ext>
                <c:ext xmlns:c16="http://schemas.microsoft.com/office/drawing/2014/chart" uri="{C3380CC4-5D6E-409C-BE32-E72D297353CC}">
                  <c16:uniqueId val="{0000016F-504C-421D-AE36-2B15419FE06E}"/>
                </c:ext>
              </c:extLst>
            </c:dLbl>
            <c:dLbl>
              <c:idx val="73"/>
              <c:tx>
                <c:strRef>
                  <c:f>Frontend!$BS$83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{421AC379-D9B4-4CA4-BF6D-D0822634E316}</c15:txfldGUID>
                      <c15:f>Frontend!$BS$83</c15:f>
                      <c15:dlblFieldTableCache>
                        <c:ptCount val="1"/>
                      </c15:dlblFieldTableCache>
                    </c15:dlblFTEntry>
                  </c15:dlblFieldTable>
                  <c15:showDataLabelsRange val="0"/>
                </c:ext>
                <c:ext xmlns:c16="http://schemas.microsoft.com/office/drawing/2014/chart" uri="{C3380CC4-5D6E-409C-BE32-E72D297353CC}">
                  <c16:uniqueId val="{00000170-504C-421D-AE36-2B15419FE06E}"/>
                </c:ext>
              </c:extLst>
            </c:dLbl>
            <c:dLbl>
              <c:idx val="74"/>
              <c:tx>
                <c:strRef>
                  <c:f>Frontend!$BS$84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{6989F5E0-E3A2-4F87-A14D-A0C021CD9115}</c15:txfldGUID>
                      <c15:f>Frontend!$BS$84</c15:f>
                      <c15:dlblFieldTableCache>
                        <c:ptCount val="1"/>
                      </c15:dlblFieldTableCache>
                    </c15:dlblFTEntry>
                  </c15:dlblFieldTable>
                  <c15:showDataLabelsRange val="0"/>
                </c:ext>
                <c:ext xmlns:c16="http://schemas.microsoft.com/office/drawing/2014/chart" uri="{C3380CC4-5D6E-409C-BE32-E72D297353CC}">
                  <c16:uniqueId val="{00000171-504C-421D-AE36-2B15419FE06E}"/>
                </c:ext>
              </c:extLst>
            </c:dLbl>
            <c:dLbl>
              <c:idx val="75"/>
              <c:tx>
                <c:strRef>
                  <c:f>Frontend!$BS$85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{F1A821EA-3542-41C8-AE0B-0E528C13C3F5}</c15:txfldGUID>
                      <c15:f>Frontend!$BS$85</c15:f>
                      <c15:dlblFieldTableCache>
                        <c:ptCount val="1"/>
                      </c15:dlblFieldTableCache>
                    </c15:dlblFTEntry>
                  </c15:dlblFieldTable>
                  <c15:showDataLabelsRange val="0"/>
                </c:ext>
                <c:ext xmlns:c16="http://schemas.microsoft.com/office/drawing/2014/chart" uri="{C3380CC4-5D6E-409C-BE32-E72D297353CC}">
                  <c16:uniqueId val="{00000172-504C-421D-AE36-2B15419FE06E}"/>
                </c:ext>
              </c:extLst>
            </c:dLbl>
            <c:dLbl>
              <c:idx val="76"/>
              <c:tx>
                <c:strRef>
                  <c:f>Frontend!$BS$86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{CAA63C0F-F2B6-4999-B601-C54FA1B12236}</c15:txfldGUID>
                      <c15:f>Frontend!$BS$86</c15:f>
                      <c15:dlblFieldTableCache>
                        <c:ptCount val="1"/>
                      </c15:dlblFieldTableCache>
                    </c15:dlblFTEntry>
                  </c15:dlblFieldTable>
                  <c15:showDataLabelsRange val="0"/>
                </c:ext>
                <c:ext xmlns:c16="http://schemas.microsoft.com/office/drawing/2014/chart" uri="{C3380CC4-5D6E-409C-BE32-E72D297353CC}">
                  <c16:uniqueId val="{00000173-504C-421D-AE36-2B15419FE06E}"/>
                </c:ext>
              </c:extLst>
            </c:dLbl>
            <c:dLbl>
              <c:idx val="77"/>
              <c:tx>
                <c:strRef>
                  <c:f>Frontend!$BS$87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{9F7C9B97-9AE8-49A7-9370-AB281E8542C2}</c15:txfldGUID>
                      <c15:f>Frontend!$BS$87</c15:f>
                      <c15:dlblFieldTableCache>
                        <c:ptCount val="1"/>
                      </c15:dlblFieldTableCache>
                    </c15:dlblFTEntry>
                  </c15:dlblFieldTable>
                  <c15:showDataLabelsRange val="0"/>
                </c:ext>
                <c:ext xmlns:c16="http://schemas.microsoft.com/office/drawing/2014/chart" uri="{C3380CC4-5D6E-409C-BE32-E72D297353CC}">
                  <c16:uniqueId val="{00000174-504C-421D-AE36-2B15419FE06E}"/>
                </c:ext>
              </c:extLst>
            </c:dLbl>
            <c:dLbl>
              <c:idx val="78"/>
              <c:tx>
                <c:strRef>
                  <c:f>Frontend!$BS$88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{03F5AE7D-871C-470B-89EB-154A5BFC9044}</c15:txfldGUID>
                      <c15:f>Frontend!$BS$88</c15:f>
                      <c15:dlblFieldTableCache>
                        <c:ptCount val="1"/>
                      </c15:dlblFieldTableCache>
                    </c15:dlblFTEntry>
                  </c15:dlblFieldTable>
                  <c15:showDataLabelsRange val="0"/>
                </c:ext>
                <c:ext xmlns:c16="http://schemas.microsoft.com/office/drawing/2014/chart" uri="{C3380CC4-5D6E-409C-BE32-E72D297353CC}">
                  <c16:uniqueId val="{00000175-504C-421D-AE36-2B15419FE06E}"/>
                </c:ext>
              </c:extLst>
            </c:dLbl>
            <c:dLbl>
              <c:idx val="79"/>
              <c:tx>
                <c:strRef>
                  <c:f>Frontend!$BS$89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{97A8B1FD-E4BC-4D6C-BA49-55D2ECAEEAB8}</c15:txfldGUID>
                      <c15:f>Frontend!$BS$89</c15:f>
                      <c15:dlblFieldTableCache>
                        <c:ptCount val="1"/>
                      </c15:dlblFieldTableCache>
                    </c15:dlblFTEntry>
                  </c15:dlblFieldTable>
                  <c15:showDataLabelsRange val="0"/>
                </c:ext>
                <c:ext xmlns:c16="http://schemas.microsoft.com/office/drawing/2014/chart" uri="{C3380CC4-5D6E-409C-BE32-E72D297353CC}">
                  <c16:uniqueId val="{00000176-504C-421D-AE36-2B15419FE06E}"/>
                </c:ext>
              </c:extLst>
            </c:dLbl>
            <c:dLbl>
              <c:idx val="80"/>
              <c:tx>
                <c:strRef>
                  <c:f>Frontend!$BS$90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{6F7E1582-0BAD-4919-AEE4-796467447ABF}</c15:txfldGUID>
                      <c15:f>Frontend!$BS$90</c15:f>
                      <c15:dlblFieldTableCache>
                        <c:ptCount val="1"/>
                      </c15:dlblFieldTableCache>
                    </c15:dlblFTEntry>
                  </c15:dlblFieldTable>
                  <c15:showDataLabelsRange val="0"/>
                </c:ext>
                <c:ext xmlns:c16="http://schemas.microsoft.com/office/drawing/2014/chart" uri="{C3380CC4-5D6E-409C-BE32-E72D297353CC}">
                  <c16:uniqueId val="{00000177-504C-421D-AE36-2B15419FE06E}"/>
                </c:ext>
              </c:extLst>
            </c:dLbl>
            <c:dLbl>
              <c:idx val="81"/>
              <c:tx>
                <c:strRef>
                  <c:f>Frontend!$BS$91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{E60EA075-DA03-4AE9-B06F-57F571560663}</c15:txfldGUID>
                      <c15:f>Frontend!$BS$91</c15:f>
                      <c15:dlblFieldTableCache>
                        <c:ptCount val="1"/>
                      </c15:dlblFieldTableCache>
                    </c15:dlblFTEntry>
                  </c15:dlblFieldTable>
                  <c15:showDataLabelsRange val="0"/>
                </c:ext>
                <c:ext xmlns:c16="http://schemas.microsoft.com/office/drawing/2014/chart" uri="{C3380CC4-5D6E-409C-BE32-E72D297353CC}">
                  <c16:uniqueId val="{00000178-504C-421D-AE36-2B15419FE06E}"/>
                </c:ext>
              </c:extLst>
            </c:dLbl>
            <c:dLbl>
              <c:idx val="82"/>
              <c:tx>
                <c:strRef>
                  <c:f>Frontend!$BS$92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{F4F0D4AE-298A-4CAE-8561-35B9AE58E88C}</c15:txfldGUID>
                      <c15:f>Frontend!$BS$92</c15:f>
                      <c15:dlblFieldTableCache>
                        <c:ptCount val="1"/>
                      </c15:dlblFieldTableCache>
                    </c15:dlblFTEntry>
                  </c15:dlblFieldTable>
                  <c15:showDataLabelsRange val="0"/>
                </c:ext>
                <c:ext xmlns:c16="http://schemas.microsoft.com/office/drawing/2014/chart" uri="{C3380CC4-5D6E-409C-BE32-E72D297353CC}">
                  <c16:uniqueId val="{00000179-504C-421D-AE36-2B15419FE06E}"/>
                </c:ext>
              </c:extLst>
            </c:dLbl>
            <c:dLbl>
              <c:idx val="83"/>
              <c:tx>
                <c:strRef>
                  <c:f>Frontend!$BS$93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{E78BC9FC-D615-437C-9525-4DB9EA7261D5}</c15:txfldGUID>
                      <c15:f>Frontend!$BS$93</c15:f>
                      <c15:dlblFieldTableCache>
                        <c:ptCount val="1"/>
                      </c15:dlblFieldTableCache>
                    </c15:dlblFTEntry>
                  </c15:dlblFieldTable>
                  <c15:showDataLabelsRange val="0"/>
                </c:ext>
                <c:ext xmlns:c16="http://schemas.microsoft.com/office/drawing/2014/chart" uri="{C3380CC4-5D6E-409C-BE32-E72D297353CC}">
                  <c16:uniqueId val="{0000017A-504C-421D-AE36-2B15419FE06E}"/>
                </c:ext>
              </c:extLst>
            </c:dLbl>
            <c:dLbl>
              <c:idx val="84"/>
              <c:tx>
                <c:strRef>
                  <c:f>Frontend!$BS$94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{9DFA193C-508C-4B52-A098-F424CD6E994C}</c15:txfldGUID>
                      <c15:f>Frontend!$BS$94</c15:f>
                      <c15:dlblFieldTableCache>
                        <c:ptCount val="1"/>
                      </c15:dlblFieldTableCache>
                    </c15:dlblFTEntry>
                  </c15:dlblFieldTable>
                  <c15:showDataLabelsRange val="0"/>
                </c:ext>
                <c:ext xmlns:c16="http://schemas.microsoft.com/office/drawing/2014/chart" uri="{C3380CC4-5D6E-409C-BE32-E72D297353CC}">
                  <c16:uniqueId val="{0000017B-504C-421D-AE36-2B15419FE06E}"/>
                </c:ext>
              </c:extLst>
            </c:dLbl>
            <c:dLbl>
              <c:idx val="85"/>
              <c:tx>
                <c:strRef>
                  <c:f>Frontend!$BS$95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{70249DE1-3602-4055-8FE7-1ECA50F4016C}</c15:txfldGUID>
                      <c15:f>Frontend!$BS$95</c15:f>
                      <c15:dlblFieldTableCache>
                        <c:ptCount val="1"/>
                      </c15:dlblFieldTableCache>
                    </c15:dlblFTEntry>
                  </c15:dlblFieldTable>
                  <c15:showDataLabelsRange val="0"/>
                </c:ext>
                <c:ext xmlns:c16="http://schemas.microsoft.com/office/drawing/2014/chart" uri="{C3380CC4-5D6E-409C-BE32-E72D297353CC}">
                  <c16:uniqueId val="{0000017C-504C-421D-AE36-2B15419FE06E}"/>
                </c:ext>
              </c:extLst>
            </c:dLbl>
            <c:dLbl>
              <c:idx val="86"/>
              <c:tx>
                <c:strRef>
                  <c:f>Frontend!$BS$96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{53988168-0003-40B0-868A-A724C73DD0C2}</c15:txfldGUID>
                      <c15:f>Frontend!$BS$96</c15:f>
                      <c15:dlblFieldTableCache>
                        <c:ptCount val="1"/>
                      </c15:dlblFieldTableCache>
                    </c15:dlblFTEntry>
                  </c15:dlblFieldTable>
                  <c15:showDataLabelsRange val="0"/>
                </c:ext>
                <c:ext xmlns:c16="http://schemas.microsoft.com/office/drawing/2014/chart" uri="{C3380CC4-5D6E-409C-BE32-E72D297353CC}">
                  <c16:uniqueId val="{0000017D-504C-421D-AE36-2B15419FE06E}"/>
                </c:ext>
              </c:extLst>
            </c:dLbl>
            <c:dLbl>
              <c:idx val="87"/>
              <c:tx>
                <c:strRef>
                  <c:f>Frontend!$BS$97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{21A5083A-EE12-47A1-9CD6-9F3EF0E58FE6}</c15:txfldGUID>
                      <c15:f>Frontend!$BS$97</c15:f>
                      <c15:dlblFieldTableCache>
                        <c:ptCount val="1"/>
                      </c15:dlblFieldTableCache>
                    </c15:dlblFTEntry>
                  </c15:dlblFieldTable>
                  <c15:showDataLabelsRange val="0"/>
                </c:ext>
                <c:ext xmlns:c16="http://schemas.microsoft.com/office/drawing/2014/chart" uri="{C3380CC4-5D6E-409C-BE32-E72D297353CC}">
                  <c16:uniqueId val="{0000017E-504C-421D-AE36-2B15419FE06E}"/>
                </c:ext>
              </c:extLst>
            </c:dLbl>
            <c:dLbl>
              <c:idx val="88"/>
              <c:tx>
                <c:strRef>
                  <c:f>Frontend!$BS$98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{2E632F44-651D-4D3B-BF25-39A27CE1ACAD}</c15:txfldGUID>
                      <c15:f>Frontend!$BS$98</c15:f>
                      <c15:dlblFieldTableCache>
                        <c:ptCount val="1"/>
                      </c15:dlblFieldTableCache>
                    </c15:dlblFTEntry>
                  </c15:dlblFieldTable>
                  <c15:showDataLabelsRange val="0"/>
                </c:ext>
                <c:ext xmlns:c16="http://schemas.microsoft.com/office/drawing/2014/chart" uri="{C3380CC4-5D6E-409C-BE32-E72D297353CC}">
                  <c16:uniqueId val="{0000017F-504C-421D-AE36-2B15419FE06E}"/>
                </c:ext>
              </c:extLst>
            </c:dLbl>
            <c:dLbl>
              <c:idx val="89"/>
              <c:tx>
                <c:strRef>
                  <c:f>Frontend!$BS$99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{2EDCD5C0-BE59-4AA9-8424-5810B3F7383D}</c15:txfldGUID>
                      <c15:f>Frontend!$BS$99</c15:f>
                      <c15:dlblFieldTableCache>
                        <c:ptCount val="1"/>
                      </c15:dlblFieldTableCache>
                    </c15:dlblFTEntry>
                  </c15:dlblFieldTable>
                  <c15:showDataLabelsRange val="0"/>
                </c:ext>
                <c:ext xmlns:c16="http://schemas.microsoft.com/office/drawing/2014/chart" uri="{C3380CC4-5D6E-409C-BE32-E72D297353CC}">
                  <c16:uniqueId val="{00000180-504C-421D-AE36-2B15419FE06E}"/>
                </c:ext>
              </c:extLst>
            </c:dLbl>
            <c:dLbl>
              <c:idx val="90"/>
              <c:tx>
                <c:strRef>
                  <c:f>Frontend!$BS$100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{0DD46ABE-49B8-4FC8-9EAC-2312B4C5CEDA}</c15:txfldGUID>
                      <c15:f>Frontend!$BS$100</c15:f>
                      <c15:dlblFieldTableCache>
                        <c:ptCount val="1"/>
                      </c15:dlblFieldTableCache>
                    </c15:dlblFTEntry>
                  </c15:dlblFieldTable>
                  <c15:showDataLabelsRange val="0"/>
                </c:ext>
                <c:ext xmlns:c16="http://schemas.microsoft.com/office/drawing/2014/chart" uri="{C3380CC4-5D6E-409C-BE32-E72D297353CC}">
                  <c16:uniqueId val="{00000181-504C-421D-AE36-2B15419FE06E}"/>
                </c:ext>
              </c:extLst>
            </c:dLbl>
            <c:dLbl>
              <c:idx val="91"/>
              <c:tx>
                <c:strRef>
                  <c:f>Frontend!$BS$101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{123BDE5D-56B9-47D7-8C0E-C6AFCFC26B19}</c15:txfldGUID>
                      <c15:f>Frontend!$BS$101</c15:f>
                      <c15:dlblFieldTableCache>
                        <c:ptCount val="1"/>
                      </c15:dlblFieldTableCache>
                    </c15:dlblFTEntry>
                  </c15:dlblFieldTable>
                  <c15:showDataLabelsRange val="0"/>
                </c:ext>
                <c:ext xmlns:c16="http://schemas.microsoft.com/office/drawing/2014/chart" uri="{C3380CC4-5D6E-409C-BE32-E72D297353CC}">
                  <c16:uniqueId val="{00000182-504C-421D-AE36-2B15419FE06E}"/>
                </c:ext>
              </c:extLst>
            </c:dLbl>
            <c:dLbl>
              <c:idx val="92"/>
              <c:tx>
                <c:strRef>
                  <c:f>Frontend!$BS$102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{F34E1F08-E264-4FB5-843A-B484542D8FA1}</c15:txfldGUID>
                      <c15:f>Frontend!$BS$102</c15:f>
                      <c15:dlblFieldTableCache>
                        <c:ptCount val="1"/>
                      </c15:dlblFieldTableCache>
                    </c15:dlblFTEntry>
                  </c15:dlblFieldTable>
                  <c15:showDataLabelsRange val="0"/>
                </c:ext>
                <c:ext xmlns:c16="http://schemas.microsoft.com/office/drawing/2014/chart" uri="{C3380CC4-5D6E-409C-BE32-E72D297353CC}">
                  <c16:uniqueId val="{00000183-504C-421D-AE36-2B15419FE06E}"/>
                </c:ext>
              </c:extLst>
            </c:dLbl>
            <c:dLbl>
              <c:idx val="93"/>
              <c:tx>
                <c:strRef>
                  <c:f>Frontend!$BS$103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{E16887C9-837C-4BF2-84ED-DC532EC26B70}</c15:txfldGUID>
                      <c15:f>Frontend!$BS$103</c15:f>
                      <c15:dlblFieldTableCache>
                        <c:ptCount val="1"/>
                      </c15:dlblFieldTableCache>
                    </c15:dlblFTEntry>
                  </c15:dlblFieldTable>
                  <c15:showDataLabelsRange val="0"/>
                </c:ext>
                <c:ext xmlns:c16="http://schemas.microsoft.com/office/drawing/2014/chart" uri="{C3380CC4-5D6E-409C-BE32-E72D297353CC}">
                  <c16:uniqueId val="{00000184-504C-421D-AE36-2B15419FE06E}"/>
                </c:ext>
              </c:extLst>
            </c:dLbl>
            <c:dLbl>
              <c:idx val="94"/>
              <c:tx>
                <c:strRef>
                  <c:f>Frontend!$BS$104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{5D045D82-F3C4-42CC-A8E4-42BBEBC4DC13}</c15:txfldGUID>
                      <c15:f>Frontend!$BS$104</c15:f>
                      <c15:dlblFieldTableCache>
                        <c:ptCount val="1"/>
                      </c15:dlblFieldTableCache>
                    </c15:dlblFTEntry>
                  </c15:dlblFieldTable>
                  <c15:showDataLabelsRange val="0"/>
                </c:ext>
                <c:ext xmlns:c16="http://schemas.microsoft.com/office/drawing/2014/chart" uri="{C3380CC4-5D6E-409C-BE32-E72D297353CC}">
                  <c16:uniqueId val="{00000185-504C-421D-AE36-2B15419FE06E}"/>
                </c:ext>
              </c:extLst>
            </c:dLbl>
            <c:dLbl>
              <c:idx val="95"/>
              <c:tx>
                <c:strRef>
                  <c:f>Frontend!$BS$105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{1CA2924A-4F84-44B2-92C4-3EF6A3FF341A}</c15:txfldGUID>
                      <c15:f>Frontend!$BS$105</c15:f>
                      <c15:dlblFieldTableCache>
                        <c:ptCount val="1"/>
                      </c15:dlblFieldTableCache>
                    </c15:dlblFTEntry>
                  </c15:dlblFieldTable>
                  <c15:showDataLabelsRange val="0"/>
                </c:ext>
                <c:ext xmlns:c16="http://schemas.microsoft.com/office/drawing/2014/chart" uri="{C3380CC4-5D6E-409C-BE32-E72D297353CC}">
                  <c16:uniqueId val="{00000186-504C-421D-AE36-2B15419FE06E}"/>
                </c:ext>
              </c:extLst>
            </c:dLbl>
            <c:dLbl>
              <c:idx val="96"/>
              <c:tx>
                <c:strRef>
                  <c:f>Frontend!$BS$106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{F3E234E7-1796-4BA1-A05A-F3135D455597}</c15:txfldGUID>
                      <c15:f>Frontend!$BS$106</c15:f>
                      <c15:dlblFieldTableCache>
                        <c:ptCount val="1"/>
                      </c15:dlblFieldTableCache>
                    </c15:dlblFTEntry>
                  </c15:dlblFieldTable>
                  <c15:showDataLabelsRange val="0"/>
                </c:ext>
                <c:ext xmlns:c16="http://schemas.microsoft.com/office/drawing/2014/chart" uri="{C3380CC4-5D6E-409C-BE32-E72D297353CC}">
                  <c16:uniqueId val="{00000187-504C-421D-AE36-2B15419FE06E}"/>
                </c:ext>
              </c:extLst>
            </c:dLbl>
            <c:dLbl>
              <c:idx val="97"/>
              <c:tx>
                <c:strRef>
                  <c:f>Frontend!$BS$107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{F7C3E309-37B9-450D-9D25-B30678DD4D3F}</c15:txfldGUID>
                      <c15:f>Frontend!$BS$107</c15:f>
                      <c15:dlblFieldTableCache>
                        <c:ptCount val="1"/>
                      </c15:dlblFieldTableCache>
                    </c15:dlblFTEntry>
                  </c15:dlblFieldTable>
                  <c15:showDataLabelsRange val="0"/>
                </c:ext>
                <c:ext xmlns:c16="http://schemas.microsoft.com/office/drawing/2014/chart" uri="{C3380CC4-5D6E-409C-BE32-E72D297353CC}">
                  <c16:uniqueId val="{00000188-504C-421D-AE36-2B15419FE06E}"/>
                </c:ext>
              </c:extLst>
            </c:dLbl>
            <c:dLbl>
              <c:idx val="98"/>
              <c:tx>
                <c:strRef>
                  <c:f>Frontend!$BS$108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{4470848F-36D9-47C2-986E-35C678590E7E}</c15:txfldGUID>
                      <c15:f>Frontend!$BS$108</c15:f>
                      <c15:dlblFieldTableCache>
                        <c:ptCount val="1"/>
                      </c15:dlblFieldTableCache>
                    </c15:dlblFTEntry>
                  </c15:dlblFieldTable>
                  <c15:showDataLabelsRange val="0"/>
                </c:ext>
                <c:ext xmlns:c16="http://schemas.microsoft.com/office/drawing/2014/chart" uri="{C3380CC4-5D6E-409C-BE32-E72D297353CC}">
                  <c16:uniqueId val="{00000189-504C-421D-AE36-2B15419FE06E}"/>
                </c:ext>
              </c:extLst>
            </c:dLbl>
            <c:dLbl>
              <c:idx val="99"/>
              <c:tx>
                <c:strRef>
                  <c:f>Frontend!$BS$109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{5330DBB7-BB96-4017-AF9A-53B2FA1A0BC1}</c15:txfldGUID>
                      <c15:f>Frontend!$BS$109</c15:f>
                      <c15:dlblFieldTableCache>
                        <c:ptCount val="1"/>
                      </c15:dlblFieldTableCache>
                    </c15:dlblFTEntry>
                  </c15:dlblFieldTable>
                  <c15:showDataLabelsRange val="0"/>
                </c:ext>
                <c:ext xmlns:c16="http://schemas.microsoft.com/office/drawing/2014/chart" uri="{C3380CC4-5D6E-409C-BE32-E72D297353CC}">
                  <c16:uniqueId val="{0000018A-504C-421D-AE36-2B15419FE06E}"/>
                </c:ext>
              </c:extLst>
            </c:dLbl>
            <c:dLbl>
              <c:idx val="100"/>
              <c:tx>
                <c:strRef>
                  <c:f>Frontend!$BS$110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{CC47E79A-37C1-499C-A051-8D7B8EB42BA8}</c15:txfldGUID>
                      <c15:f>Frontend!$BS$110</c15:f>
                      <c15:dlblFieldTableCache>
                        <c:ptCount val="1"/>
                      </c15:dlblFieldTableCache>
                    </c15:dlblFTEntry>
                  </c15:dlblFieldTable>
                  <c15:showDataLabelsRange val="0"/>
                </c:ext>
                <c:ext xmlns:c16="http://schemas.microsoft.com/office/drawing/2014/chart" uri="{C3380CC4-5D6E-409C-BE32-E72D297353CC}">
                  <c16:uniqueId val="{0000018B-504C-421D-AE36-2B15419FE06E}"/>
                </c:ext>
              </c:extLst>
            </c:dLbl>
            <c:dLbl>
              <c:idx val="101"/>
              <c:tx>
                <c:strRef>
                  <c:f>Frontend!$BS$111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{523ED865-D170-489F-B801-649FB031C2BE}</c15:txfldGUID>
                      <c15:f>Frontend!$BS$111</c15:f>
                      <c15:dlblFieldTableCache>
                        <c:ptCount val="1"/>
                      </c15:dlblFieldTableCache>
                    </c15:dlblFTEntry>
                  </c15:dlblFieldTable>
                  <c15:showDataLabelsRange val="0"/>
                </c:ext>
                <c:ext xmlns:c16="http://schemas.microsoft.com/office/drawing/2014/chart" uri="{C3380CC4-5D6E-409C-BE32-E72D297353CC}">
                  <c16:uniqueId val="{0000018C-504C-421D-AE36-2B15419FE06E}"/>
                </c:ext>
              </c:extLst>
            </c:dLbl>
            <c:dLbl>
              <c:idx val="102"/>
              <c:tx>
                <c:strRef>
                  <c:f>Frontend!$BS$112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{3B2FAA88-4BC6-4C07-8934-CC890BC46B3F}</c15:txfldGUID>
                      <c15:f>Frontend!$BS$112</c15:f>
                      <c15:dlblFieldTableCache>
                        <c:ptCount val="1"/>
                      </c15:dlblFieldTableCache>
                    </c15:dlblFTEntry>
                  </c15:dlblFieldTable>
                  <c15:showDataLabelsRange val="0"/>
                </c:ext>
                <c:ext xmlns:c16="http://schemas.microsoft.com/office/drawing/2014/chart" uri="{C3380CC4-5D6E-409C-BE32-E72D297353CC}">
                  <c16:uniqueId val="{0000018D-504C-421D-AE36-2B15419FE06E}"/>
                </c:ext>
              </c:extLst>
            </c:dLbl>
            <c:dLbl>
              <c:idx val="103"/>
              <c:tx>
                <c:strRef>
                  <c:f>Frontend!$BS$113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{4568074F-7BC5-4DB3-856B-1C5C025DBD47}</c15:txfldGUID>
                      <c15:f>Frontend!$BS$113</c15:f>
                      <c15:dlblFieldTableCache>
                        <c:ptCount val="1"/>
                      </c15:dlblFieldTableCache>
                    </c15:dlblFTEntry>
                  </c15:dlblFieldTable>
                  <c15:showDataLabelsRange val="0"/>
                </c:ext>
                <c:ext xmlns:c16="http://schemas.microsoft.com/office/drawing/2014/chart" uri="{C3380CC4-5D6E-409C-BE32-E72D297353CC}">
                  <c16:uniqueId val="{0000018E-504C-421D-AE36-2B15419FE06E}"/>
                </c:ext>
              </c:extLst>
            </c:dLbl>
            <c:dLbl>
              <c:idx val="104"/>
              <c:tx>
                <c:strRef>
                  <c:f>Frontend!$BS$114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{02D7D878-9465-41A1-9E8F-A8EA83174737}</c15:txfldGUID>
                      <c15:f>Frontend!$BS$114</c15:f>
                      <c15:dlblFieldTableCache>
                        <c:ptCount val="1"/>
                      </c15:dlblFieldTableCache>
                    </c15:dlblFTEntry>
                  </c15:dlblFieldTable>
                  <c15:showDataLabelsRange val="0"/>
                </c:ext>
                <c:ext xmlns:c16="http://schemas.microsoft.com/office/drawing/2014/chart" uri="{C3380CC4-5D6E-409C-BE32-E72D297353CC}">
                  <c16:uniqueId val="{0000018F-504C-421D-AE36-2B15419FE06E}"/>
                </c:ext>
              </c:extLst>
            </c:dLbl>
            <c:dLbl>
              <c:idx val="105"/>
              <c:tx>
                <c:strRef>
                  <c:f>Frontend!$BS$115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{27A647B1-3456-4F82-9CC8-4FC66630F5C9}</c15:txfldGUID>
                      <c15:f>Frontend!$BS$115</c15:f>
                      <c15:dlblFieldTableCache>
                        <c:ptCount val="1"/>
                      </c15:dlblFieldTableCache>
                    </c15:dlblFTEntry>
                  </c15:dlblFieldTable>
                  <c15:showDataLabelsRange val="0"/>
                </c:ext>
                <c:ext xmlns:c16="http://schemas.microsoft.com/office/drawing/2014/chart" uri="{C3380CC4-5D6E-409C-BE32-E72D297353CC}">
                  <c16:uniqueId val="{00000190-504C-421D-AE36-2B15419FE06E}"/>
                </c:ext>
              </c:extLst>
            </c:dLbl>
            <c:dLbl>
              <c:idx val="106"/>
              <c:tx>
                <c:strRef>
                  <c:f>Frontend!$BS$116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{941B305E-3942-4307-AA3C-A6A22CE96F80}</c15:txfldGUID>
                      <c15:f>Frontend!$BS$116</c15:f>
                      <c15:dlblFieldTableCache>
                        <c:ptCount val="1"/>
                      </c15:dlblFieldTableCache>
                    </c15:dlblFTEntry>
                  </c15:dlblFieldTable>
                  <c15:showDataLabelsRange val="0"/>
                </c:ext>
                <c:ext xmlns:c16="http://schemas.microsoft.com/office/drawing/2014/chart" uri="{C3380CC4-5D6E-409C-BE32-E72D297353CC}">
                  <c16:uniqueId val="{00000191-504C-421D-AE36-2B15419FE06E}"/>
                </c:ext>
              </c:extLst>
            </c:dLbl>
            <c:dLbl>
              <c:idx val="107"/>
              <c:tx>
                <c:strRef>
                  <c:f>Frontend!$BS$117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{68F5AC77-94DC-4711-9744-E73BFE017CD4}</c15:txfldGUID>
                      <c15:f>Frontend!$BS$117</c15:f>
                      <c15:dlblFieldTableCache>
                        <c:ptCount val="1"/>
                      </c15:dlblFieldTableCache>
                    </c15:dlblFTEntry>
                  </c15:dlblFieldTable>
                  <c15:showDataLabelsRange val="0"/>
                </c:ext>
                <c:ext xmlns:c16="http://schemas.microsoft.com/office/drawing/2014/chart" uri="{C3380CC4-5D6E-409C-BE32-E72D297353CC}">
                  <c16:uniqueId val="{00000192-504C-421D-AE36-2B15419FE06E}"/>
                </c:ext>
              </c:extLst>
            </c:dLbl>
            <c:dLbl>
              <c:idx val="108"/>
              <c:tx>
                <c:strRef>
                  <c:f>Frontend!$BS$118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{6AAE718B-7407-486C-AC93-AF22EB004819}</c15:txfldGUID>
                      <c15:f>Frontend!$BS$118</c15:f>
                      <c15:dlblFieldTableCache>
                        <c:ptCount val="1"/>
                      </c15:dlblFieldTableCache>
                    </c15:dlblFTEntry>
                  </c15:dlblFieldTable>
                  <c15:showDataLabelsRange val="0"/>
                </c:ext>
                <c:ext xmlns:c16="http://schemas.microsoft.com/office/drawing/2014/chart" uri="{C3380CC4-5D6E-409C-BE32-E72D297353CC}">
                  <c16:uniqueId val="{00000193-504C-421D-AE36-2B15419FE06E}"/>
                </c:ext>
              </c:extLst>
            </c:dLbl>
            <c:dLbl>
              <c:idx val="109"/>
              <c:tx>
                <c:strRef>
                  <c:f>Frontend!$BS$119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{BB2E1D54-330E-4780-8F6C-3B96C776B6C0}</c15:txfldGUID>
                      <c15:f>Frontend!$BS$119</c15:f>
                      <c15:dlblFieldTableCache>
                        <c:ptCount val="1"/>
                      </c15:dlblFieldTableCache>
                    </c15:dlblFTEntry>
                  </c15:dlblFieldTable>
                  <c15:showDataLabelsRange val="0"/>
                </c:ext>
                <c:ext xmlns:c16="http://schemas.microsoft.com/office/drawing/2014/chart" uri="{C3380CC4-5D6E-409C-BE32-E72D297353CC}">
                  <c16:uniqueId val="{00000194-504C-421D-AE36-2B15419FE06E}"/>
                </c:ext>
              </c:extLst>
            </c:dLbl>
            <c:dLbl>
              <c:idx val="110"/>
              <c:tx>
                <c:strRef>
                  <c:f>Frontend!$BS$120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{12C96A49-2941-4E2A-8329-E319070F37C3}</c15:txfldGUID>
                      <c15:f>Frontend!$BS$120</c15:f>
                      <c15:dlblFieldTableCache>
                        <c:ptCount val="1"/>
                      </c15:dlblFieldTableCache>
                    </c15:dlblFTEntry>
                  </c15:dlblFieldTable>
                  <c15:showDataLabelsRange val="0"/>
                </c:ext>
                <c:ext xmlns:c16="http://schemas.microsoft.com/office/drawing/2014/chart" uri="{C3380CC4-5D6E-409C-BE32-E72D297353CC}">
                  <c16:uniqueId val="{00000195-504C-421D-AE36-2B15419FE06E}"/>
                </c:ext>
              </c:extLst>
            </c:dLbl>
            <c:dLbl>
              <c:idx val="111"/>
              <c:tx>
                <c:strRef>
                  <c:f>Frontend!$BS$121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{08FD5BE1-409B-4D89-9B8D-DE3C09469CA5}</c15:txfldGUID>
                      <c15:f>Frontend!$BS$121</c15:f>
                      <c15:dlblFieldTableCache>
                        <c:ptCount val="1"/>
                      </c15:dlblFieldTableCache>
                    </c15:dlblFTEntry>
                  </c15:dlblFieldTable>
                  <c15:showDataLabelsRange val="0"/>
                </c:ext>
                <c:ext xmlns:c16="http://schemas.microsoft.com/office/drawing/2014/chart" uri="{C3380CC4-5D6E-409C-BE32-E72D297353CC}">
                  <c16:uniqueId val="{00000196-504C-421D-AE36-2B15419FE06E}"/>
                </c:ext>
              </c:extLst>
            </c:dLbl>
            <c:dLbl>
              <c:idx val="112"/>
              <c:tx>
                <c:strRef>
                  <c:f>Frontend!$BS$122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{D0D6451C-817B-43A2-8823-C8F79AC43009}</c15:txfldGUID>
                      <c15:f>Frontend!$BS$122</c15:f>
                      <c15:dlblFieldTableCache>
                        <c:ptCount val="1"/>
                      </c15:dlblFieldTableCache>
                    </c15:dlblFTEntry>
                  </c15:dlblFieldTable>
                  <c15:showDataLabelsRange val="0"/>
                </c:ext>
                <c:ext xmlns:c16="http://schemas.microsoft.com/office/drawing/2014/chart" uri="{C3380CC4-5D6E-409C-BE32-E72D297353CC}">
                  <c16:uniqueId val="{00000197-504C-421D-AE36-2B15419FE06E}"/>
                </c:ext>
              </c:extLst>
            </c:dLbl>
            <c:dLbl>
              <c:idx val="113"/>
              <c:tx>
                <c:strRef>
                  <c:f>Frontend!$BS$123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{0229C13E-C4D7-491D-A609-D5E4E685E883}</c15:txfldGUID>
                      <c15:f>Frontend!$BS$123</c15:f>
                      <c15:dlblFieldTableCache>
                        <c:ptCount val="1"/>
                      </c15:dlblFieldTableCache>
                    </c15:dlblFTEntry>
                  </c15:dlblFieldTable>
                  <c15:showDataLabelsRange val="0"/>
                </c:ext>
                <c:ext xmlns:c16="http://schemas.microsoft.com/office/drawing/2014/chart" uri="{C3380CC4-5D6E-409C-BE32-E72D297353CC}">
                  <c16:uniqueId val="{00000198-504C-421D-AE36-2B15419FE06E}"/>
                </c:ext>
              </c:extLst>
            </c:dLbl>
            <c:dLbl>
              <c:idx val="114"/>
              <c:tx>
                <c:strRef>
                  <c:f>Frontend!$BS$124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{D5B19EB9-419F-41FA-A692-453780331E0F}</c15:txfldGUID>
                      <c15:f>Frontend!$BS$124</c15:f>
                      <c15:dlblFieldTableCache>
                        <c:ptCount val="1"/>
                      </c15:dlblFieldTableCache>
                    </c15:dlblFTEntry>
                  </c15:dlblFieldTable>
                  <c15:showDataLabelsRange val="0"/>
                </c:ext>
                <c:ext xmlns:c16="http://schemas.microsoft.com/office/drawing/2014/chart" uri="{C3380CC4-5D6E-409C-BE32-E72D297353CC}">
                  <c16:uniqueId val="{00000199-504C-421D-AE36-2B15419FE06E}"/>
                </c:ext>
              </c:extLst>
            </c:dLbl>
            <c:dLbl>
              <c:idx val="115"/>
              <c:tx>
                <c:strRef>
                  <c:f>Frontend!$BS$125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{81E24AC6-33C3-44F5-A008-D4813648A1A8}</c15:txfldGUID>
                      <c15:f>Frontend!$BS$125</c15:f>
                      <c15:dlblFieldTableCache>
                        <c:ptCount val="1"/>
                      </c15:dlblFieldTableCache>
                    </c15:dlblFTEntry>
                  </c15:dlblFieldTable>
                  <c15:showDataLabelsRange val="0"/>
                </c:ext>
                <c:ext xmlns:c16="http://schemas.microsoft.com/office/drawing/2014/chart" uri="{C3380CC4-5D6E-409C-BE32-E72D297353CC}">
                  <c16:uniqueId val="{0000019A-504C-421D-AE36-2B15419FE06E}"/>
                </c:ext>
              </c:extLst>
            </c:dLbl>
            <c:dLbl>
              <c:idx val="116"/>
              <c:tx>
                <c:strRef>
                  <c:f>Frontend!$BS$126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{E7B8D3AB-FB69-481D-B9FF-431502000901}</c15:txfldGUID>
                      <c15:f>Frontend!$BS$126</c15:f>
                      <c15:dlblFieldTableCache>
                        <c:ptCount val="1"/>
                      </c15:dlblFieldTableCache>
                    </c15:dlblFTEntry>
                  </c15:dlblFieldTable>
                  <c15:showDataLabelsRange val="0"/>
                </c:ext>
                <c:ext xmlns:c16="http://schemas.microsoft.com/office/drawing/2014/chart" uri="{C3380CC4-5D6E-409C-BE32-E72D297353CC}">
                  <c16:uniqueId val="{0000019B-504C-421D-AE36-2B15419FE06E}"/>
                </c:ext>
              </c:extLst>
            </c:dLbl>
            <c:dLbl>
              <c:idx val="117"/>
              <c:tx>
                <c:strRef>
                  <c:f>Frontend!$BS$127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{2C4BF670-A37A-4AA4-8347-A7360E5A1898}</c15:txfldGUID>
                      <c15:f>Frontend!$BS$127</c15:f>
                      <c15:dlblFieldTableCache>
                        <c:ptCount val="1"/>
                      </c15:dlblFieldTableCache>
                    </c15:dlblFTEntry>
                  </c15:dlblFieldTable>
                  <c15:showDataLabelsRange val="0"/>
                </c:ext>
                <c:ext xmlns:c16="http://schemas.microsoft.com/office/drawing/2014/chart" uri="{C3380CC4-5D6E-409C-BE32-E72D297353CC}">
                  <c16:uniqueId val="{0000019C-504C-421D-AE36-2B15419FE06E}"/>
                </c:ext>
              </c:extLst>
            </c:dLbl>
            <c:dLbl>
              <c:idx val="118"/>
              <c:tx>
                <c:strRef>
                  <c:f>Frontend!$BS$128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{08784B54-8FF5-4A69-958F-14D2935A3316}</c15:txfldGUID>
                      <c15:f>Frontend!$BS$128</c15:f>
                      <c15:dlblFieldTableCache>
                        <c:ptCount val="1"/>
                      </c15:dlblFieldTableCache>
                    </c15:dlblFTEntry>
                  </c15:dlblFieldTable>
                  <c15:showDataLabelsRange val="0"/>
                </c:ext>
                <c:ext xmlns:c16="http://schemas.microsoft.com/office/drawing/2014/chart" uri="{C3380CC4-5D6E-409C-BE32-E72D297353CC}">
                  <c16:uniqueId val="{0000019D-504C-421D-AE36-2B15419FE06E}"/>
                </c:ext>
              </c:extLst>
            </c:dLbl>
            <c:dLbl>
              <c:idx val="119"/>
              <c:tx>
                <c:strRef>
                  <c:f>Frontend!$BS$129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{2F2B00B3-EB86-418A-86C5-CFBEA31E2A6A}</c15:txfldGUID>
                      <c15:f>Frontend!$BS$129</c15:f>
                      <c15:dlblFieldTableCache>
                        <c:ptCount val="1"/>
                      </c15:dlblFieldTableCache>
                    </c15:dlblFTEntry>
                  </c15:dlblFieldTable>
                  <c15:showDataLabelsRange val="0"/>
                </c:ext>
                <c:ext xmlns:c16="http://schemas.microsoft.com/office/drawing/2014/chart" uri="{C3380CC4-5D6E-409C-BE32-E72D297353CC}">
                  <c16:uniqueId val="{0000019E-504C-421D-AE36-2B15419FE06E}"/>
                </c:ext>
              </c:extLst>
            </c:dLbl>
            <c:dLbl>
              <c:idx val="120"/>
              <c:tx>
                <c:strRef>
                  <c:f>Frontend!$BS$130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{2DE95BDC-3800-4211-8674-DF505B30F595}</c15:txfldGUID>
                      <c15:f>Frontend!$BS$130</c15:f>
                      <c15:dlblFieldTableCache>
                        <c:ptCount val="1"/>
                      </c15:dlblFieldTableCache>
                    </c15:dlblFTEntry>
                  </c15:dlblFieldTable>
                  <c15:showDataLabelsRange val="0"/>
                </c:ext>
                <c:ext xmlns:c16="http://schemas.microsoft.com/office/drawing/2014/chart" uri="{C3380CC4-5D6E-409C-BE32-E72D297353CC}">
                  <c16:uniqueId val="{0000019F-504C-421D-AE36-2B15419FE06E}"/>
                </c:ext>
              </c:extLst>
            </c:dLbl>
            <c:dLbl>
              <c:idx val="121"/>
              <c:tx>
                <c:strRef>
                  <c:f>Frontend!$BS$131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{2473648A-08F3-413B-8186-D4370E63B3C3}</c15:txfldGUID>
                      <c15:f>Frontend!$BS$131</c15:f>
                      <c15:dlblFieldTableCache>
                        <c:ptCount val="1"/>
                      </c15:dlblFieldTableCache>
                    </c15:dlblFTEntry>
                  </c15:dlblFieldTable>
                  <c15:showDataLabelsRange val="0"/>
                </c:ext>
                <c:ext xmlns:c16="http://schemas.microsoft.com/office/drawing/2014/chart" uri="{C3380CC4-5D6E-409C-BE32-E72D297353CC}">
                  <c16:uniqueId val="{000001A0-504C-421D-AE36-2B15419FE06E}"/>
                </c:ext>
              </c:extLst>
            </c:dLbl>
            <c:dLbl>
              <c:idx val="122"/>
              <c:tx>
                <c:strRef>
                  <c:f>Frontend!$BS$132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{462657D2-641E-4C8F-8B32-56070A528E4E}</c15:txfldGUID>
                      <c15:f>Frontend!$BS$132</c15:f>
                      <c15:dlblFieldTableCache>
                        <c:ptCount val="1"/>
                      </c15:dlblFieldTableCache>
                    </c15:dlblFTEntry>
                  </c15:dlblFieldTable>
                  <c15:showDataLabelsRange val="0"/>
                </c:ext>
                <c:ext xmlns:c16="http://schemas.microsoft.com/office/drawing/2014/chart" uri="{C3380CC4-5D6E-409C-BE32-E72D297353CC}">
                  <c16:uniqueId val="{000001A1-504C-421D-AE36-2B15419FE06E}"/>
                </c:ext>
              </c:extLst>
            </c:dLbl>
            <c:dLbl>
              <c:idx val="123"/>
              <c:tx>
                <c:strRef>
                  <c:f>Frontend!$BS$133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{E581C50D-459F-49A6-AB81-3516B81B4D69}</c15:txfldGUID>
                      <c15:f>Frontend!$BS$133</c15:f>
                      <c15:dlblFieldTableCache>
                        <c:ptCount val="1"/>
                      </c15:dlblFieldTableCache>
                    </c15:dlblFTEntry>
                  </c15:dlblFieldTable>
                  <c15:showDataLabelsRange val="0"/>
                </c:ext>
                <c:ext xmlns:c16="http://schemas.microsoft.com/office/drawing/2014/chart" uri="{C3380CC4-5D6E-409C-BE32-E72D297353CC}">
                  <c16:uniqueId val="{000001A2-504C-421D-AE36-2B15419FE06E}"/>
                </c:ext>
              </c:extLst>
            </c:dLbl>
            <c:dLbl>
              <c:idx val="124"/>
              <c:tx>
                <c:strRef>
                  <c:f>Frontend!$BS$134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{0C8EAADE-5EF3-4345-B106-F13A64ACBA6B}</c15:txfldGUID>
                      <c15:f>Frontend!$BS$134</c15:f>
                      <c15:dlblFieldTableCache>
                        <c:ptCount val="1"/>
                      </c15:dlblFieldTableCache>
                    </c15:dlblFTEntry>
                  </c15:dlblFieldTable>
                  <c15:showDataLabelsRange val="0"/>
                </c:ext>
                <c:ext xmlns:c16="http://schemas.microsoft.com/office/drawing/2014/chart" uri="{C3380CC4-5D6E-409C-BE32-E72D297353CC}">
                  <c16:uniqueId val="{000001A3-504C-421D-AE36-2B15419FE06E}"/>
                </c:ext>
              </c:extLst>
            </c:dLbl>
            <c:dLbl>
              <c:idx val="125"/>
              <c:tx>
                <c:strRef>
                  <c:f>Frontend!$BS$135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{B8329E8B-6E8C-4884-A1F0-FC632120E73A}</c15:txfldGUID>
                      <c15:f>Frontend!$BS$135</c15:f>
                      <c15:dlblFieldTableCache>
                        <c:ptCount val="1"/>
                      </c15:dlblFieldTableCache>
                    </c15:dlblFTEntry>
                  </c15:dlblFieldTable>
                  <c15:showDataLabelsRange val="0"/>
                </c:ext>
                <c:ext xmlns:c16="http://schemas.microsoft.com/office/drawing/2014/chart" uri="{C3380CC4-5D6E-409C-BE32-E72D297353CC}">
                  <c16:uniqueId val="{000001A4-504C-421D-AE36-2B15419FE06E}"/>
                </c:ext>
              </c:extLst>
            </c:dLbl>
            <c:dLbl>
              <c:idx val="126"/>
              <c:tx>
                <c:strRef>
                  <c:f>Frontend!$BS$136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{29D8E27A-5841-420B-BE09-565A3D258AF8}</c15:txfldGUID>
                      <c15:f>Frontend!$BS$136</c15:f>
                      <c15:dlblFieldTableCache>
                        <c:ptCount val="1"/>
                      </c15:dlblFieldTableCache>
                    </c15:dlblFTEntry>
                  </c15:dlblFieldTable>
                  <c15:showDataLabelsRange val="0"/>
                </c:ext>
                <c:ext xmlns:c16="http://schemas.microsoft.com/office/drawing/2014/chart" uri="{C3380CC4-5D6E-409C-BE32-E72D297353CC}">
                  <c16:uniqueId val="{000001A5-504C-421D-AE36-2B15419FE06E}"/>
                </c:ext>
              </c:extLst>
            </c:dLbl>
            <c:dLbl>
              <c:idx val="127"/>
              <c:tx>
                <c:strRef>
                  <c:f>Frontend!$BS$137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{F20B9C80-8059-41F9-9A60-F38888F257C3}</c15:txfldGUID>
                      <c15:f>Frontend!$BS$137</c15:f>
                      <c15:dlblFieldTableCache>
                        <c:ptCount val="1"/>
                      </c15:dlblFieldTableCache>
                    </c15:dlblFTEntry>
                  </c15:dlblFieldTable>
                  <c15:showDataLabelsRange val="0"/>
                </c:ext>
                <c:ext xmlns:c16="http://schemas.microsoft.com/office/drawing/2014/chart" uri="{C3380CC4-5D6E-409C-BE32-E72D297353CC}">
                  <c16:uniqueId val="{000001A6-504C-421D-AE36-2B15419FE06E}"/>
                </c:ext>
              </c:extLst>
            </c:dLbl>
            <c:dLbl>
              <c:idx val="128"/>
              <c:tx>
                <c:strRef>
                  <c:f>Frontend!$BS$138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{1E6BB87F-C351-4307-9DA3-D93FA23DEAA1}</c15:txfldGUID>
                      <c15:f>Frontend!$BS$138</c15:f>
                      <c15:dlblFieldTableCache>
                        <c:ptCount val="1"/>
                      </c15:dlblFieldTableCache>
                    </c15:dlblFTEntry>
                  </c15:dlblFieldTable>
                  <c15:showDataLabelsRange val="0"/>
                </c:ext>
                <c:ext xmlns:c16="http://schemas.microsoft.com/office/drawing/2014/chart" uri="{C3380CC4-5D6E-409C-BE32-E72D297353CC}">
                  <c16:uniqueId val="{000001A7-504C-421D-AE36-2B15419FE06E}"/>
                </c:ext>
              </c:extLst>
            </c:dLbl>
            <c:dLbl>
              <c:idx val="129"/>
              <c:tx>
                <c:strRef>
                  <c:f>Frontend!$BS$139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{215FBAAF-914E-4CA0-B270-3B8B3F3E6311}</c15:txfldGUID>
                      <c15:f>Frontend!$BS$139</c15:f>
                      <c15:dlblFieldTableCache>
                        <c:ptCount val="1"/>
                      </c15:dlblFieldTableCache>
                    </c15:dlblFTEntry>
                  </c15:dlblFieldTable>
                  <c15:showDataLabelsRange val="0"/>
                </c:ext>
                <c:ext xmlns:c16="http://schemas.microsoft.com/office/drawing/2014/chart" uri="{C3380CC4-5D6E-409C-BE32-E72D297353CC}">
                  <c16:uniqueId val="{000001A8-504C-421D-AE36-2B15419FE06E}"/>
                </c:ext>
              </c:extLst>
            </c:dLbl>
            <c:dLbl>
              <c:idx val="130"/>
              <c:tx>
                <c:strRef>
                  <c:f>Frontend!$BS$140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{B7E4AE00-6DDD-4373-950A-E49AEBDA32DA}</c15:txfldGUID>
                      <c15:f>Frontend!$BS$140</c15:f>
                      <c15:dlblFieldTableCache>
                        <c:ptCount val="1"/>
                      </c15:dlblFieldTableCache>
                    </c15:dlblFTEntry>
                  </c15:dlblFieldTable>
                  <c15:showDataLabelsRange val="0"/>
                </c:ext>
                <c:ext xmlns:c16="http://schemas.microsoft.com/office/drawing/2014/chart" uri="{C3380CC4-5D6E-409C-BE32-E72D297353CC}">
                  <c16:uniqueId val="{000001A9-504C-421D-AE36-2B15419FE06E}"/>
                </c:ext>
              </c:extLst>
            </c:dLbl>
            <c:dLbl>
              <c:idx val="131"/>
              <c:tx>
                <c:strRef>
                  <c:f>Frontend!$BS$141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{F3098D11-361C-4A09-86C4-80C88817A13A}</c15:txfldGUID>
                      <c15:f>Frontend!$BS$141</c15:f>
                      <c15:dlblFieldTableCache>
                        <c:ptCount val="1"/>
                      </c15:dlblFieldTableCache>
                    </c15:dlblFTEntry>
                  </c15:dlblFieldTable>
                  <c15:showDataLabelsRange val="0"/>
                </c:ext>
                <c:ext xmlns:c16="http://schemas.microsoft.com/office/drawing/2014/chart" uri="{C3380CC4-5D6E-409C-BE32-E72D297353CC}">
                  <c16:uniqueId val="{000001AA-504C-421D-AE36-2B15419FE06E}"/>
                </c:ext>
              </c:extLst>
            </c:dLbl>
            <c:dLbl>
              <c:idx val="132"/>
              <c:tx>
                <c:strRef>
                  <c:f>Frontend!$BS$142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{4C8E4819-F6BA-40EA-ADC5-184A0278BD14}</c15:txfldGUID>
                      <c15:f>Frontend!$BS$142</c15:f>
                      <c15:dlblFieldTableCache>
                        <c:ptCount val="1"/>
                      </c15:dlblFieldTableCache>
                    </c15:dlblFTEntry>
                  </c15:dlblFieldTable>
                  <c15:showDataLabelsRange val="0"/>
                </c:ext>
                <c:ext xmlns:c16="http://schemas.microsoft.com/office/drawing/2014/chart" uri="{C3380CC4-5D6E-409C-BE32-E72D297353CC}">
                  <c16:uniqueId val="{000001AB-504C-421D-AE36-2B15419FE06E}"/>
                </c:ext>
              </c:extLst>
            </c:dLbl>
            <c:dLbl>
              <c:idx val="133"/>
              <c:tx>
                <c:strRef>
                  <c:f>Frontend!$BS$143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{DC9ABB97-042A-4B44-B0B7-B1C7E4600A9A}</c15:txfldGUID>
                      <c15:f>Frontend!$BS$143</c15:f>
                      <c15:dlblFieldTableCache>
                        <c:ptCount val="1"/>
                      </c15:dlblFieldTableCache>
                    </c15:dlblFTEntry>
                  </c15:dlblFieldTable>
                  <c15:showDataLabelsRange val="0"/>
                </c:ext>
                <c:ext xmlns:c16="http://schemas.microsoft.com/office/drawing/2014/chart" uri="{C3380CC4-5D6E-409C-BE32-E72D297353CC}">
                  <c16:uniqueId val="{000001AC-504C-421D-AE36-2B15419FE06E}"/>
                </c:ext>
              </c:extLst>
            </c:dLbl>
            <c:dLbl>
              <c:idx val="134"/>
              <c:tx>
                <c:strRef>
                  <c:f>Frontend!$BS$144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{DCDBC446-8CF0-4C67-BD46-CC04063F7B0D}</c15:txfldGUID>
                      <c15:f>Frontend!$BS$144</c15:f>
                      <c15:dlblFieldTableCache>
                        <c:ptCount val="1"/>
                      </c15:dlblFieldTableCache>
                    </c15:dlblFTEntry>
                  </c15:dlblFieldTable>
                  <c15:showDataLabelsRange val="0"/>
                </c:ext>
                <c:ext xmlns:c16="http://schemas.microsoft.com/office/drawing/2014/chart" uri="{C3380CC4-5D6E-409C-BE32-E72D297353CC}">
                  <c16:uniqueId val="{000001AD-504C-421D-AE36-2B15419FE06E}"/>
                </c:ext>
              </c:extLst>
            </c:dLbl>
            <c:dLbl>
              <c:idx val="135"/>
              <c:tx>
                <c:strRef>
                  <c:f>Frontend!$BS$145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{E8850890-F980-42A7-A67B-D3AF524EA76F}</c15:txfldGUID>
                      <c15:f>Frontend!$BS$145</c15:f>
                      <c15:dlblFieldTableCache>
                        <c:ptCount val="1"/>
                      </c15:dlblFieldTableCache>
                    </c15:dlblFTEntry>
                  </c15:dlblFieldTable>
                  <c15:showDataLabelsRange val="0"/>
                </c:ext>
                <c:ext xmlns:c16="http://schemas.microsoft.com/office/drawing/2014/chart" uri="{C3380CC4-5D6E-409C-BE32-E72D297353CC}">
                  <c16:uniqueId val="{000001AE-504C-421D-AE36-2B15419FE06E}"/>
                </c:ext>
              </c:extLst>
            </c:dLbl>
            <c:dLbl>
              <c:idx val="136"/>
              <c:tx>
                <c:strRef>
                  <c:f>Frontend!$BS$146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{84A36533-05CA-4E51-B43B-30401D45E3FD}</c15:txfldGUID>
                      <c15:f>Frontend!$BS$146</c15:f>
                      <c15:dlblFieldTableCache>
                        <c:ptCount val="1"/>
                      </c15:dlblFieldTableCache>
                    </c15:dlblFTEntry>
                  </c15:dlblFieldTable>
                  <c15:showDataLabelsRange val="0"/>
                </c:ext>
                <c:ext xmlns:c16="http://schemas.microsoft.com/office/drawing/2014/chart" uri="{C3380CC4-5D6E-409C-BE32-E72D297353CC}">
                  <c16:uniqueId val="{000001AF-504C-421D-AE36-2B15419FE06E}"/>
                </c:ext>
              </c:extLst>
            </c:dLbl>
            <c:dLbl>
              <c:idx val="137"/>
              <c:tx>
                <c:strRef>
                  <c:f>Frontend!$BS$147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{7918E9AD-0A1D-416D-AF80-7C43A564980A}</c15:txfldGUID>
                      <c15:f>Frontend!$BS$147</c15:f>
                      <c15:dlblFieldTableCache>
                        <c:ptCount val="1"/>
                      </c15:dlblFieldTableCache>
                    </c15:dlblFTEntry>
                  </c15:dlblFieldTable>
                  <c15:showDataLabelsRange val="0"/>
                </c:ext>
                <c:ext xmlns:c16="http://schemas.microsoft.com/office/drawing/2014/chart" uri="{C3380CC4-5D6E-409C-BE32-E72D297353CC}">
                  <c16:uniqueId val="{000001B0-504C-421D-AE36-2B15419FE06E}"/>
                </c:ext>
              </c:extLst>
            </c:dLbl>
            <c:dLbl>
              <c:idx val="138"/>
              <c:tx>
                <c:strRef>
                  <c:f>Frontend!$BS$148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{E0CB9ADC-2338-4587-BD6A-E3C42324749C}</c15:txfldGUID>
                      <c15:f>Frontend!$BS$148</c15:f>
                      <c15:dlblFieldTableCache>
                        <c:ptCount val="1"/>
                      </c15:dlblFieldTableCache>
                    </c15:dlblFTEntry>
                  </c15:dlblFieldTable>
                  <c15:showDataLabelsRange val="0"/>
                </c:ext>
                <c:ext xmlns:c16="http://schemas.microsoft.com/office/drawing/2014/chart" uri="{C3380CC4-5D6E-409C-BE32-E72D297353CC}">
                  <c16:uniqueId val="{000001B1-504C-421D-AE36-2B15419FE06E}"/>
                </c:ext>
              </c:extLst>
            </c:dLbl>
            <c:dLbl>
              <c:idx val="139"/>
              <c:tx>
                <c:strRef>
                  <c:f>Frontend!$BS$149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{7CBE87B7-B94A-4EE6-8D08-B31D0BC023B7}</c15:txfldGUID>
                      <c15:f>Frontend!$BS$149</c15:f>
                      <c15:dlblFieldTableCache>
                        <c:ptCount val="1"/>
                      </c15:dlblFieldTableCache>
                    </c15:dlblFTEntry>
                  </c15:dlblFieldTable>
                  <c15:showDataLabelsRange val="0"/>
                </c:ext>
                <c:ext xmlns:c16="http://schemas.microsoft.com/office/drawing/2014/chart" uri="{C3380CC4-5D6E-409C-BE32-E72D297353CC}">
                  <c16:uniqueId val="{000001B2-504C-421D-AE36-2B15419FE06E}"/>
                </c:ext>
              </c:extLst>
            </c:dLbl>
            <c:dLbl>
              <c:idx val="140"/>
              <c:tx>
                <c:strRef>
                  <c:f>Frontend!$BS$150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{24290C76-0518-4979-BE1C-2D0FE0BF2378}</c15:txfldGUID>
                      <c15:f>Frontend!$BS$150</c15:f>
                      <c15:dlblFieldTableCache>
                        <c:ptCount val="1"/>
                      </c15:dlblFieldTableCache>
                    </c15:dlblFTEntry>
                  </c15:dlblFieldTable>
                  <c15:showDataLabelsRange val="0"/>
                </c:ext>
                <c:ext xmlns:c16="http://schemas.microsoft.com/office/drawing/2014/chart" uri="{C3380CC4-5D6E-409C-BE32-E72D297353CC}">
                  <c16:uniqueId val="{000001B3-504C-421D-AE36-2B15419FE06E}"/>
                </c:ext>
              </c:extLst>
            </c:dLbl>
            <c:dLbl>
              <c:idx val="141"/>
              <c:tx>
                <c:strRef>
                  <c:f>Frontend!$BS$151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{502481F5-F8BC-46C4-A672-5DA291950B45}</c15:txfldGUID>
                      <c15:f>Frontend!$BS$151</c15:f>
                      <c15:dlblFieldTableCache>
                        <c:ptCount val="1"/>
                      </c15:dlblFieldTableCache>
                    </c15:dlblFTEntry>
                  </c15:dlblFieldTable>
                  <c15:showDataLabelsRange val="0"/>
                </c:ext>
                <c:ext xmlns:c16="http://schemas.microsoft.com/office/drawing/2014/chart" uri="{C3380CC4-5D6E-409C-BE32-E72D297353CC}">
                  <c16:uniqueId val="{000001B4-504C-421D-AE36-2B15419FE06E}"/>
                </c:ext>
              </c:extLst>
            </c:dLbl>
            <c:dLbl>
              <c:idx val="142"/>
              <c:tx>
                <c:strRef>
                  <c:f>Frontend!$BS$152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{7DE2CAFF-CDAB-4F2F-9D93-33A1002A115B}</c15:txfldGUID>
                      <c15:f>Frontend!$BS$152</c15:f>
                      <c15:dlblFieldTableCache>
                        <c:ptCount val="1"/>
                      </c15:dlblFieldTableCache>
                    </c15:dlblFTEntry>
                  </c15:dlblFieldTable>
                  <c15:showDataLabelsRange val="0"/>
                </c:ext>
                <c:ext xmlns:c16="http://schemas.microsoft.com/office/drawing/2014/chart" uri="{C3380CC4-5D6E-409C-BE32-E72D297353CC}">
                  <c16:uniqueId val="{000001B5-504C-421D-AE36-2B15419FE06E}"/>
                </c:ext>
              </c:extLst>
            </c:dLbl>
            <c:dLbl>
              <c:idx val="143"/>
              <c:tx>
                <c:strRef>
                  <c:f>Frontend!$BS$153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{36335A13-237C-47D2-847F-B72CBD9711EA}</c15:txfldGUID>
                      <c15:f>Frontend!$BS$153</c15:f>
                      <c15:dlblFieldTableCache>
                        <c:ptCount val="1"/>
                      </c15:dlblFieldTableCache>
                    </c15:dlblFTEntry>
                  </c15:dlblFieldTable>
                  <c15:showDataLabelsRange val="0"/>
                </c:ext>
                <c:ext xmlns:c16="http://schemas.microsoft.com/office/drawing/2014/chart" uri="{C3380CC4-5D6E-409C-BE32-E72D297353CC}">
                  <c16:uniqueId val="{000001B6-504C-421D-AE36-2B15419FE06E}"/>
                </c:ext>
              </c:extLst>
            </c:dLbl>
            <c:dLbl>
              <c:idx val="144"/>
              <c:tx>
                <c:strRef>
                  <c:f>Frontend!$BS$154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{2DE9F0FF-73DA-4603-96FF-3D0A557D2DF6}</c15:txfldGUID>
                      <c15:f>Frontend!$BS$154</c15:f>
                      <c15:dlblFieldTableCache>
                        <c:ptCount val="1"/>
                      </c15:dlblFieldTableCache>
                    </c15:dlblFTEntry>
                  </c15:dlblFieldTable>
                  <c15:showDataLabelsRange val="0"/>
                </c:ext>
                <c:ext xmlns:c16="http://schemas.microsoft.com/office/drawing/2014/chart" uri="{C3380CC4-5D6E-409C-BE32-E72D297353CC}">
                  <c16:uniqueId val="{000001B7-504C-421D-AE36-2B15419FE06E}"/>
                </c:ext>
              </c:extLst>
            </c:dLbl>
            <c:dLbl>
              <c:idx val="145"/>
              <c:tx>
                <c:strRef>
                  <c:f>Frontend!$BS$155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{62FC8E97-8DD8-4C43-9B55-52AA23AD8911}</c15:txfldGUID>
                      <c15:f>Frontend!$BS$155</c15:f>
                      <c15:dlblFieldTableCache>
                        <c:ptCount val="1"/>
                      </c15:dlblFieldTableCache>
                    </c15:dlblFTEntry>
                  </c15:dlblFieldTable>
                  <c15:showDataLabelsRange val="0"/>
                </c:ext>
                <c:ext xmlns:c16="http://schemas.microsoft.com/office/drawing/2014/chart" uri="{C3380CC4-5D6E-409C-BE32-E72D297353CC}">
                  <c16:uniqueId val="{000001B8-504C-421D-AE36-2B15419FE06E}"/>
                </c:ext>
              </c:extLst>
            </c:dLbl>
            <c:dLbl>
              <c:idx val="146"/>
              <c:tx>
                <c:strRef>
                  <c:f>Frontend!$BS$156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{C1B71661-1584-4C26-93A0-FC9556673AD2}</c15:txfldGUID>
                      <c15:f>Frontend!$BS$156</c15:f>
                      <c15:dlblFieldTableCache>
                        <c:ptCount val="1"/>
                      </c15:dlblFieldTableCache>
                    </c15:dlblFTEntry>
                  </c15:dlblFieldTable>
                  <c15:showDataLabelsRange val="0"/>
                </c:ext>
                <c:ext xmlns:c16="http://schemas.microsoft.com/office/drawing/2014/chart" uri="{C3380CC4-5D6E-409C-BE32-E72D297353CC}">
                  <c16:uniqueId val="{000001B9-504C-421D-AE36-2B15419FE06E}"/>
                </c:ext>
              </c:extLst>
            </c:dLbl>
            <c:dLbl>
              <c:idx val="147"/>
              <c:tx>
                <c:strRef>
                  <c:f>Frontend!$BS$157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{5741255D-56CF-494E-B8BA-6AD3021EBD33}</c15:txfldGUID>
                      <c15:f>Frontend!$BS$157</c15:f>
                      <c15:dlblFieldTableCache>
                        <c:ptCount val="1"/>
                      </c15:dlblFieldTableCache>
                    </c15:dlblFTEntry>
                  </c15:dlblFieldTable>
                  <c15:showDataLabelsRange val="0"/>
                </c:ext>
                <c:ext xmlns:c16="http://schemas.microsoft.com/office/drawing/2014/chart" uri="{C3380CC4-5D6E-409C-BE32-E72D297353CC}">
                  <c16:uniqueId val="{000001BA-504C-421D-AE36-2B15419FE06E}"/>
                </c:ext>
              </c:extLst>
            </c:dLbl>
            <c:dLbl>
              <c:idx val="148"/>
              <c:tx>
                <c:strRef>
                  <c:f>Frontend!$BS$158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{9415F28E-E0A8-4514-8441-962A2FD2AD06}</c15:txfldGUID>
                      <c15:f>Frontend!$BS$158</c15:f>
                      <c15:dlblFieldTableCache>
                        <c:ptCount val="1"/>
                      </c15:dlblFieldTableCache>
                    </c15:dlblFTEntry>
                  </c15:dlblFieldTable>
                  <c15:showDataLabelsRange val="0"/>
                </c:ext>
                <c:ext xmlns:c16="http://schemas.microsoft.com/office/drawing/2014/chart" uri="{C3380CC4-5D6E-409C-BE32-E72D297353CC}">
                  <c16:uniqueId val="{000001BB-504C-421D-AE36-2B15419FE06E}"/>
                </c:ext>
              </c:extLst>
            </c:dLbl>
            <c:dLbl>
              <c:idx val="149"/>
              <c:tx>
                <c:strRef>
                  <c:f>Frontend!$BS$159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{2F285771-EAFF-4599-9A3C-A8830499C0CD}</c15:txfldGUID>
                      <c15:f>Frontend!$BS$159</c15:f>
                      <c15:dlblFieldTableCache>
                        <c:ptCount val="1"/>
                      </c15:dlblFieldTableCache>
                    </c15:dlblFTEntry>
                  </c15:dlblFieldTable>
                  <c15:showDataLabelsRange val="0"/>
                </c:ext>
                <c:ext xmlns:c16="http://schemas.microsoft.com/office/drawing/2014/chart" uri="{C3380CC4-5D6E-409C-BE32-E72D297353CC}">
                  <c16:uniqueId val="{000001BC-504C-421D-AE36-2B15419FE06E}"/>
                </c:ext>
              </c:extLst>
            </c:dLbl>
            <c:dLbl>
              <c:idx val="150"/>
              <c:tx>
                <c:strRef>
                  <c:f>Frontend!$BS$160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{D8385B62-540D-4A5B-A9FD-8C7AD2ABC8D6}</c15:txfldGUID>
                      <c15:f>Frontend!$BS$160</c15:f>
                      <c15:dlblFieldTableCache>
                        <c:ptCount val="1"/>
                      </c15:dlblFieldTableCache>
                    </c15:dlblFTEntry>
                  </c15:dlblFieldTable>
                  <c15:showDataLabelsRange val="0"/>
                </c:ext>
                <c:ext xmlns:c16="http://schemas.microsoft.com/office/drawing/2014/chart" uri="{C3380CC4-5D6E-409C-BE32-E72D297353CC}">
                  <c16:uniqueId val="{000001BD-504C-421D-AE36-2B15419FE06E}"/>
                </c:ext>
              </c:extLst>
            </c:dLbl>
            <c:dLbl>
              <c:idx val="151"/>
              <c:tx>
                <c:strRef>
                  <c:f>Frontend!$BS$161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{2E631DA1-A13F-46ED-827A-A83CA48A71DC}</c15:txfldGUID>
                      <c15:f>Frontend!$BS$161</c15:f>
                      <c15:dlblFieldTableCache>
                        <c:ptCount val="1"/>
                      </c15:dlblFieldTableCache>
                    </c15:dlblFTEntry>
                  </c15:dlblFieldTable>
                  <c15:showDataLabelsRange val="0"/>
                </c:ext>
                <c:ext xmlns:c16="http://schemas.microsoft.com/office/drawing/2014/chart" uri="{C3380CC4-5D6E-409C-BE32-E72D297353CC}">
                  <c16:uniqueId val="{000001BE-504C-421D-AE36-2B15419FE06E}"/>
                </c:ext>
              </c:extLst>
            </c:dLbl>
            <c:dLbl>
              <c:idx val="152"/>
              <c:tx>
                <c:strRef>
                  <c:f>Frontend!$BS$162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{E98E807D-5E13-4BFF-8FD8-9B510B6A2173}</c15:txfldGUID>
                      <c15:f>Frontend!$BS$162</c15:f>
                      <c15:dlblFieldTableCache>
                        <c:ptCount val="1"/>
                      </c15:dlblFieldTableCache>
                    </c15:dlblFTEntry>
                  </c15:dlblFieldTable>
                  <c15:showDataLabelsRange val="0"/>
                </c:ext>
                <c:ext xmlns:c16="http://schemas.microsoft.com/office/drawing/2014/chart" uri="{C3380CC4-5D6E-409C-BE32-E72D297353CC}">
                  <c16:uniqueId val="{000001BF-504C-421D-AE36-2B15419FE06E}"/>
                </c:ext>
              </c:extLst>
            </c:dLbl>
            <c:dLbl>
              <c:idx val="153"/>
              <c:tx>
                <c:strRef>
                  <c:f>Frontend!$BS$163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{3C800799-CEE2-45F2-BB73-5F46D8FCCDB2}</c15:txfldGUID>
                      <c15:f>Frontend!$BS$163</c15:f>
                      <c15:dlblFieldTableCache>
                        <c:ptCount val="1"/>
                      </c15:dlblFieldTableCache>
                    </c15:dlblFTEntry>
                  </c15:dlblFieldTable>
                  <c15:showDataLabelsRange val="0"/>
                </c:ext>
                <c:ext xmlns:c16="http://schemas.microsoft.com/office/drawing/2014/chart" uri="{C3380CC4-5D6E-409C-BE32-E72D297353CC}">
                  <c16:uniqueId val="{000001C0-504C-421D-AE36-2B15419FE06E}"/>
                </c:ext>
              </c:extLst>
            </c:dLbl>
            <c:dLbl>
              <c:idx val="154"/>
              <c:tx>
                <c:strRef>
                  <c:f>Frontend!$BS$164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{AADFF54F-A356-4820-A17D-C3B4FFB7126E}</c15:txfldGUID>
                      <c15:f>Frontend!$BS$164</c15:f>
                      <c15:dlblFieldTableCache>
                        <c:ptCount val="1"/>
                      </c15:dlblFieldTableCache>
                    </c15:dlblFTEntry>
                  </c15:dlblFieldTable>
                  <c15:showDataLabelsRange val="0"/>
                </c:ext>
                <c:ext xmlns:c16="http://schemas.microsoft.com/office/drawing/2014/chart" uri="{C3380CC4-5D6E-409C-BE32-E72D297353CC}">
                  <c16:uniqueId val="{000001C1-504C-421D-AE36-2B15419FE06E}"/>
                </c:ext>
              </c:extLst>
            </c:dLbl>
            <c:dLbl>
              <c:idx val="155"/>
              <c:tx>
                <c:strRef>
                  <c:f>Frontend!$BS$165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{DC65AD83-C008-4984-9BE6-491DAB8692F0}</c15:txfldGUID>
                      <c15:f>Frontend!$BS$165</c15:f>
                      <c15:dlblFieldTableCache>
                        <c:ptCount val="1"/>
                      </c15:dlblFieldTableCache>
                    </c15:dlblFTEntry>
                  </c15:dlblFieldTable>
                  <c15:showDataLabelsRange val="0"/>
                </c:ext>
                <c:ext xmlns:c16="http://schemas.microsoft.com/office/drawing/2014/chart" uri="{C3380CC4-5D6E-409C-BE32-E72D297353CC}">
                  <c16:uniqueId val="{000001C2-504C-421D-AE36-2B15419FE06E}"/>
                </c:ext>
              </c:extLst>
            </c:dLbl>
            <c:dLbl>
              <c:idx val="156"/>
              <c:tx>
                <c:strRef>
                  <c:f>Frontend!$BS$166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{A2686B47-9CCB-4D7B-A72F-E8218BA95751}</c15:txfldGUID>
                      <c15:f>Frontend!$BS$166</c15:f>
                      <c15:dlblFieldTableCache>
                        <c:ptCount val="1"/>
                      </c15:dlblFieldTableCache>
                    </c15:dlblFTEntry>
                  </c15:dlblFieldTable>
                  <c15:showDataLabelsRange val="0"/>
                </c:ext>
                <c:ext xmlns:c16="http://schemas.microsoft.com/office/drawing/2014/chart" uri="{C3380CC4-5D6E-409C-BE32-E72D297353CC}">
                  <c16:uniqueId val="{000001C3-504C-421D-AE36-2B15419FE06E}"/>
                </c:ext>
              </c:extLst>
            </c:dLbl>
            <c:dLbl>
              <c:idx val="157"/>
              <c:tx>
                <c:strRef>
                  <c:f>Frontend!$BS$167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{52C255FA-4132-4B95-A6F1-5C3A3B7A79FE}</c15:txfldGUID>
                      <c15:f>Frontend!$BS$167</c15:f>
                      <c15:dlblFieldTableCache>
                        <c:ptCount val="1"/>
                      </c15:dlblFieldTableCache>
                    </c15:dlblFTEntry>
                  </c15:dlblFieldTable>
                  <c15:showDataLabelsRange val="0"/>
                </c:ext>
                <c:ext xmlns:c16="http://schemas.microsoft.com/office/drawing/2014/chart" uri="{C3380CC4-5D6E-409C-BE32-E72D297353CC}">
                  <c16:uniqueId val="{000001C4-504C-421D-AE36-2B15419FE06E}"/>
                </c:ext>
              </c:extLst>
            </c:dLbl>
            <c:dLbl>
              <c:idx val="158"/>
              <c:tx>
                <c:strRef>
                  <c:f>Frontend!$BS$168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{AC463EF3-5984-430D-9C20-0E1FC27F0F63}</c15:txfldGUID>
                      <c15:f>Frontend!$BS$168</c15:f>
                      <c15:dlblFieldTableCache>
                        <c:ptCount val="1"/>
                      </c15:dlblFieldTableCache>
                    </c15:dlblFTEntry>
                  </c15:dlblFieldTable>
                  <c15:showDataLabelsRange val="0"/>
                </c:ext>
                <c:ext xmlns:c16="http://schemas.microsoft.com/office/drawing/2014/chart" uri="{C3380CC4-5D6E-409C-BE32-E72D297353CC}">
                  <c16:uniqueId val="{000001C5-504C-421D-AE36-2B15419FE06E}"/>
                </c:ext>
              </c:extLst>
            </c:dLbl>
            <c:dLbl>
              <c:idx val="159"/>
              <c:tx>
                <c:strRef>
                  <c:f>Frontend!$BS$169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{973E5E92-3CB1-439A-B06E-2C6647502A1F}</c15:txfldGUID>
                      <c15:f>Frontend!$BS$169</c15:f>
                      <c15:dlblFieldTableCache>
                        <c:ptCount val="1"/>
                      </c15:dlblFieldTableCache>
                    </c15:dlblFTEntry>
                  </c15:dlblFieldTable>
                  <c15:showDataLabelsRange val="0"/>
                </c:ext>
                <c:ext xmlns:c16="http://schemas.microsoft.com/office/drawing/2014/chart" uri="{C3380CC4-5D6E-409C-BE32-E72D297353CC}">
                  <c16:uniqueId val="{000001C6-504C-421D-AE36-2B15419FE06E}"/>
                </c:ext>
              </c:extLst>
            </c:dLbl>
            <c:dLbl>
              <c:idx val="160"/>
              <c:tx>
                <c:strRef>
                  <c:f>Frontend!$BS$170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{B68A09C6-7552-4F38-81E9-A36A94BD05C6}</c15:txfldGUID>
                      <c15:f>Frontend!$BS$170</c15:f>
                      <c15:dlblFieldTableCache>
                        <c:ptCount val="1"/>
                      </c15:dlblFieldTableCache>
                    </c15:dlblFTEntry>
                  </c15:dlblFieldTable>
                  <c15:showDataLabelsRange val="0"/>
                </c:ext>
                <c:ext xmlns:c16="http://schemas.microsoft.com/office/drawing/2014/chart" uri="{C3380CC4-5D6E-409C-BE32-E72D297353CC}">
                  <c16:uniqueId val="{000001C7-504C-421D-AE36-2B15419FE06E}"/>
                </c:ext>
              </c:extLst>
            </c:dLbl>
            <c:dLbl>
              <c:idx val="161"/>
              <c:tx>
                <c:strRef>
                  <c:f>Frontend!$BS$171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{36178661-84A7-487D-B540-66653E10331A}</c15:txfldGUID>
                      <c15:f>Frontend!$BS$171</c15:f>
                      <c15:dlblFieldTableCache>
                        <c:ptCount val="1"/>
                      </c15:dlblFieldTableCache>
                    </c15:dlblFTEntry>
                  </c15:dlblFieldTable>
                  <c15:showDataLabelsRange val="0"/>
                </c:ext>
                <c:ext xmlns:c16="http://schemas.microsoft.com/office/drawing/2014/chart" uri="{C3380CC4-5D6E-409C-BE32-E72D297353CC}">
                  <c16:uniqueId val="{000001C8-504C-421D-AE36-2B15419FE06E}"/>
                </c:ext>
              </c:extLst>
            </c:dLbl>
            <c:dLbl>
              <c:idx val="162"/>
              <c:tx>
                <c:strRef>
                  <c:f>Frontend!$BS$172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{4332DA3C-63C7-4BF7-ABD3-D6CB3FFD634B}</c15:txfldGUID>
                      <c15:f>Frontend!$BS$172</c15:f>
                      <c15:dlblFieldTableCache>
                        <c:ptCount val="1"/>
                      </c15:dlblFieldTableCache>
                    </c15:dlblFTEntry>
                  </c15:dlblFieldTable>
                  <c15:showDataLabelsRange val="0"/>
                </c:ext>
                <c:ext xmlns:c16="http://schemas.microsoft.com/office/drawing/2014/chart" uri="{C3380CC4-5D6E-409C-BE32-E72D297353CC}">
                  <c16:uniqueId val="{000001C9-504C-421D-AE36-2B15419FE06E}"/>
                </c:ext>
              </c:extLst>
            </c:dLbl>
            <c:dLbl>
              <c:idx val="163"/>
              <c:tx>
                <c:strRef>
                  <c:f>Frontend!$BS$173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{BC257FF2-CDCE-49F6-82CC-1050DF5184E0}</c15:txfldGUID>
                      <c15:f>Frontend!$BS$173</c15:f>
                      <c15:dlblFieldTableCache>
                        <c:ptCount val="1"/>
                      </c15:dlblFieldTableCache>
                    </c15:dlblFTEntry>
                  </c15:dlblFieldTable>
                  <c15:showDataLabelsRange val="0"/>
                </c:ext>
                <c:ext xmlns:c16="http://schemas.microsoft.com/office/drawing/2014/chart" uri="{C3380CC4-5D6E-409C-BE32-E72D297353CC}">
                  <c16:uniqueId val="{000001CA-504C-421D-AE36-2B15419FE06E}"/>
                </c:ext>
              </c:extLst>
            </c:dLbl>
            <c:dLbl>
              <c:idx val="164"/>
              <c:tx>
                <c:strRef>
                  <c:f>Frontend!$BS$174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{D1FD94C7-3E6B-4332-A994-C3263044B9E2}</c15:txfldGUID>
                      <c15:f>Frontend!$BS$174</c15:f>
                      <c15:dlblFieldTableCache>
                        <c:ptCount val="1"/>
                      </c15:dlblFieldTableCache>
                    </c15:dlblFTEntry>
                  </c15:dlblFieldTable>
                  <c15:showDataLabelsRange val="0"/>
                </c:ext>
                <c:ext xmlns:c16="http://schemas.microsoft.com/office/drawing/2014/chart" uri="{C3380CC4-5D6E-409C-BE32-E72D297353CC}">
                  <c16:uniqueId val="{000001CB-504C-421D-AE36-2B15419FE06E}"/>
                </c:ext>
              </c:extLst>
            </c:dLbl>
            <c:dLbl>
              <c:idx val="165"/>
              <c:tx>
                <c:strRef>
                  <c:f>Frontend!$BS$175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{ECAD9B8D-43BA-4F10-B9CE-4B9C9DAB0FE0}</c15:txfldGUID>
                      <c15:f>Frontend!$BS$175</c15:f>
                      <c15:dlblFieldTableCache>
                        <c:ptCount val="1"/>
                      </c15:dlblFieldTableCache>
                    </c15:dlblFTEntry>
                  </c15:dlblFieldTable>
                  <c15:showDataLabelsRange val="0"/>
                </c:ext>
                <c:ext xmlns:c16="http://schemas.microsoft.com/office/drawing/2014/chart" uri="{C3380CC4-5D6E-409C-BE32-E72D297353CC}">
                  <c16:uniqueId val="{000001CC-504C-421D-AE36-2B15419FE06E}"/>
                </c:ext>
              </c:extLst>
            </c:dLbl>
            <c:dLbl>
              <c:idx val="166"/>
              <c:tx>
                <c:strRef>
                  <c:f>Frontend!$BS$176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{5A4DAF4C-E359-4D93-911E-4EE15E8A2B96}</c15:txfldGUID>
                      <c15:f>Frontend!$BS$176</c15:f>
                      <c15:dlblFieldTableCache>
                        <c:ptCount val="1"/>
                      </c15:dlblFieldTableCache>
                    </c15:dlblFTEntry>
                  </c15:dlblFieldTable>
                  <c15:showDataLabelsRange val="0"/>
                </c:ext>
                <c:ext xmlns:c16="http://schemas.microsoft.com/office/drawing/2014/chart" uri="{C3380CC4-5D6E-409C-BE32-E72D297353CC}">
                  <c16:uniqueId val="{000001CD-504C-421D-AE36-2B15419FE06E}"/>
                </c:ext>
              </c:extLst>
            </c:dLbl>
            <c:dLbl>
              <c:idx val="167"/>
              <c:tx>
                <c:strRef>
                  <c:f>Frontend!$BS$177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{86A11922-10B8-4B4E-919D-ED21E05D5D4A}</c15:txfldGUID>
                      <c15:f>Frontend!$BS$177</c15:f>
                      <c15:dlblFieldTableCache>
                        <c:ptCount val="1"/>
                      </c15:dlblFieldTableCache>
                    </c15:dlblFTEntry>
                  </c15:dlblFieldTable>
                  <c15:showDataLabelsRange val="0"/>
                </c:ext>
                <c:ext xmlns:c16="http://schemas.microsoft.com/office/drawing/2014/chart" uri="{C3380CC4-5D6E-409C-BE32-E72D297353CC}">
                  <c16:uniqueId val="{000001CE-504C-421D-AE36-2B15419FE06E}"/>
                </c:ext>
              </c:extLst>
            </c:dLbl>
            <c:dLbl>
              <c:idx val="168"/>
              <c:tx>
                <c:strRef>
                  <c:f>Frontend!$BS$178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{7AD00591-7DF6-42A8-B21A-138BD92350AB}</c15:txfldGUID>
                      <c15:f>Frontend!$BS$178</c15:f>
                      <c15:dlblFieldTableCache>
                        <c:ptCount val="1"/>
                      </c15:dlblFieldTableCache>
                    </c15:dlblFTEntry>
                  </c15:dlblFieldTable>
                  <c15:showDataLabelsRange val="0"/>
                </c:ext>
                <c:ext xmlns:c16="http://schemas.microsoft.com/office/drawing/2014/chart" uri="{C3380CC4-5D6E-409C-BE32-E72D297353CC}">
                  <c16:uniqueId val="{000001CF-504C-421D-AE36-2B15419FE06E}"/>
                </c:ext>
              </c:extLst>
            </c:dLbl>
            <c:dLbl>
              <c:idx val="169"/>
              <c:tx>
                <c:strRef>
                  <c:f>Frontend!$BS$179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{5DA7BF87-3ACA-4494-8BEF-0D1895B3424E}</c15:txfldGUID>
                      <c15:f>Frontend!$BS$179</c15:f>
                      <c15:dlblFieldTableCache>
                        <c:ptCount val="1"/>
                      </c15:dlblFieldTableCache>
                    </c15:dlblFTEntry>
                  </c15:dlblFieldTable>
                  <c15:showDataLabelsRange val="0"/>
                </c:ext>
                <c:ext xmlns:c16="http://schemas.microsoft.com/office/drawing/2014/chart" uri="{C3380CC4-5D6E-409C-BE32-E72D297353CC}">
                  <c16:uniqueId val="{000001D0-504C-421D-AE36-2B15419FE06E}"/>
                </c:ext>
              </c:extLst>
            </c:dLbl>
            <c:dLbl>
              <c:idx val="170"/>
              <c:tx>
                <c:strRef>
                  <c:f>Frontend!$BS$180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{ADBE369A-88FC-40B2-B2DA-C70AFCCE0C96}</c15:txfldGUID>
                      <c15:f>Frontend!$BS$180</c15:f>
                      <c15:dlblFieldTableCache>
                        <c:ptCount val="1"/>
                      </c15:dlblFieldTableCache>
                    </c15:dlblFTEntry>
                  </c15:dlblFieldTable>
                  <c15:showDataLabelsRange val="0"/>
                </c:ext>
                <c:ext xmlns:c16="http://schemas.microsoft.com/office/drawing/2014/chart" uri="{C3380CC4-5D6E-409C-BE32-E72D297353CC}">
                  <c16:uniqueId val="{000001D1-504C-421D-AE36-2B15419FE06E}"/>
                </c:ext>
              </c:extLst>
            </c:dLbl>
            <c:dLbl>
              <c:idx val="171"/>
              <c:tx>
                <c:strRef>
                  <c:f>Frontend!$BS$181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{3967B4E2-20A2-4AF8-A0F9-73B293BDC821}</c15:txfldGUID>
                      <c15:f>Frontend!$BS$181</c15:f>
                      <c15:dlblFieldTableCache>
                        <c:ptCount val="1"/>
                      </c15:dlblFieldTableCache>
                    </c15:dlblFTEntry>
                  </c15:dlblFieldTable>
                  <c15:showDataLabelsRange val="0"/>
                </c:ext>
                <c:ext xmlns:c16="http://schemas.microsoft.com/office/drawing/2014/chart" uri="{C3380CC4-5D6E-409C-BE32-E72D297353CC}">
                  <c16:uniqueId val="{000001D2-504C-421D-AE36-2B15419FE06E}"/>
                </c:ext>
              </c:extLst>
            </c:dLbl>
            <c:dLbl>
              <c:idx val="172"/>
              <c:tx>
                <c:strRef>
                  <c:f>Frontend!$BS$182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{3710648B-C005-4401-AB28-AD6848F1C189}</c15:txfldGUID>
                      <c15:f>Frontend!$BS$182</c15:f>
                      <c15:dlblFieldTableCache>
                        <c:ptCount val="1"/>
                      </c15:dlblFieldTableCache>
                    </c15:dlblFTEntry>
                  </c15:dlblFieldTable>
                  <c15:showDataLabelsRange val="0"/>
                </c:ext>
                <c:ext xmlns:c16="http://schemas.microsoft.com/office/drawing/2014/chart" uri="{C3380CC4-5D6E-409C-BE32-E72D297353CC}">
                  <c16:uniqueId val="{000001D3-504C-421D-AE36-2B15419FE06E}"/>
                </c:ext>
              </c:extLst>
            </c:dLbl>
            <c:dLbl>
              <c:idx val="173"/>
              <c:tx>
                <c:strRef>
                  <c:f>Frontend!$BS$183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{D647E674-7313-4F12-8064-4FEA4845B71D}</c15:txfldGUID>
                      <c15:f>Frontend!$BS$183</c15:f>
                      <c15:dlblFieldTableCache>
                        <c:ptCount val="1"/>
                      </c15:dlblFieldTableCache>
                    </c15:dlblFTEntry>
                  </c15:dlblFieldTable>
                  <c15:showDataLabelsRange val="0"/>
                </c:ext>
                <c:ext xmlns:c16="http://schemas.microsoft.com/office/drawing/2014/chart" uri="{C3380CC4-5D6E-409C-BE32-E72D297353CC}">
                  <c16:uniqueId val="{000001D4-504C-421D-AE36-2B15419FE06E}"/>
                </c:ext>
              </c:extLst>
            </c:dLbl>
            <c:dLbl>
              <c:idx val="174"/>
              <c:tx>
                <c:strRef>
                  <c:f>Frontend!$BS$184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{1878EA0A-928D-4C4D-B022-5CC6F92D1060}</c15:txfldGUID>
                      <c15:f>Frontend!$BS$184</c15:f>
                      <c15:dlblFieldTableCache>
                        <c:ptCount val="1"/>
                      </c15:dlblFieldTableCache>
                    </c15:dlblFTEntry>
                  </c15:dlblFieldTable>
                  <c15:showDataLabelsRange val="0"/>
                </c:ext>
                <c:ext xmlns:c16="http://schemas.microsoft.com/office/drawing/2014/chart" uri="{C3380CC4-5D6E-409C-BE32-E72D297353CC}">
                  <c16:uniqueId val="{000001D5-504C-421D-AE36-2B15419FE06E}"/>
                </c:ext>
              </c:extLst>
            </c:dLbl>
            <c:dLbl>
              <c:idx val="175"/>
              <c:tx>
                <c:strRef>
                  <c:f>Frontend!$BS$185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{AEE73EBE-20E6-44A4-8144-BF208F13F5C7}</c15:txfldGUID>
                      <c15:f>Frontend!$BS$185</c15:f>
                      <c15:dlblFieldTableCache>
                        <c:ptCount val="1"/>
                      </c15:dlblFieldTableCache>
                    </c15:dlblFTEntry>
                  </c15:dlblFieldTable>
                  <c15:showDataLabelsRange val="0"/>
                </c:ext>
                <c:ext xmlns:c16="http://schemas.microsoft.com/office/drawing/2014/chart" uri="{C3380CC4-5D6E-409C-BE32-E72D297353CC}">
                  <c16:uniqueId val="{000001D6-504C-421D-AE36-2B15419FE06E}"/>
                </c:ext>
              </c:extLst>
            </c:dLbl>
            <c:dLbl>
              <c:idx val="176"/>
              <c:tx>
                <c:strRef>
                  <c:f>Frontend!$BS$186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{7657A593-B9A6-4231-81CF-C5E941048FDD}</c15:txfldGUID>
                      <c15:f>Frontend!$BS$186</c15:f>
                      <c15:dlblFieldTableCache>
                        <c:ptCount val="1"/>
                      </c15:dlblFieldTableCache>
                    </c15:dlblFTEntry>
                  </c15:dlblFieldTable>
                  <c15:showDataLabelsRange val="0"/>
                </c:ext>
                <c:ext xmlns:c16="http://schemas.microsoft.com/office/drawing/2014/chart" uri="{C3380CC4-5D6E-409C-BE32-E72D297353CC}">
                  <c16:uniqueId val="{000001D7-504C-421D-AE36-2B15419FE06E}"/>
                </c:ext>
              </c:extLst>
            </c:dLbl>
            <c:dLbl>
              <c:idx val="177"/>
              <c:tx>
                <c:strRef>
                  <c:f>Frontend!$BS$187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{3B06C6EC-6787-460B-9EB8-963CE40B14A5}</c15:txfldGUID>
                      <c15:f>Frontend!$BS$187</c15:f>
                      <c15:dlblFieldTableCache>
                        <c:ptCount val="1"/>
                      </c15:dlblFieldTableCache>
                    </c15:dlblFTEntry>
                  </c15:dlblFieldTable>
                  <c15:showDataLabelsRange val="0"/>
                </c:ext>
                <c:ext xmlns:c16="http://schemas.microsoft.com/office/drawing/2014/chart" uri="{C3380CC4-5D6E-409C-BE32-E72D297353CC}">
                  <c16:uniqueId val="{000001D8-504C-421D-AE36-2B15419FE06E}"/>
                </c:ext>
              </c:extLst>
            </c:dLbl>
            <c:dLbl>
              <c:idx val="178"/>
              <c:tx>
                <c:strRef>
                  <c:f>Frontend!$BS$188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{F221641A-40B1-436A-817E-A8B7E2CDCBD1}</c15:txfldGUID>
                      <c15:f>Frontend!$BS$188</c15:f>
                      <c15:dlblFieldTableCache>
                        <c:ptCount val="1"/>
                      </c15:dlblFieldTableCache>
                    </c15:dlblFTEntry>
                  </c15:dlblFieldTable>
                  <c15:showDataLabelsRange val="0"/>
                </c:ext>
                <c:ext xmlns:c16="http://schemas.microsoft.com/office/drawing/2014/chart" uri="{C3380CC4-5D6E-409C-BE32-E72D297353CC}">
                  <c16:uniqueId val="{000001D9-504C-421D-AE36-2B15419FE06E}"/>
                </c:ext>
              </c:extLst>
            </c:dLbl>
            <c:dLbl>
              <c:idx val="179"/>
              <c:tx>
                <c:strRef>
                  <c:f>Frontend!$BS$189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{E6C55A27-91F3-4077-B353-9589BEE647B6}</c15:txfldGUID>
                      <c15:f>Frontend!$BS$189</c15:f>
                      <c15:dlblFieldTableCache>
                        <c:ptCount val="1"/>
                      </c15:dlblFieldTableCache>
                    </c15:dlblFTEntry>
                  </c15:dlblFieldTable>
                  <c15:showDataLabelsRange val="0"/>
                </c:ext>
                <c:ext xmlns:c16="http://schemas.microsoft.com/office/drawing/2014/chart" uri="{C3380CC4-5D6E-409C-BE32-E72D297353CC}">
                  <c16:uniqueId val="{000001DA-504C-421D-AE36-2B15419FE06E}"/>
                </c:ext>
              </c:extLst>
            </c:dLbl>
            <c:dLbl>
              <c:idx val="180"/>
              <c:tx>
                <c:strRef>
                  <c:f>Frontend!$BS$190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{B9F99B88-AD71-4CB2-97A4-7826234EB7E1}</c15:txfldGUID>
                      <c15:f>Frontend!$BS$190</c15:f>
                      <c15:dlblFieldTableCache>
                        <c:ptCount val="1"/>
                      </c15:dlblFieldTableCache>
                    </c15:dlblFTEntry>
                  </c15:dlblFieldTable>
                  <c15:showDataLabelsRange val="0"/>
                </c:ext>
                <c:ext xmlns:c16="http://schemas.microsoft.com/office/drawing/2014/chart" uri="{C3380CC4-5D6E-409C-BE32-E72D297353CC}">
                  <c16:uniqueId val="{000001DB-504C-421D-AE36-2B15419FE06E}"/>
                </c:ext>
              </c:extLst>
            </c:dLbl>
            <c:dLbl>
              <c:idx val="181"/>
              <c:tx>
                <c:strRef>
                  <c:f>Frontend!$BS$191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{F1F112FE-DB9E-49F3-8719-EC2066B363B2}</c15:txfldGUID>
                      <c15:f>Frontend!$BS$191</c15:f>
                      <c15:dlblFieldTableCache>
                        <c:ptCount val="1"/>
                      </c15:dlblFieldTableCache>
                    </c15:dlblFTEntry>
                  </c15:dlblFieldTable>
                  <c15:showDataLabelsRange val="0"/>
                </c:ext>
                <c:ext xmlns:c16="http://schemas.microsoft.com/office/drawing/2014/chart" uri="{C3380CC4-5D6E-409C-BE32-E72D297353CC}">
                  <c16:uniqueId val="{000001DC-504C-421D-AE36-2B15419FE06E}"/>
                </c:ext>
              </c:extLst>
            </c:dLbl>
            <c:dLbl>
              <c:idx val="182"/>
              <c:tx>
                <c:strRef>
                  <c:f>Frontend!$BS$192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{0DF57FA3-9DC7-4F57-8CB7-E632D591C874}</c15:txfldGUID>
                      <c15:f>Frontend!$BS$192</c15:f>
                      <c15:dlblFieldTableCache>
                        <c:ptCount val="1"/>
                      </c15:dlblFieldTableCache>
                    </c15:dlblFTEntry>
                  </c15:dlblFieldTable>
                  <c15:showDataLabelsRange val="0"/>
                </c:ext>
                <c:ext xmlns:c16="http://schemas.microsoft.com/office/drawing/2014/chart" uri="{C3380CC4-5D6E-409C-BE32-E72D297353CC}">
                  <c16:uniqueId val="{000001DD-504C-421D-AE36-2B15419FE06E}"/>
                </c:ext>
              </c:extLst>
            </c:dLbl>
            <c:dLbl>
              <c:idx val="183"/>
              <c:tx>
                <c:strRef>
                  <c:f>Frontend!$BS$193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{8024CA8A-22FC-4C28-988C-BC5B73A2624A}</c15:txfldGUID>
                      <c15:f>Frontend!$BS$193</c15:f>
                      <c15:dlblFieldTableCache>
                        <c:ptCount val="1"/>
                      </c15:dlblFieldTableCache>
                    </c15:dlblFTEntry>
                  </c15:dlblFieldTable>
                  <c15:showDataLabelsRange val="0"/>
                </c:ext>
                <c:ext xmlns:c16="http://schemas.microsoft.com/office/drawing/2014/chart" uri="{C3380CC4-5D6E-409C-BE32-E72D297353CC}">
                  <c16:uniqueId val="{000001DE-504C-421D-AE36-2B15419FE06E}"/>
                </c:ext>
              </c:extLst>
            </c:dLbl>
            <c:dLbl>
              <c:idx val="184"/>
              <c:tx>
                <c:strRef>
                  <c:f>Frontend!$BS$194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{DA411E62-A7BC-4A7A-A65A-45349EDD13D8}</c15:txfldGUID>
                      <c15:f>Frontend!$BS$194</c15:f>
                      <c15:dlblFieldTableCache>
                        <c:ptCount val="1"/>
                      </c15:dlblFieldTableCache>
                    </c15:dlblFTEntry>
                  </c15:dlblFieldTable>
                  <c15:showDataLabelsRange val="0"/>
                </c:ext>
                <c:ext xmlns:c16="http://schemas.microsoft.com/office/drawing/2014/chart" uri="{C3380CC4-5D6E-409C-BE32-E72D297353CC}">
                  <c16:uniqueId val="{000001DF-504C-421D-AE36-2B15419FE06E}"/>
                </c:ext>
              </c:extLst>
            </c:dLbl>
            <c:dLbl>
              <c:idx val="185"/>
              <c:tx>
                <c:strRef>
                  <c:f>Frontend!$BS$195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{75BF7A59-E0E1-4F24-BAF1-3E712FA00467}</c15:txfldGUID>
                      <c15:f>Frontend!$BS$195</c15:f>
                      <c15:dlblFieldTableCache>
                        <c:ptCount val="1"/>
                      </c15:dlblFieldTableCache>
                    </c15:dlblFTEntry>
                  </c15:dlblFieldTable>
                  <c15:showDataLabelsRange val="0"/>
                </c:ext>
                <c:ext xmlns:c16="http://schemas.microsoft.com/office/drawing/2014/chart" uri="{C3380CC4-5D6E-409C-BE32-E72D297353CC}">
                  <c16:uniqueId val="{000001E0-504C-421D-AE36-2B15419FE06E}"/>
                </c:ext>
              </c:extLst>
            </c:dLbl>
            <c:dLbl>
              <c:idx val="186"/>
              <c:tx>
                <c:strRef>
                  <c:f>Frontend!$BS$196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{DEB637EE-0361-41AB-9165-2670E6B00712}</c15:txfldGUID>
                      <c15:f>Frontend!$BS$196</c15:f>
                      <c15:dlblFieldTableCache>
                        <c:ptCount val="1"/>
                      </c15:dlblFieldTableCache>
                    </c15:dlblFTEntry>
                  </c15:dlblFieldTable>
                  <c15:showDataLabelsRange val="0"/>
                </c:ext>
                <c:ext xmlns:c16="http://schemas.microsoft.com/office/drawing/2014/chart" uri="{C3380CC4-5D6E-409C-BE32-E72D297353CC}">
                  <c16:uniqueId val="{000001E1-504C-421D-AE36-2B15419FE06E}"/>
                </c:ext>
              </c:extLst>
            </c:dLbl>
            <c:dLbl>
              <c:idx val="187"/>
              <c:tx>
                <c:strRef>
                  <c:f>Frontend!$BS$197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{8B86247E-8E7A-4977-A8B4-4FB37EB37D86}</c15:txfldGUID>
                      <c15:f>Frontend!$BS$197</c15:f>
                      <c15:dlblFieldTableCache>
                        <c:ptCount val="1"/>
                      </c15:dlblFieldTableCache>
                    </c15:dlblFTEntry>
                  </c15:dlblFieldTable>
                  <c15:showDataLabelsRange val="0"/>
                </c:ext>
                <c:ext xmlns:c16="http://schemas.microsoft.com/office/drawing/2014/chart" uri="{C3380CC4-5D6E-409C-BE32-E72D297353CC}">
                  <c16:uniqueId val="{000001E2-504C-421D-AE36-2B15419FE06E}"/>
                </c:ext>
              </c:extLst>
            </c:dLbl>
            <c:dLbl>
              <c:idx val="188"/>
              <c:tx>
                <c:strRef>
                  <c:f>Frontend!$BS$198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{17FBFB51-5559-4716-AF2B-08370AAC1120}</c15:txfldGUID>
                      <c15:f>Frontend!$BS$198</c15:f>
                      <c15:dlblFieldTableCache>
                        <c:ptCount val="1"/>
                      </c15:dlblFieldTableCache>
                    </c15:dlblFTEntry>
                  </c15:dlblFieldTable>
                  <c15:showDataLabelsRange val="0"/>
                </c:ext>
                <c:ext xmlns:c16="http://schemas.microsoft.com/office/drawing/2014/chart" uri="{C3380CC4-5D6E-409C-BE32-E72D297353CC}">
                  <c16:uniqueId val="{000001E3-504C-421D-AE36-2B15419FE06E}"/>
                </c:ext>
              </c:extLst>
            </c:dLbl>
            <c:dLbl>
              <c:idx val="189"/>
              <c:tx>
                <c:strRef>
                  <c:f>Frontend!$BS$199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{A5B90124-FC82-4AEB-BAC8-C50D93D5312E}</c15:txfldGUID>
                      <c15:f>Frontend!$BS$199</c15:f>
                      <c15:dlblFieldTableCache>
                        <c:ptCount val="1"/>
                      </c15:dlblFieldTableCache>
                    </c15:dlblFTEntry>
                  </c15:dlblFieldTable>
                  <c15:showDataLabelsRange val="0"/>
                </c:ext>
                <c:ext xmlns:c16="http://schemas.microsoft.com/office/drawing/2014/chart" uri="{C3380CC4-5D6E-409C-BE32-E72D297353CC}">
                  <c16:uniqueId val="{000001E4-504C-421D-AE36-2B15419FE06E}"/>
                </c:ext>
              </c:extLst>
            </c:dLbl>
            <c:dLbl>
              <c:idx val="190"/>
              <c:tx>
                <c:strRef>
                  <c:f>Frontend!$BS$200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{B4C41513-DE8B-43C4-9240-3B5346424C7C}</c15:txfldGUID>
                      <c15:f>Frontend!$BS$200</c15:f>
                      <c15:dlblFieldTableCache>
                        <c:ptCount val="1"/>
                      </c15:dlblFieldTableCache>
                    </c15:dlblFTEntry>
                  </c15:dlblFieldTable>
                  <c15:showDataLabelsRange val="0"/>
                </c:ext>
                <c:ext xmlns:c16="http://schemas.microsoft.com/office/drawing/2014/chart" uri="{C3380CC4-5D6E-409C-BE32-E72D297353CC}">
                  <c16:uniqueId val="{000001E5-504C-421D-AE36-2B15419FE06E}"/>
                </c:ext>
              </c:extLst>
            </c:dLbl>
            <c:dLbl>
              <c:idx val="191"/>
              <c:tx>
                <c:strRef>
                  <c:f>Frontend!$BS$201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{A5FE1AF5-E335-431C-BB01-EAB54FAC19A0}</c15:txfldGUID>
                      <c15:f>Frontend!$BS$201</c15:f>
                      <c15:dlblFieldTableCache>
                        <c:ptCount val="1"/>
                      </c15:dlblFieldTableCache>
                    </c15:dlblFTEntry>
                  </c15:dlblFieldTable>
                  <c15:showDataLabelsRange val="0"/>
                </c:ext>
                <c:ext xmlns:c16="http://schemas.microsoft.com/office/drawing/2014/chart" uri="{C3380CC4-5D6E-409C-BE32-E72D297353CC}">
                  <c16:uniqueId val="{000001E6-504C-421D-AE36-2B15419FE06E}"/>
                </c:ext>
              </c:extLst>
            </c:dLbl>
            <c:dLbl>
              <c:idx val="192"/>
              <c:tx>
                <c:strRef>
                  <c:f>Frontend!$BS$202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{A083A59B-2D75-4EB0-BCBB-2081D1E19BD0}</c15:txfldGUID>
                      <c15:f>Frontend!$BS$202</c15:f>
                      <c15:dlblFieldTableCache>
                        <c:ptCount val="1"/>
                      </c15:dlblFieldTableCache>
                    </c15:dlblFTEntry>
                  </c15:dlblFieldTable>
                  <c15:showDataLabelsRange val="0"/>
                </c:ext>
                <c:ext xmlns:c16="http://schemas.microsoft.com/office/drawing/2014/chart" uri="{C3380CC4-5D6E-409C-BE32-E72D297353CC}">
                  <c16:uniqueId val="{000001E7-504C-421D-AE36-2B15419FE06E}"/>
                </c:ext>
              </c:extLst>
            </c:dLbl>
            <c:dLbl>
              <c:idx val="193"/>
              <c:tx>
                <c:strRef>
                  <c:f>Frontend!$BS$203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{E00C837E-CA76-48AC-8077-814DEB6098F8}</c15:txfldGUID>
                      <c15:f>Frontend!$BS$203</c15:f>
                      <c15:dlblFieldTableCache>
                        <c:ptCount val="1"/>
                      </c15:dlblFieldTableCache>
                    </c15:dlblFTEntry>
                  </c15:dlblFieldTable>
                  <c15:showDataLabelsRange val="0"/>
                </c:ext>
                <c:ext xmlns:c16="http://schemas.microsoft.com/office/drawing/2014/chart" uri="{C3380CC4-5D6E-409C-BE32-E72D297353CC}">
                  <c16:uniqueId val="{000001E8-504C-421D-AE36-2B15419FE06E}"/>
                </c:ext>
              </c:extLst>
            </c:dLbl>
            <c:dLbl>
              <c:idx val="194"/>
              <c:tx>
                <c:strRef>
                  <c:f>Frontend!$BS$204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{63324126-0768-463B-8488-4446D7725E9C}</c15:txfldGUID>
                      <c15:f>Frontend!$BS$204</c15:f>
                      <c15:dlblFieldTableCache>
                        <c:ptCount val="1"/>
                      </c15:dlblFieldTableCache>
                    </c15:dlblFTEntry>
                  </c15:dlblFieldTable>
                  <c15:showDataLabelsRange val="0"/>
                </c:ext>
                <c:ext xmlns:c16="http://schemas.microsoft.com/office/drawing/2014/chart" uri="{C3380CC4-5D6E-409C-BE32-E72D297353CC}">
                  <c16:uniqueId val="{000001E9-504C-421D-AE36-2B15419FE06E}"/>
                </c:ext>
              </c:extLst>
            </c:dLbl>
            <c:dLbl>
              <c:idx val="195"/>
              <c:tx>
                <c:strRef>
                  <c:f>Frontend!$BS$205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{43B4E67D-62D6-42D9-8FE3-B2BA4B40D611}</c15:txfldGUID>
                      <c15:f>Frontend!$BS$205</c15:f>
                      <c15:dlblFieldTableCache>
                        <c:ptCount val="1"/>
                      </c15:dlblFieldTableCache>
                    </c15:dlblFTEntry>
                  </c15:dlblFieldTable>
                  <c15:showDataLabelsRange val="0"/>
                </c:ext>
                <c:ext xmlns:c16="http://schemas.microsoft.com/office/drawing/2014/chart" uri="{C3380CC4-5D6E-409C-BE32-E72D297353CC}">
                  <c16:uniqueId val="{000001EA-504C-421D-AE36-2B15419FE06E}"/>
                </c:ext>
              </c:extLst>
            </c:dLbl>
            <c:dLbl>
              <c:idx val="196"/>
              <c:tx>
                <c:strRef>
                  <c:f>Frontend!$BS$206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{C765EFCF-5E5F-4375-8516-A37986305181}</c15:txfldGUID>
                      <c15:f>Frontend!$BS$206</c15:f>
                      <c15:dlblFieldTableCache>
                        <c:ptCount val="1"/>
                      </c15:dlblFieldTableCache>
                    </c15:dlblFTEntry>
                  </c15:dlblFieldTable>
                  <c15:showDataLabelsRange val="0"/>
                </c:ext>
                <c:ext xmlns:c16="http://schemas.microsoft.com/office/drawing/2014/chart" uri="{C3380CC4-5D6E-409C-BE32-E72D297353CC}">
                  <c16:uniqueId val="{000001EB-504C-421D-AE36-2B15419FE06E}"/>
                </c:ext>
              </c:extLst>
            </c:dLbl>
            <c:dLbl>
              <c:idx val="197"/>
              <c:tx>
                <c:strRef>
                  <c:f>Frontend!$BS$207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{A1C6F5E2-7661-42FB-BE20-F6E3E1229140}</c15:txfldGUID>
                      <c15:f>Frontend!$BS$207</c15:f>
                      <c15:dlblFieldTableCache>
                        <c:ptCount val="1"/>
                      </c15:dlblFieldTableCache>
                    </c15:dlblFTEntry>
                  </c15:dlblFieldTable>
                  <c15:showDataLabelsRange val="0"/>
                </c:ext>
                <c:ext xmlns:c16="http://schemas.microsoft.com/office/drawing/2014/chart" uri="{C3380CC4-5D6E-409C-BE32-E72D297353CC}">
                  <c16:uniqueId val="{000001EC-504C-421D-AE36-2B15419FE06E}"/>
                </c:ext>
              </c:extLst>
            </c:dLbl>
            <c:dLbl>
              <c:idx val="198"/>
              <c:tx>
                <c:strRef>
                  <c:f>Frontend!$BS$208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{D60837EC-B5E1-4826-B4BF-EC0BAE9E17ED}</c15:txfldGUID>
                      <c15:f>Frontend!$BS$208</c15:f>
                      <c15:dlblFieldTableCache>
                        <c:ptCount val="1"/>
                      </c15:dlblFieldTableCache>
                    </c15:dlblFTEntry>
                  </c15:dlblFieldTable>
                  <c15:showDataLabelsRange val="0"/>
                </c:ext>
                <c:ext xmlns:c16="http://schemas.microsoft.com/office/drawing/2014/chart" uri="{C3380CC4-5D6E-409C-BE32-E72D297353CC}">
                  <c16:uniqueId val="{000001ED-504C-421D-AE36-2B15419FE06E}"/>
                </c:ext>
              </c:extLst>
            </c:dLbl>
            <c:dLbl>
              <c:idx val="199"/>
              <c:tx>
                <c:strRef>
                  <c:f>Frontend!$BS$209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{3B61151F-9B8B-453A-954E-56A015D2FECF}</c15:txfldGUID>
                      <c15:f>Frontend!$BS$209</c15:f>
                      <c15:dlblFieldTableCache>
                        <c:ptCount val="1"/>
                      </c15:dlblFieldTableCache>
                    </c15:dlblFTEntry>
                  </c15:dlblFieldTable>
                  <c15:showDataLabelsRange val="0"/>
                </c:ext>
                <c:ext xmlns:c16="http://schemas.microsoft.com/office/drawing/2014/chart" uri="{C3380CC4-5D6E-409C-BE32-E72D297353CC}">
                  <c16:uniqueId val="{000001EE-504C-421D-AE36-2B15419FE06E}"/>
                </c:ext>
              </c:extLst>
            </c:dLbl>
            <c:dLbl>
              <c:idx val="200"/>
              <c:tx>
                <c:strRef>
                  <c:f>Frontend!$BS$210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{0D5B6453-D805-4B2C-ADFC-AA3F1374FBF8}</c15:txfldGUID>
                      <c15:f>Frontend!$BS$210</c15:f>
                      <c15:dlblFieldTableCache>
                        <c:ptCount val="1"/>
                      </c15:dlblFieldTableCache>
                    </c15:dlblFTEntry>
                  </c15:dlblFieldTable>
                  <c15:showDataLabelsRange val="0"/>
                </c:ext>
                <c:ext xmlns:c16="http://schemas.microsoft.com/office/drawing/2014/chart" uri="{C3380CC4-5D6E-409C-BE32-E72D297353CC}">
                  <c16:uniqueId val="{000001EF-504C-421D-AE36-2B15419FE06E}"/>
                </c:ext>
              </c:extLst>
            </c:dLbl>
            <c:dLbl>
              <c:idx val="201"/>
              <c:tx>
                <c:strRef>
                  <c:f>Frontend!$BS$211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{5845BE02-0EB0-4C74-94EB-635B211A50DB}</c15:txfldGUID>
                      <c15:f>Frontend!$BS$211</c15:f>
                      <c15:dlblFieldTableCache>
                        <c:ptCount val="1"/>
                      </c15:dlblFieldTableCache>
                    </c15:dlblFTEntry>
                  </c15:dlblFieldTable>
                  <c15:showDataLabelsRange val="0"/>
                </c:ext>
                <c:ext xmlns:c16="http://schemas.microsoft.com/office/drawing/2014/chart" uri="{C3380CC4-5D6E-409C-BE32-E72D297353CC}">
                  <c16:uniqueId val="{000001F0-504C-421D-AE36-2B15419FE06E}"/>
                </c:ext>
              </c:extLst>
            </c:dLbl>
            <c:dLbl>
              <c:idx val="202"/>
              <c:tx>
                <c:strRef>
                  <c:f>Frontend!$BS$212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{07A840C2-37D4-4DED-A69C-6BB36EA9806C}</c15:txfldGUID>
                      <c15:f>Frontend!$BS$212</c15:f>
                      <c15:dlblFieldTableCache>
                        <c:ptCount val="1"/>
                      </c15:dlblFieldTableCache>
                    </c15:dlblFTEntry>
                  </c15:dlblFieldTable>
                  <c15:showDataLabelsRange val="0"/>
                </c:ext>
                <c:ext xmlns:c16="http://schemas.microsoft.com/office/drawing/2014/chart" uri="{C3380CC4-5D6E-409C-BE32-E72D297353CC}">
                  <c16:uniqueId val="{000001F1-504C-421D-AE36-2B15419FE06E}"/>
                </c:ext>
              </c:extLst>
            </c:dLbl>
            <c:dLbl>
              <c:idx val="203"/>
              <c:tx>
                <c:strRef>
                  <c:f>Frontend!$BS$213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{5DAC4292-5875-4233-A0A5-7CD14E1D0D9E}</c15:txfldGUID>
                      <c15:f>Frontend!$BS$213</c15:f>
                      <c15:dlblFieldTableCache>
                        <c:ptCount val="1"/>
                      </c15:dlblFieldTableCache>
                    </c15:dlblFTEntry>
                  </c15:dlblFieldTable>
                  <c15:showDataLabelsRange val="0"/>
                </c:ext>
                <c:ext xmlns:c16="http://schemas.microsoft.com/office/drawing/2014/chart" uri="{C3380CC4-5D6E-409C-BE32-E72D297353CC}">
                  <c16:uniqueId val="{000001F2-504C-421D-AE36-2B15419FE06E}"/>
                </c:ext>
              </c:extLst>
            </c:dLbl>
            <c:dLbl>
              <c:idx val="204"/>
              <c:tx>
                <c:strRef>
                  <c:f>Frontend!$BS$214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{FB41D60E-7F15-4AEC-A782-496980D70F1F}</c15:txfldGUID>
                      <c15:f>Frontend!$BS$214</c15:f>
                      <c15:dlblFieldTableCache>
                        <c:ptCount val="1"/>
                      </c15:dlblFieldTableCache>
                    </c15:dlblFTEntry>
                  </c15:dlblFieldTable>
                  <c15:showDataLabelsRange val="0"/>
                </c:ext>
                <c:ext xmlns:c16="http://schemas.microsoft.com/office/drawing/2014/chart" uri="{C3380CC4-5D6E-409C-BE32-E72D297353CC}">
                  <c16:uniqueId val="{000001F3-504C-421D-AE36-2B15419FE06E}"/>
                </c:ext>
              </c:extLst>
            </c:dLbl>
            <c:dLbl>
              <c:idx val="205"/>
              <c:tx>
                <c:strRef>
                  <c:f>Frontend!$BS$215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{C3E1607F-F94D-4240-A5DA-490B96B4CF3F}</c15:txfldGUID>
                      <c15:f>Frontend!$BS$215</c15:f>
                      <c15:dlblFieldTableCache>
                        <c:ptCount val="1"/>
                      </c15:dlblFieldTableCache>
                    </c15:dlblFTEntry>
                  </c15:dlblFieldTable>
                  <c15:showDataLabelsRange val="0"/>
                </c:ext>
                <c:ext xmlns:c16="http://schemas.microsoft.com/office/drawing/2014/chart" uri="{C3380CC4-5D6E-409C-BE32-E72D297353CC}">
                  <c16:uniqueId val="{000001F4-504C-421D-AE36-2B15419FE06E}"/>
                </c:ext>
              </c:extLst>
            </c:dLbl>
            <c:dLbl>
              <c:idx val="206"/>
              <c:tx>
                <c:strRef>
                  <c:f>Frontend!$BS$216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{0EA27EA0-6BF9-4F80-9E25-FE628D65E91A}</c15:txfldGUID>
                      <c15:f>Frontend!$BS$216</c15:f>
                      <c15:dlblFieldTableCache>
                        <c:ptCount val="1"/>
                      </c15:dlblFieldTableCache>
                    </c15:dlblFTEntry>
                  </c15:dlblFieldTable>
                  <c15:showDataLabelsRange val="0"/>
                </c:ext>
                <c:ext xmlns:c16="http://schemas.microsoft.com/office/drawing/2014/chart" uri="{C3380CC4-5D6E-409C-BE32-E72D297353CC}">
                  <c16:uniqueId val="{000001F5-504C-421D-AE36-2B15419FE06E}"/>
                </c:ext>
              </c:extLst>
            </c:dLbl>
            <c:dLbl>
              <c:idx val="207"/>
              <c:tx>
                <c:strRef>
                  <c:f>Frontend!$BS$217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{CAF39D0D-B5E6-4DBD-BDEE-AFC015F35F8B}</c15:txfldGUID>
                      <c15:f>Frontend!$BS$217</c15:f>
                      <c15:dlblFieldTableCache>
                        <c:ptCount val="1"/>
                      </c15:dlblFieldTableCache>
                    </c15:dlblFTEntry>
                  </c15:dlblFieldTable>
                  <c15:showDataLabelsRange val="0"/>
                </c:ext>
                <c:ext xmlns:c16="http://schemas.microsoft.com/office/drawing/2014/chart" uri="{C3380CC4-5D6E-409C-BE32-E72D297353CC}">
                  <c16:uniqueId val="{000001F6-504C-421D-AE36-2B15419FE06E}"/>
                </c:ext>
              </c:extLst>
            </c:dLbl>
            <c:dLbl>
              <c:idx val="208"/>
              <c:tx>
                <c:strRef>
                  <c:f>Frontend!$BS$218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{D0052D58-C0C6-4C20-897D-66D6201414B9}</c15:txfldGUID>
                      <c15:f>Frontend!$BS$218</c15:f>
                      <c15:dlblFieldTableCache>
                        <c:ptCount val="1"/>
                      </c15:dlblFieldTableCache>
                    </c15:dlblFTEntry>
                  </c15:dlblFieldTable>
                  <c15:showDataLabelsRange val="0"/>
                </c:ext>
                <c:ext xmlns:c16="http://schemas.microsoft.com/office/drawing/2014/chart" uri="{C3380CC4-5D6E-409C-BE32-E72D297353CC}">
                  <c16:uniqueId val="{000001F7-504C-421D-AE36-2B15419FE06E}"/>
                </c:ext>
              </c:extLst>
            </c:dLbl>
            <c:dLbl>
              <c:idx val="209"/>
              <c:tx>
                <c:strRef>
                  <c:f>Frontend!$BS$219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{262677C8-41D8-458D-8534-DACF6D6C1CA0}</c15:txfldGUID>
                      <c15:f>Frontend!$BS$219</c15:f>
                      <c15:dlblFieldTableCache>
                        <c:ptCount val="1"/>
                      </c15:dlblFieldTableCache>
                    </c15:dlblFTEntry>
                  </c15:dlblFieldTable>
                  <c15:showDataLabelsRange val="0"/>
                </c:ext>
                <c:ext xmlns:c16="http://schemas.microsoft.com/office/drawing/2014/chart" uri="{C3380CC4-5D6E-409C-BE32-E72D297353CC}">
                  <c16:uniqueId val="{000001F8-504C-421D-AE36-2B15419FE06E}"/>
                </c:ext>
              </c:extLst>
            </c:dLbl>
            <c:dLbl>
              <c:idx val="210"/>
              <c:tx>
                <c:strRef>
                  <c:f>Frontend!$BS$220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{3EF97CF3-D95D-41E2-AFDC-67B0C3F3F008}</c15:txfldGUID>
                      <c15:f>Frontend!$BS$220</c15:f>
                      <c15:dlblFieldTableCache>
                        <c:ptCount val="1"/>
                      </c15:dlblFieldTableCache>
                    </c15:dlblFTEntry>
                  </c15:dlblFieldTable>
                  <c15:showDataLabelsRange val="0"/>
                </c:ext>
                <c:ext xmlns:c16="http://schemas.microsoft.com/office/drawing/2014/chart" uri="{C3380CC4-5D6E-409C-BE32-E72D297353CC}">
                  <c16:uniqueId val="{000001F9-504C-421D-AE36-2B15419FE06E}"/>
                </c:ext>
              </c:extLst>
            </c:dLbl>
            <c:dLbl>
              <c:idx val="211"/>
              <c:tx>
                <c:strRef>
                  <c:f>Frontend!$BS$221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{67CDF74B-FB3D-4DFD-8507-DC916F60DEA2}</c15:txfldGUID>
                      <c15:f>Frontend!$BS$221</c15:f>
                      <c15:dlblFieldTableCache>
                        <c:ptCount val="1"/>
                      </c15:dlblFieldTableCache>
                    </c15:dlblFTEntry>
                  </c15:dlblFieldTable>
                  <c15:showDataLabelsRange val="0"/>
                </c:ext>
                <c:ext xmlns:c16="http://schemas.microsoft.com/office/drawing/2014/chart" uri="{C3380CC4-5D6E-409C-BE32-E72D297353CC}">
                  <c16:uniqueId val="{000001FA-504C-421D-AE36-2B15419FE06E}"/>
                </c:ext>
              </c:extLst>
            </c:dLbl>
            <c:dLbl>
              <c:idx val="212"/>
              <c:tx>
                <c:strRef>
                  <c:f>Frontend!$BS$222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{39DD63EC-E45C-4172-B392-2FBB32C102C3}</c15:txfldGUID>
                      <c15:f>Frontend!$BS$222</c15:f>
                      <c15:dlblFieldTableCache>
                        <c:ptCount val="1"/>
                      </c15:dlblFieldTableCache>
                    </c15:dlblFTEntry>
                  </c15:dlblFieldTable>
                  <c15:showDataLabelsRange val="0"/>
                </c:ext>
                <c:ext xmlns:c16="http://schemas.microsoft.com/office/drawing/2014/chart" uri="{C3380CC4-5D6E-409C-BE32-E72D297353CC}">
                  <c16:uniqueId val="{000001FB-504C-421D-AE36-2B15419FE06E}"/>
                </c:ext>
              </c:extLst>
            </c:dLbl>
            <c:dLbl>
              <c:idx val="213"/>
              <c:tx>
                <c:strRef>
                  <c:f>Frontend!$BS$223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{3E8116BB-530D-44AE-B5BA-69D6D3FE5C3C}</c15:txfldGUID>
                      <c15:f>Frontend!$BS$223</c15:f>
                      <c15:dlblFieldTableCache>
                        <c:ptCount val="1"/>
                      </c15:dlblFieldTableCache>
                    </c15:dlblFTEntry>
                  </c15:dlblFieldTable>
                  <c15:showDataLabelsRange val="0"/>
                </c:ext>
                <c:ext xmlns:c16="http://schemas.microsoft.com/office/drawing/2014/chart" uri="{C3380CC4-5D6E-409C-BE32-E72D297353CC}">
                  <c16:uniqueId val="{000001FC-504C-421D-AE36-2B15419FE06E}"/>
                </c:ext>
              </c:extLst>
            </c:dLbl>
            <c:dLbl>
              <c:idx val="214"/>
              <c:tx>
                <c:strRef>
                  <c:f>Frontend!$BS$224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{5249E43A-E821-48C7-AA4F-E9AD83091B50}</c15:txfldGUID>
                      <c15:f>Frontend!$BS$224</c15:f>
                      <c15:dlblFieldTableCache>
                        <c:ptCount val="1"/>
                      </c15:dlblFieldTableCache>
                    </c15:dlblFTEntry>
                  </c15:dlblFieldTable>
                  <c15:showDataLabelsRange val="0"/>
                </c:ext>
                <c:ext xmlns:c16="http://schemas.microsoft.com/office/drawing/2014/chart" uri="{C3380CC4-5D6E-409C-BE32-E72D297353CC}">
                  <c16:uniqueId val="{000001FD-504C-421D-AE36-2B15419FE06E}"/>
                </c:ext>
              </c:extLst>
            </c:dLbl>
            <c:dLbl>
              <c:idx val="215"/>
              <c:tx>
                <c:strRef>
                  <c:f>Frontend!$BS$225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{A8902914-A361-4CEC-87FF-D0D735B6ED0A}</c15:txfldGUID>
                      <c15:f>Frontend!$BS$225</c15:f>
                      <c15:dlblFieldTableCache>
                        <c:ptCount val="1"/>
                      </c15:dlblFieldTableCache>
                    </c15:dlblFTEntry>
                  </c15:dlblFieldTable>
                  <c15:showDataLabelsRange val="0"/>
                </c:ext>
                <c:ext xmlns:c16="http://schemas.microsoft.com/office/drawing/2014/chart" uri="{C3380CC4-5D6E-409C-BE32-E72D297353CC}">
                  <c16:uniqueId val="{000001FE-504C-421D-AE36-2B15419FE06E}"/>
                </c:ext>
              </c:extLst>
            </c:dLbl>
            <c:dLbl>
              <c:idx val="216"/>
              <c:tx>
                <c:strRef>
                  <c:f>Frontend!$BS$226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{4CEA197F-E274-47A5-9BC7-BBE5DBDBD876}</c15:txfldGUID>
                      <c15:f>Frontend!$BS$226</c15:f>
                      <c15:dlblFieldTableCache>
                        <c:ptCount val="1"/>
                      </c15:dlblFieldTableCache>
                    </c15:dlblFTEntry>
                  </c15:dlblFieldTable>
                  <c15:showDataLabelsRange val="0"/>
                </c:ext>
                <c:ext xmlns:c16="http://schemas.microsoft.com/office/drawing/2014/chart" uri="{C3380CC4-5D6E-409C-BE32-E72D297353CC}">
                  <c16:uniqueId val="{000001FF-504C-421D-AE36-2B15419FE06E}"/>
                </c:ext>
              </c:extLst>
            </c:dLbl>
            <c:dLbl>
              <c:idx val="217"/>
              <c:tx>
                <c:strRef>
                  <c:f>Frontend!$BS$227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{3A010E4A-4966-4C4A-9A8B-BD2205BFF490}</c15:txfldGUID>
                      <c15:f>Frontend!$BS$227</c15:f>
                      <c15:dlblFieldTableCache>
                        <c:ptCount val="1"/>
                      </c15:dlblFieldTableCache>
                    </c15:dlblFTEntry>
                  </c15:dlblFieldTable>
                  <c15:showDataLabelsRange val="0"/>
                </c:ext>
                <c:ext xmlns:c16="http://schemas.microsoft.com/office/drawing/2014/chart" uri="{C3380CC4-5D6E-409C-BE32-E72D297353CC}">
                  <c16:uniqueId val="{00000200-504C-421D-AE36-2B15419FE06E}"/>
                </c:ext>
              </c:extLst>
            </c:dLbl>
            <c:dLbl>
              <c:idx val="218"/>
              <c:tx>
                <c:strRef>
                  <c:f>Frontend!$BS$228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{F2B83788-0105-4835-B1E3-58FF73D200E0}</c15:txfldGUID>
                      <c15:f>Frontend!$BS$228</c15:f>
                      <c15:dlblFieldTableCache>
                        <c:ptCount val="1"/>
                      </c15:dlblFieldTableCache>
                    </c15:dlblFTEntry>
                  </c15:dlblFieldTable>
                  <c15:showDataLabelsRange val="0"/>
                </c:ext>
                <c:ext xmlns:c16="http://schemas.microsoft.com/office/drawing/2014/chart" uri="{C3380CC4-5D6E-409C-BE32-E72D297353CC}">
                  <c16:uniqueId val="{00000201-504C-421D-AE36-2B15419FE06E}"/>
                </c:ext>
              </c:extLst>
            </c:dLbl>
            <c:dLbl>
              <c:idx val="219"/>
              <c:tx>
                <c:strRef>
                  <c:f>Frontend!$BS$229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{C1F01A05-4EB6-4D88-824C-621E1336B706}</c15:txfldGUID>
                      <c15:f>Frontend!$BS$229</c15:f>
                      <c15:dlblFieldTableCache>
                        <c:ptCount val="1"/>
                      </c15:dlblFieldTableCache>
                    </c15:dlblFTEntry>
                  </c15:dlblFieldTable>
                  <c15:showDataLabelsRange val="0"/>
                </c:ext>
                <c:ext xmlns:c16="http://schemas.microsoft.com/office/drawing/2014/chart" uri="{C3380CC4-5D6E-409C-BE32-E72D297353CC}">
                  <c16:uniqueId val="{00000202-504C-421D-AE36-2B15419FE06E}"/>
                </c:ext>
              </c:extLst>
            </c:dLbl>
            <c:dLbl>
              <c:idx val="220"/>
              <c:tx>
                <c:strRef>
                  <c:f>Frontend!$BS$230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{96260EEA-78B7-49DD-8380-747177CDC396}</c15:txfldGUID>
                      <c15:f>Frontend!$BS$230</c15:f>
                      <c15:dlblFieldTableCache>
                        <c:ptCount val="1"/>
                      </c15:dlblFieldTableCache>
                    </c15:dlblFTEntry>
                  </c15:dlblFieldTable>
                  <c15:showDataLabelsRange val="0"/>
                </c:ext>
                <c:ext xmlns:c16="http://schemas.microsoft.com/office/drawing/2014/chart" uri="{C3380CC4-5D6E-409C-BE32-E72D297353CC}">
                  <c16:uniqueId val="{00000203-504C-421D-AE36-2B15419FE06E}"/>
                </c:ext>
              </c:extLst>
            </c:dLbl>
            <c:dLbl>
              <c:idx val="221"/>
              <c:tx>
                <c:strRef>
                  <c:f>Frontend!$BS$231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{06B3635E-DB04-4529-BF3D-6BD1770D068D}</c15:txfldGUID>
                      <c15:f>Frontend!$BS$231</c15:f>
                      <c15:dlblFieldTableCache>
                        <c:ptCount val="1"/>
                      </c15:dlblFieldTableCache>
                    </c15:dlblFTEntry>
                  </c15:dlblFieldTable>
                  <c15:showDataLabelsRange val="0"/>
                </c:ext>
                <c:ext xmlns:c16="http://schemas.microsoft.com/office/drawing/2014/chart" uri="{C3380CC4-5D6E-409C-BE32-E72D297353CC}">
                  <c16:uniqueId val="{00000204-504C-421D-AE36-2B15419FE06E}"/>
                </c:ext>
              </c:extLst>
            </c:dLbl>
            <c:dLbl>
              <c:idx val="222"/>
              <c:tx>
                <c:strRef>
                  <c:f>Frontend!$BS$232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{3BCE7C95-7589-4812-82CE-EA8AE930D8BF}</c15:txfldGUID>
                      <c15:f>Frontend!$BS$232</c15:f>
                      <c15:dlblFieldTableCache>
                        <c:ptCount val="1"/>
                      </c15:dlblFieldTableCache>
                    </c15:dlblFTEntry>
                  </c15:dlblFieldTable>
                  <c15:showDataLabelsRange val="0"/>
                </c:ext>
                <c:ext xmlns:c16="http://schemas.microsoft.com/office/drawing/2014/chart" uri="{C3380CC4-5D6E-409C-BE32-E72D297353CC}">
                  <c16:uniqueId val="{00000205-504C-421D-AE36-2B15419FE06E}"/>
                </c:ext>
              </c:extLst>
            </c:dLbl>
            <c:dLbl>
              <c:idx val="223"/>
              <c:tx>
                <c:strRef>
                  <c:f>Frontend!$BS$233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{821021E6-3025-457B-9E6A-872465961F0A}</c15:txfldGUID>
                      <c15:f>Frontend!$BS$233</c15:f>
                      <c15:dlblFieldTableCache>
                        <c:ptCount val="1"/>
                      </c15:dlblFieldTableCache>
                    </c15:dlblFTEntry>
                  </c15:dlblFieldTable>
                  <c15:showDataLabelsRange val="0"/>
                </c:ext>
                <c:ext xmlns:c16="http://schemas.microsoft.com/office/drawing/2014/chart" uri="{C3380CC4-5D6E-409C-BE32-E72D297353CC}">
                  <c16:uniqueId val="{00000206-504C-421D-AE36-2B15419FE06E}"/>
                </c:ext>
              </c:extLst>
            </c:dLbl>
            <c:dLbl>
              <c:idx val="224"/>
              <c:tx>
                <c:strRef>
                  <c:f>Frontend!$BS$234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{AC0272C3-58F4-48FE-B8C1-021EF88C4E53}</c15:txfldGUID>
                      <c15:f>Frontend!$BS$234</c15:f>
                      <c15:dlblFieldTableCache>
                        <c:ptCount val="1"/>
                      </c15:dlblFieldTableCache>
                    </c15:dlblFTEntry>
                  </c15:dlblFieldTable>
                  <c15:showDataLabelsRange val="0"/>
                </c:ext>
                <c:ext xmlns:c16="http://schemas.microsoft.com/office/drawing/2014/chart" uri="{C3380CC4-5D6E-409C-BE32-E72D297353CC}">
                  <c16:uniqueId val="{00000207-504C-421D-AE36-2B15419FE06E}"/>
                </c:ext>
              </c:extLst>
            </c:dLbl>
            <c:dLbl>
              <c:idx val="225"/>
              <c:tx>
                <c:strRef>
                  <c:f>Frontend!$BS$235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{302FDD78-50E4-40CD-83EE-C7667CC6A9DD}</c15:txfldGUID>
                      <c15:f>Frontend!$BS$235</c15:f>
                      <c15:dlblFieldTableCache>
                        <c:ptCount val="1"/>
                      </c15:dlblFieldTableCache>
                    </c15:dlblFTEntry>
                  </c15:dlblFieldTable>
                  <c15:showDataLabelsRange val="0"/>
                </c:ext>
                <c:ext xmlns:c16="http://schemas.microsoft.com/office/drawing/2014/chart" uri="{C3380CC4-5D6E-409C-BE32-E72D297353CC}">
                  <c16:uniqueId val="{00000208-504C-421D-AE36-2B15419FE06E}"/>
                </c:ext>
              </c:extLst>
            </c:dLbl>
            <c:dLbl>
              <c:idx val="226"/>
              <c:tx>
                <c:strRef>
                  <c:f>Frontend!$BS$236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{9B359812-F5DE-4A9E-8933-358FD86B0A4B}</c15:txfldGUID>
                      <c15:f>Frontend!$BS$236</c15:f>
                      <c15:dlblFieldTableCache>
                        <c:ptCount val="1"/>
                      </c15:dlblFieldTableCache>
                    </c15:dlblFTEntry>
                  </c15:dlblFieldTable>
                  <c15:showDataLabelsRange val="0"/>
                </c:ext>
                <c:ext xmlns:c16="http://schemas.microsoft.com/office/drawing/2014/chart" uri="{C3380CC4-5D6E-409C-BE32-E72D297353CC}">
                  <c16:uniqueId val="{00000209-504C-421D-AE36-2B15419FE06E}"/>
                </c:ext>
              </c:extLst>
            </c:dLbl>
            <c:dLbl>
              <c:idx val="227"/>
              <c:tx>
                <c:strRef>
                  <c:f>Frontend!$BS$237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{A25C0120-2685-4252-B06A-37CFDE6F80D7}</c15:txfldGUID>
                      <c15:f>Frontend!$BS$237</c15:f>
                      <c15:dlblFieldTableCache>
                        <c:ptCount val="1"/>
                      </c15:dlblFieldTableCache>
                    </c15:dlblFTEntry>
                  </c15:dlblFieldTable>
                  <c15:showDataLabelsRange val="0"/>
                </c:ext>
                <c:ext xmlns:c16="http://schemas.microsoft.com/office/drawing/2014/chart" uri="{C3380CC4-5D6E-409C-BE32-E72D297353CC}">
                  <c16:uniqueId val="{0000020A-504C-421D-AE36-2B15419FE06E}"/>
                </c:ext>
              </c:extLst>
            </c:dLbl>
            <c:dLbl>
              <c:idx val="228"/>
              <c:tx>
                <c:strRef>
                  <c:f>Frontend!$BS$238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{627F96D1-A9C9-473F-9591-55C2C0621158}</c15:txfldGUID>
                      <c15:f>Frontend!$BS$238</c15:f>
                      <c15:dlblFieldTableCache>
                        <c:ptCount val="1"/>
                      </c15:dlblFieldTableCache>
                    </c15:dlblFTEntry>
                  </c15:dlblFieldTable>
                  <c15:showDataLabelsRange val="0"/>
                </c:ext>
                <c:ext xmlns:c16="http://schemas.microsoft.com/office/drawing/2014/chart" uri="{C3380CC4-5D6E-409C-BE32-E72D297353CC}">
                  <c16:uniqueId val="{0000020B-504C-421D-AE36-2B15419FE06E}"/>
                </c:ext>
              </c:extLst>
            </c:dLbl>
            <c:dLbl>
              <c:idx val="229"/>
              <c:tx>
                <c:strRef>
                  <c:f>Frontend!$BS$239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{FE6165A9-C265-4AD1-A96B-A168BB6D40D9}</c15:txfldGUID>
                      <c15:f>Frontend!$BS$239</c15:f>
                      <c15:dlblFieldTableCache>
                        <c:ptCount val="1"/>
                      </c15:dlblFieldTableCache>
                    </c15:dlblFTEntry>
                  </c15:dlblFieldTable>
                  <c15:showDataLabelsRange val="0"/>
                </c:ext>
                <c:ext xmlns:c16="http://schemas.microsoft.com/office/drawing/2014/chart" uri="{C3380CC4-5D6E-409C-BE32-E72D297353CC}">
                  <c16:uniqueId val="{0000020C-504C-421D-AE36-2B15419FE06E}"/>
                </c:ext>
              </c:extLst>
            </c:dLbl>
            <c:dLbl>
              <c:idx val="230"/>
              <c:tx>
                <c:strRef>
                  <c:f>Frontend!$BS$240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{37BA3887-88A3-457A-8C7D-55C0AA470D0D}</c15:txfldGUID>
                      <c15:f>Frontend!$BS$240</c15:f>
                      <c15:dlblFieldTableCache>
                        <c:ptCount val="1"/>
                      </c15:dlblFieldTableCache>
                    </c15:dlblFTEntry>
                  </c15:dlblFieldTable>
                  <c15:showDataLabelsRange val="0"/>
                </c:ext>
                <c:ext xmlns:c16="http://schemas.microsoft.com/office/drawing/2014/chart" uri="{C3380CC4-5D6E-409C-BE32-E72D297353CC}">
                  <c16:uniqueId val="{0000020D-504C-421D-AE36-2B15419FE06E}"/>
                </c:ext>
              </c:extLst>
            </c:dLbl>
            <c:dLbl>
              <c:idx val="231"/>
              <c:tx>
                <c:strRef>
                  <c:f>Frontend!$BS$241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{DBC72862-33BC-4AAF-8D46-876D0EEA1A84}</c15:txfldGUID>
                      <c15:f>Frontend!$BS$241</c15:f>
                      <c15:dlblFieldTableCache>
                        <c:ptCount val="1"/>
                      </c15:dlblFieldTableCache>
                    </c15:dlblFTEntry>
                  </c15:dlblFieldTable>
                  <c15:showDataLabelsRange val="0"/>
                </c:ext>
                <c:ext xmlns:c16="http://schemas.microsoft.com/office/drawing/2014/chart" uri="{C3380CC4-5D6E-409C-BE32-E72D297353CC}">
                  <c16:uniqueId val="{0000020E-504C-421D-AE36-2B15419FE06E}"/>
                </c:ext>
              </c:extLst>
            </c:dLbl>
            <c:dLbl>
              <c:idx val="232"/>
              <c:tx>
                <c:strRef>
                  <c:f>Frontend!$BS$242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{02463A52-0750-4212-8F1F-EBFA2914B8A7}</c15:txfldGUID>
                      <c15:f>Frontend!$BS$242</c15:f>
                      <c15:dlblFieldTableCache>
                        <c:ptCount val="1"/>
                      </c15:dlblFieldTableCache>
                    </c15:dlblFTEntry>
                  </c15:dlblFieldTable>
                  <c15:showDataLabelsRange val="0"/>
                </c:ext>
                <c:ext xmlns:c16="http://schemas.microsoft.com/office/drawing/2014/chart" uri="{C3380CC4-5D6E-409C-BE32-E72D297353CC}">
                  <c16:uniqueId val="{0000020F-504C-421D-AE36-2B15419FE06E}"/>
                </c:ext>
              </c:extLst>
            </c:dLbl>
            <c:dLbl>
              <c:idx val="233"/>
              <c:tx>
                <c:strRef>
                  <c:f>Frontend!$BS$243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{4C7F6057-AFB5-4244-8E08-86E7E8442F14}</c15:txfldGUID>
                      <c15:f>Frontend!$BS$243</c15:f>
                      <c15:dlblFieldTableCache>
                        <c:ptCount val="1"/>
                      </c15:dlblFieldTableCache>
                    </c15:dlblFTEntry>
                  </c15:dlblFieldTable>
                  <c15:showDataLabelsRange val="0"/>
                </c:ext>
                <c:ext xmlns:c16="http://schemas.microsoft.com/office/drawing/2014/chart" uri="{C3380CC4-5D6E-409C-BE32-E72D297353CC}">
                  <c16:uniqueId val="{00000210-504C-421D-AE36-2B15419FE06E}"/>
                </c:ext>
              </c:extLst>
            </c:dLbl>
            <c:dLbl>
              <c:idx val="234"/>
              <c:tx>
                <c:strRef>
                  <c:f>Frontend!$BS$244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{F178DFD6-6E25-42F0-87F2-11CE7E8934A9}</c15:txfldGUID>
                      <c15:f>Frontend!$BS$244</c15:f>
                      <c15:dlblFieldTableCache>
                        <c:ptCount val="1"/>
                      </c15:dlblFieldTableCache>
                    </c15:dlblFTEntry>
                  </c15:dlblFieldTable>
                  <c15:showDataLabelsRange val="0"/>
                </c:ext>
                <c:ext xmlns:c16="http://schemas.microsoft.com/office/drawing/2014/chart" uri="{C3380CC4-5D6E-409C-BE32-E72D297353CC}">
                  <c16:uniqueId val="{00000211-504C-421D-AE36-2B15419FE06E}"/>
                </c:ext>
              </c:extLst>
            </c:dLbl>
            <c:dLbl>
              <c:idx val="235"/>
              <c:tx>
                <c:strRef>
                  <c:f>Frontend!$BS$245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{F12C95B9-3D1D-4404-A1D5-0A071EA80FC3}</c15:txfldGUID>
                      <c15:f>Frontend!$BS$245</c15:f>
                      <c15:dlblFieldTableCache>
                        <c:ptCount val="1"/>
                      </c15:dlblFieldTableCache>
                    </c15:dlblFTEntry>
                  </c15:dlblFieldTable>
                  <c15:showDataLabelsRange val="0"/>
                </c:ext>
                <c:ext xmlns:c16="http://schemas.microsoft.com/office/drawing/2014/chart" uri="{C3380CC4-5D6E-409C-BE32-E72D297353CC}">
                  <c16:uniqueId val="{00000212-504C-421D-AE36-2B15419FE06E}"/>
                </c:ext>
              </c:extLst>
            </c:dLbl>
            <c:dLbl>
              <c:idx val="236"/>
              <c:tx>
                <c:strRef>
                  <c:f>Frontend!$BS$246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{1DACE114-D3FE-4049-AEE2-5A3B506B5277}</c15:txfldGUID>
                      <c15:f>Frontend!$BS$246</c15:f>
                      <c15:dlblFieldTableCache>
                        <c:ptCount val="1"/>
                      </c15:dlblFieldTableCache>
                    </c15:dlblFTEntry>
                  </c15:dlblFieldTable>
                  <c15:showDataLabelsRange val="0"/>
                </c:ext>
                <c:ext xmlns:c16="http://schemas.microsoft.com/office/drawing/2014/chart" uri="{C3380CC4-5D6E-409C-BE32-E72D297353CC}">
                  <c16:uniqueId val="{00000213-504C-421D-AE36-2B15419FE06E}"/>
                </c:ext>
              </c:extLst>
            </c:dLbl>
            <c:dLbl>
              <c:idx val="237"/>
              <c:tx>
                <c:strRef>
                  <c:f>Frontend!$BS$247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{B944C525-B300-465F-AC95-D9A325A43FC4}</c15:txfldGUID>
                      <c15:f>Frontend!$BS$247</c15:f>
                      <c15:dlblFieldTableCache>
                        <c:ptCount val="1"/>
                      </c15:dlblFieldTableCache>
                    </c15:dlblFTEntry>
                  </c15:dlblFieldTable>
                  <c15:showDataLabelsRange val="0"/>
                </c:ext>
                <c:ext xmlns:c16="http://schemas.microsoft.com/office/drawing/2014/chart" uri="{C3380CC4-5D6E-409C-BE32-E72D297353CC}">
                  <c16:uniqueId val="{00000214-504C-421D-AE36-2B15419FE06E}"/>
                </c:ext>
              </c:extLst>
            </c:dLbl>
            <c:dLbl>
              <c:idx val="238"/>
              <c:tx>
                <c:strRef>
                  <c:f>Frontend!$BS$248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{0BB995A2-8B09-4DFA-B1C1-C0F17C6DE65B}</c15:txfldGUID>
                      <c15:f>Frontend!$BS$248</c15:f>
                      <c15:dlblFieldTableCache>
                        <c:ptCount val="1"/>
                      </c15:dlblFieldTableCache>
                    </c15:dlblFTEntry>
                  </c15:dlblFieldTable>
                  <c15:showDataLabelsRange val="0"/>
                </c:ext>
                <c:ext xmlns:c16="http://schemas.microsoft.com/office/drawing/2014/chart" uri="{C3380CC4-5D6E-409C-BE32-E72D297353CC}">
                  <c16:uniqueId val="{00000215-504C-421D-AE36-2B15419FE06E}"/>
                </c:ext>
              </c:extLst>
            </c:dLbl>
            <c:dLbl>
              <c:idx val="239"/>
              <c:tx>
                <c:strRef>
                  <c:f>Frontend!$BS$249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{8CF981CB-08C1-4EC2-A417-E0BF9DE668BB}</c15:txfldGUID>
                      <c15:f>Frontend!$BS$249</c15:f>
                      <c15:dlblFieldTableCache>
                        <c:ptCount val="1"/>
                      </c15:dlblFieldTableCache>
                    </c15:dlblFTEntry>
                  </c15:dlblFieldTable>
                  <c15:showDataLabelsRange val="0"/>
                </c:ext>
                <c:ext xmlns:c16="http://schemas.microsoft.com/office/drawing/2014/chart" uri="{C3380CC4-5D6E-409C-BE32-E72D297353CC}">
                  <c16:uniqueId val="{00000216-504C-421D-AE36-2B15419FE06E}"/>
                </c:ext>
              </c:extLst>
            </c:dLbl>
            <c:dLbl>
              <c:idx val="240"/>
              <c:tx>
                <c:strRef>
                  <c:f>Frontend!$BS$250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{9114B234-ED13-493E-94C9-84B667F8FC13}</c15:txfldGUID>
                      <c15:f>Frontend!$BS$250</c15:f>
                      <c15:dlblFieldTableCache>
                        <c:ptCount val="1"/>
                      </c15:dlblFieldTableCache>
                    </c15:dlblFTEntry>
                  </c15:dlblFieldTable>
                  <c15:showDataLabelsRange val="0"/>
                </c:ext>
                <c:ext xmlns:c16="http://schemas.microsoft.com/office/drawing/2014/chart" uri="{C3380CC4-5D6E-409C-BE32-E72D297353CC}">
                  <c16:uniqueId val="{00000217-504C-421D-AE36-2B15419FE06E}"/>
                </c:ext>
              </c:extLst>
            </c:dLbl>
            <c:dLbl>
              <c:idx val="241"/>
              <c:tx>
                <c:strRef>
                  <c:f>Frontend!$BS$251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{5BDE5B70-CD0E-4868-BBA3-9B459D4630EB}</c15:txfldGUID>
                      <c15:f>Frontend!$BS$251</c15:f>
                      <c15:dlblFieldTableCache>
                        <c:ptCount val="1"/>
                      </c15:dlblFieldTableCache>
                    </c15:dlblFTEntry>
                  </c15:dlblFieldTable>
                  <c15:showDataLabelsRange val="0"/>
                </c:ext>
                <c:ext xmlns:c16="http://schemas.microsoft.com/office/drawing/2014/chart" uri="{C3380CC4-5D6E-409C-BE32-E72D297353CC}">
                  <c16:uniqueId val="{00000218-504C-421D-AE36-2B15419FE06E}"/>
                </c:ext>
              </c:extLst>
            </c:dLbl>
            <c:dLbl>
              <c:idx val="242"/>
              <c:tx>
                <c:strRef>
                  <c:f>Frontend!$BS$252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{814C4A1A-DB6E-4BBA-923F-3A0B84F4C410}</c15:txfldGUID>
                      <c15:f>Frontend!$BS$252</c15:f>
                      <c15:dlblFieldTableCache>
                        <c:ptCount val="1"/>
                      </c15:dlblFieldTableCache>
                    </c15:dlblFTEntry>
                  </c15:dlblFieldTable>
                  <c15:showDataLabelsRange val="0"/>
                </c:ext>
                <c:ext xmlns:c16="http://schemas.microsoft.com/office/drawing/2014/chart" uri="{C3380CC4-5D6E-409C-BE32-E72D297353CC}">
                  <c16:uniqueId val="{00000219-504C-421D-AE36-2B15419FE06E}"/>
                </c:ext>
              </c:extLst>
            </c:dLbl>
            <c:dLbl>
              <c:idx val="243"/>
              <c:tx>
                <c:strRef>
                  <c:f>Frontend!$BS$253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{589A349A-C556-4569-8C37-9C6BBE2F2804}</c15:txfldGUID>
                      <c15:f>Frontend!$BS$253</c15:f>
                      <c15:dlblFieldTableCache>
                        <c:ptCount val="1"/>
                      </c15:dlblFieldTableCache>
                    </c15:dlblFTEntry>
                  </c15:dlblFieldTable>
                  <c15:showDataLabelsRange val="0"/>
                </c:ext>
                <c:ext xmlns:c16="http://schemas.microsoft.com/office/drawing/2014/chart" uri="{C3380CC4-5D6E-409C-BE32-E72D297353CC}">
                  <c16:uniqueId val="{0000021A-504C-421D-AE36-2B15419FE06E}"/>
                </c:ext>
              </c:extLst>
            </c:dLbl>
            <c:dLbl>
              <c:idx val="244"/>
              <c:tx>
                <c:strRef>
                  <c:f>Frontend!$BS$254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{966920D4-FB36-40AC-8D10-1D55269B778D}</c15:txfldGUID>
                      <c15:f>Frontend!$BS$254</c15:f>
                      <c15:dlblFieldTableCache>
                        <c:ptCount val="1"/>
                      </c15:dlblFieldTableCache>
                    </c15:dlblFTEntry>
                  </c15:dlblFieldTable>
                  <c15:showDataLabelsRange val="0"/>
                </c:ext>
                <c:ext xmlns:c16="http://schemas.microsoft.com/office/drawing/2014/chart" uri="{C3380CC4-5D6E-409C-BE32-E72D297353CC}">
                  <c16:uniqueId val="{0000021B-504C-421D-AE36-2B15419FE06E}"/>
                </c:ext>
              </c:extLst>
            </c:dLbl>
            <c:dLbl>
              <c:idx val="245"/>
              <c:tx>
                <c:strRef>
                  <c:f>Frontend!$BS$255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{96172545-FF11-4172-96E8-7BAF1C1A1E39}</c15:txfldGUID>
                      <c15:f>Frontend!$BS$255</c15:f>
                      <c15:dlblFieldTableCache>
                        <c:ptCount val="1"/>
                      </c15:dlblFieldTableCache>
                    </c15:dlblFTEntry>
                  </c15:dlblFieldTable>
                  <c15:showDataLabelsRange val="0"/>
                </c:ext>
                <c:ext xmlns:c16="http://schemas.microsoft.com/office/drawing/2014/chart" uri="{C3380CC4-5D6E-409C-BE32-E72D297353CC}">
                  <c16:uniqueId val="{0000021C-504C-421D-AE36-2B15419FE06E}"/>
                </c:ext>
              </c:extLst>
            </c:dLbl>
            <c:dLbl>
              <c:idx val="246"/>
              <c:tx>
                <c:strRef>
                  <c:f>Frontend!$BS$256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{C5985FA5-4E8E-4C3D-B503-F123A73D1D41}</c15:txfldGUID>
                      <c15:f>Frontend!$BS$256</c15:f>
                      <c15:dlblFieldTableCache>
                        <c:ptCount val="1"/>
                      </c15:dlblFieldTableCache>
                    </c15:dlblFTEntry>
                  </c15:dlblFieldTable>
                  <c15:showDataLabelsRange val="0"/>
                </c:ext>
                <c:ext xmlns:c16="http://schemas.microsoft.com/office/drawing/2014/chart" uri="{C3380CC4-5D6E-409C-BE32-E72D297353CC}">
                  <c16:uniqueId val="{0000021D-504C-421D-AE36-2B15419FE06E}"/>
                </c:ext>
              </c:extLst>
            </c:dLbl>
            <c:dLbl>
              <c:idx val="247"/>
              <c:tx>
                <c:strRef>
                  <c:f>Frontend!$BS$257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{B766F864-599D-4418-ACBE-36081F925E42}</c15:txfldGUID>
                      <c15:f>Frontend!$BS$257</c15:f>
                      <c15:dlblFieldTableCache>
                        <c:ptCount val="1"/>
                      </c15:dlblFieldTableCache>
                    </c15:dlblFTEntry>
                  </c15:dlblFieldTable>
                  <c15:showDataLabelsRange val="0"/>
                </c:ext>
                <c:ext xmlns:c16="http://schemas.microsoft.com/office/drawing/2014/chart" uri="{C3380CC4-5D6E-409C-BE32-E72D297353CC}">
                  <c16:uniqueId val="{0000021E-504C-421D-AE36-2B15419FE06E}"/>
                </c:ext>
              </c:extLst>
            </c:dLbl>
            <c:dLbl>
              <c:idx val="248"/>
              <c:tx>
                <c:strRef>
                  <c:f>Frontend!$BS$258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{4E68540C-6069-4983-8C70-6003B2ACAEFD}</c15:txfldGUID>
                      <c15:f>Frontend!$BS$258</c15:f>
                      <c15:dlblFieldTableCache>
                        <c:ptCount val="1"/>
                      </c15:dlblFieldTableCache>
                    </c15:dlblFTEntry>
                  </c15:dlblFieldTable>
                  <c15:showDataLabelsRange val="0"/>
                </c:ext>
                <c:ext xmlns:c16="http://schemas.microsoft.com/office/drawing/2014/chart" uri="{C3380CC4-5D6E-409C-BE32-E72D297353CC}">
                  <c16:uniqueId val="{0000021F-504C-421D-AE36-2B15419FE06E}"/>
                </c:ext>
              </c:extLst>
            </c:dLbl>
            <c:dLbl>
              <c:idx val="249"/>
              <c:tx>
                <c:strRef>
                  <c:f>Frontend!$BS$259</c:f>
                  <c:strCache>
                    <c:ptCount val="1"/>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{48C9E775-0CF8-48F5-A10C-9596A202E668}</c15:txfldGUID>
                      <c15:f>Frontend!$BS$259</c15:f>
                      <c15:dlblFieldTableCache>
                        <c:ptCount val="1"/>
                      </c15:dlblFieldTableCache>
                    </c15:dlblFTEntry>
                  </c15:dlblFieldTable>
                  <c15:showDataLabelsRange val="0"/>
                </c:ext>
                <c:ext xmlns:c16="http://schemas.microsoft.com/office/drawing/2014/chart" uri="{C3380CC4-5D6E-409C-BE32-E72D297353CC}">
                  <c16:uniqueId val="{00000220-504C-421D-AE36-2B15419FE06E}"/>
                </c:ext>
              </c:extLst>
            </c:dLbl>
            <c:dLbl>
              <c:idx val="250"/>
              <c:tx>
                <c:strRef>
                  <c:f>Frontend!$BS$260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{39769B31-AA2E-4753-86A6-04DDCC49674C}</c15:txfldGUID>
                      <c15:f>Frontend!$BS$260</c15:f>
                      <c15:dlblFieldTableCache>
                        <c:ptCount val="1"/>
                      </c15:dlblFieldTableCache>
                    </c15:dlblFTEntry>
                  </c15:dlblFieldTable>
                  <c15:showDataLabelsRange val="0"/>
                </c:ext>
                <c:ext xmlns:c16="http://schemas.microsoft.com/office/drawing/2014/chart" uri="{C3380CC4-5D6E-409C-BE32-E72D297353CC}">
                  <c16:uniqueId val="{00000221-504C-421D-AE36-2B15419FE06E}"/>
                </c:ext>
              </c:extLst>
            </c:dLbl>
            <c:dLbl>
              <c:idx val="251"/>
              <c:tx>
                <c:strRef>
                  <c:f>Frontend!$BS$261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{221F962B-E09C-4BE6-8E4B-57BAB103ACD3}</c15:txfldGUID>
                      <c15:f>Frontend!$BS$261</c15:f>
                      <c15:dlblFieldTableCache>
                        <c:ptCount val="1"/>
                      </c15:dlblFieldTableCache>
                    </c15:dlblFTEntry>
                  </c15:dlblFieldTable>
                  <c15:showDataLabelsRange val="0"/>
                </c:ext>
                <c:ext xmlns:c16="http://schemas.microsoft.com/office/drawing/2014/chart" uri="{C3380CC4-5D6E-409C-BE32-E72D297353CC}">
                  <c16:uniqueId val="{00000222-504C-421D-AE36-2B15419FE06E}"/>
                </c:ext>
              </c:extLst>
            </c:dLbl>
            <c:dLbl>
              <c:idx val="252"/>
              <c:tx>
                <c:strRef>
                  <c:f>Frontend!$BS$262</c:f>
                  <c:strCache>
                    <c:ptCount val="1"/>
                    <c:pt idx="0">
                      <c:v> 14.26 (-1.0%)</c:v>
                    </c:pt>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{5A492001-8B9D-46A2-ABB4-810D5ED07718}</c15:txfldGUID>
                      <c15:f>Frontend!$BS$262</c15:f>
                      <c15:dlblFieldTableCache>
                        <c:ptCount val="1"/>
                        <c:pt idx="0">
                          <c:v> 14.26 (-1.0%)</c:v>
                        </c:pt>
                      </c15:dlblFieldTableCache>
                    </c15:dlblFTEntry>
                  </c15:dlblFieldTable>
                  <c15:showDataLabelsRange val="0"/>
                </c:ext>
                <c:ext xmlns:c16="http://schemas.microsoft.com/office/drawing/2014/chart" uri="{C3380CC4-5D6E-409C-BE32-E72D297353CC}">
                  <c16:uniqueId val="{00000223-504C-421D-AE36-2B15419FE06E}"/>
                </c:ext>
              </c:extLst>
            </c:dLbl>
            <c:dLbl>
              <c:idx val="253"/>
              <c:tx>
                <c:strRef>
                  <c:f>Frontend!$BS$263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{45253C79-E0A6-4C78-A721-B9B504EC2EDA}</c15:txfldGUID>
                      <c15:f>Frontend!$BS$263</c15:f>
                      <c15:dlblFieldTableCache>
                        <c:ptCount val="1"/>
                      </c15:dlblFieldTableCache>
                    </c15:dlblFTEntry>
                  </c15:dlblFieldTable>
                  <c15:showDataLabelsRange val="0"/>
                </c:ext>
                <c:ext xmlns:c16="http://schemas.microsoft.com/office/drawing/2014/chart" uri="{C3380CC4-5D6E-409C-BE32-E72D297353CC}">
                  <c16:uniqueId val="{00000224-504C-421D-AE36-2B15419FE06E}"/>
                </c:ext>
              </c:extLst>
            </c:dLbl>
            <c:dLbl>
              <c:idx val="254"/>
              <c:tx>
                <c:strRef>
                  <c:f>Frontend!$BS$264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{218E750F-E412-418A-956B-E85670A29EEB}</c15:txfldGUID>
                      <c15:f>Frontend!$BS$264</c15:f>
                      <c15:dlblFieldTableCache>
                        <c:ptCount val="1"/>
                      </c15:dlblFieldTableCache>
                    </c15:dlblFTEntry>
                  </c15:dlblFieldTable>
                  <c15:showDataLabelsRange val="0"/>
                </c:ext>
                <c:ext xmlns:c16="http://schemas.microsoft.com/office/drawing/2014/chart" uri="{C3380CC4-5D6E-409C-BE32-E72D297353CC}">
                  <c16:uniqueId val="{00000225-504C-421D-AE36-2B15419FE06E}"/>
                </c:ext>
              </c:extLst>
            </c:dLbl>
            <c:dLbl>
              <c:idx val="255"/>
              <c:tx>
                <c:strRef>
                  <c:f>Frontend!$BS$265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{AB46BCAE-C555-4DE2-8C38-CD7EC9C98CE4}</c15:txfldGUID>
                      <c15:f>Frontend!$BS$265</c15:f>
                      <c15:dlblFieldTableCache>
                        <c:ptCount val="1"/>
                      </c15:dlblFieldTableCache>
                    </c15:dlblFTEntry>
                  </c15:dlblFieldTable>
                  <c15:showDataLabelsRange val="0"/>
                </c:ext>
                <c:ext xmlns:c16="http://schemas.microsoft.com/office/drawing/2014/chart" uri="{C3380CC4-5D6E-409C-BE32-E72D297353CC}">
                  <c16:uniqueId val="{00000226-504C-421D-AE36-2B15419FE06E}"/>
                </c:ext>
              </c:extLst>
            </c:dLbl>
            <c:dLbl>
              <c:idx val="256"/>
              <c:tx>
                <c:strRef>
                  <c:f>Frontend!$BS$266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{280AA032-BF6D-4007-B1C1-2E67CF5B87A7}</c15:txfldGUID>
                      <c15:f>Frontend!$BS$266</c15:f>
                      <c15:dlblFieldTableCache>
                        <c:ptCount val="1"/>
                      </c15:dlblFieldTableCache>
                    </c15:dlblFTEntry>
                  </c15:dlblFieldTable>
                  <c15:showDataLabelsRange val="0"/>
                </c:ext>
                <c:ext xmlns:c16="http://schemas.microsoft.com/office/drawing/2014/chart" uri="{C3380CC4-5D6E-409C-BE32-E72D297353CC}">
                  <c16:uniqueId val="{00000227-504C-421D-AE36-2B15419FE06E}"/>
                </c:ext>
              </c:extLst>
            </c:dLbl>
            <c:dLbl>
              <c:idx val="257"/>
              <c:tx>
                <c:strRef>
                  <c:f>Frontend!$BS$267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{B0AB280E-ACE2-483B-96FE-ED39D9E9AC88}</c15:txfldGUID>
                      <c15:f>Frontend!$BS$267</c15:f>
                      <c15:dlblFieldTableCache>
                        <c:ptCount val="1"/>
                      </c15:dlblFieldTableCache>
                    </c15:dlblFTEntry>
                  </c15:dlblFieldTable>
                  <c15:showDataLabelsRange val="0"/>
                </c:ext>
                <c:ext xmlns:c16="http://schemas.microsoft.com/office/drawing/2014/chart" uri="{C3380CC4-5D6E-409C-BE32-E72D297353CC}">
                  <c16:uniqueId val="{00000228-504C-421D-AE36-2B15419FE06E}"/>
                </c:ext>
              </c:extLst>
            </c:dLbl>
            <c:dLbl>
              <c:idx val="258"/>
              <c:tx>
                <c:strRef>
                  <c:f>Frontend!$BS$268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{F74CFC10-5CA7-4F66-837F-7A401BB32431}</c15:txfldGUID>
                      <c15:f>Frontend!$BS$268</c15:f>
                      <c15:dlblFieldTableCache>
                        <c:ptCount val="1"/>
                      </c15:dlblFieldTableCache>
                    </c15:dlblFTEntry>
                  </c15:dlblFieldTable>
                  <c15:showDataLabelsRange val="0"/>
                </c:ext>
                <c:ext xmlns:c16="http://schemas.microsoft.com/office/drawing/2014/chart" uri="{C3380CC4-5D6E-409C-BE32-E72D297353CC}">
                  <c16:uniqueId val="{00000229-504C-421D-AE36-2B15419FE06E}"/>
                </c:ext>
              </c:extLst>
            </c:dLbl>
            <c:dLbl>
              <c:idx val="259"/>
              <c:tx>
                <c:strRef>
                  <c:f>Frontend!$BS$269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{78807D1D-F73C-43D1-93DC-9CE17FC1B2F9}</c15:txfldGUID>
                      <c15:f>Frontend!$BS$269</c15:f>
                      <c15:dlblFieldTableCache>
                        <c:ptCount val="1"/>
                      </c15:dlblFieldTableCache>
                    </c15:dlblFTEntry>
                  </c15:dlblFieldTable>
                  <c15:showDataLabelsRange val="0"/>
                </c:ext>
                <c:ext xmlns:c16="http://schemas.microsoft.com/office/drawing/2014/chart" uri="{C3380CC4-5D6E-409C-BE32-E72D297353CC}">
                  <c16:uniqueId val="{0000022A-504C-421D-AE36-2B15419FE06E}"/>
                </c:ext>
              </c:extLst>
            </c:dLbl>
            <c:dLbl>
              <c:idx val="260"/>
              <c:tx>
                <c:strRef>
                  <c:f>Frontend!$BS$270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{352917BE-2CD9-4BA3-9885-54EB6B0E21CD}</c15:txfldGUID>
                      <c15:f>Frontend!$BS$270</c15:f>
                      <c15:dlblFieldTableCache>
                        <c:ptCount val="1"/>
                      </c15:dlblFieldTableCache>
                    </c15:dlblFTEntry>
                  </c15:dlblFieldTable>
                  <c15:showDataLabelsRange val="0"/>
                </c:ext>
                <c:ext xmlns:c16="http://schemas.microsoft.com/office/drawing/2014/chart" uri="{C3380CC4-5D6E-409C-BE32-E72D297353CC}">
                  <c16:uniqueId val="{0000022B-504C-421D-AE36-2B15419FE06E}"/>
                </c:ext>
              </c:extLst>
            </c:dLbl>
            <c:dLbl>
              <c:idx val="261"/>
              <c:tx>
                <c:strRef>
                  <c:f>Frontend!$BS$271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{36ED352D-1DDA-44F8-8283-6CFBE9D6E6BF}</c15:txfldGUID>
                      <c15:f>Frontend!$BS$271</c15:f>
                      <c15:dlblFieldTableCache>
                        <c:ptCount val="1"/>
                      </c15:dlblFieldTableCache>
                    </c15:dlblFTEntry>
                  </c15:dlblFieldTable>
                  <c15:showDataLabelsRange val="0"/>
                </c:ext>
                <c:ext xmlns:c16="http://schemas.microsoft.com/office/drawing/2014/chart" uri="{C3380CC4-5D6E-409C-BE32-E72D297353CC}">
                  <c16:uniqueId val="{0000022C-504C-421D-AE36-2B15419FE06E}"/>
                </c:ext>
              </c:extLst>
            </c:dLbl>
            <c:dLbl>
              <c:idx val="262"/>
              <c:tx>
                <c:strRef>
                  <c:f>Frontend!$BS$272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{06853D4F-43E4-4CF6-9D5B-CE539742D3BC}</c15:txfldGUID>
                      <c15:f>Frontend!$BS$272</c15:f>
                      <c15:dlblFieldTableCache>
                        <c:ptCount val="1"/>
                      </c15:dlblFieldTableCache>
                    </c15:dlblFTEntry>
                  </c15:dlblFieldTable>
                  <c15:showDataLabelsRange val="0"/>
                </c:ext>
                <c:ext xmlns:c16="http://schemas.microsoft.com/office/drawing/2014/chart" uri="{C3380CC4-5D6E-409C-BE32-E72D297353CC}">
                  <c16:uniqueId val="{0000022D-504C-421D-AE36-2B15419FE06E}"/>
                </c:ext>
              </c:extLst>
            </c:dLbl>
            <c:dLbl>
              <c:idx val="263"/>
              <c:tx>
                <c:strRef>
                  <c:f>Frontend!$BS$273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{66FBF0FE-E2B1-4DF7-8FB0-2BB2AFD2E058}</c15:txfldGUID>
                      <c15:f>Frontend!$BS$273</c15:f>
                      <c15:dlblFieldTableCache>
                        <c:ptCount val="1"/>
                      </c15:dlblFieldTableCache>
                    </c15:dlblFTEntry>
                  </c15:dlblFieldTable>
                  <c15:showDataLabelsRange val="0"/>
                </c:ext>
                <c:ext xmlns:c16="http://schemas.microsoft.com/office/drawing/2014/chart" uri="{C3380CC4-5D6E-409C-BE32-E72D297353CC}">
                  <c16:uniqueId val="{0000022E-504C-421D-AE36-2B15419FE06E}"/>
                </c:ext>
              </c:extLst>
            </c:dLbl>
            <c:dLbl>
              <c:idx val="264"/>
              <c:tx>
                <c:strRef>
                  <c:f>Frontend!$BS$274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{284A2114-0ADF-4AA6-B4C5-BED88A13D711}</c15:txfldGUID>
                      <c15:f>Frontend!$BS$274</c15:f>
                      <c15:dlblFieldTableCache>
                        <c:ptCount val="1"/>
                      </c15:dlblFieldTableCache>
                    </c15:dlblFTEntry>
                  </c15:dlblFieldTable>
                  <c15:showDataLabelsRange val="0"/>
                </c:ext>
                <c:ext xmlns:c16="http://schemas.microsoft.com/office/drawing/2014/chart" uri="{C3380CC4-5D6E-409C-BE32-E72D297353CC}">
                  <c16:uniqueId val="{0000022F-504C-421D-AE36-2B15419FE06E}"/>
                </c:ext>
              </c:extLst>
            </c:dLbl>
            <c:dLbl>
              <c:idx val="265"/>
              <c:tx>
                <c:strRef>
                  <c:f>Frontend!$BS$275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{268DD92C-64CA-4C41-B12F-E29F22E9BD6B}</c15:txfldGUID>
                      <c15:f>Frontend!$BS$275</c15:f>
                      <c15:dlblFieldTableCache>
                        <c:ptCount val="1"/>
                      </c15:dlblFieldTableCache>
                    </c15:dlblFTEntry>
                  </c15:dlblFieldTable>
                  <c15:showDataLabelsRange val="0"/>
                </c:ext>
                <c:ext xmlns:c16="http://schemas.microsoft.com/office/drawing/2014/chart" uri="{C3380CC4-5D6E-409C-BE32-E72D297353CC}">
                  <c16:uniqueId val="{00000230-504C-421D-AE36-2B15419FE06E}"/>
                </c:ext>
              </c:extLst>
            </c:dLbl>
            <c:dLbl>
              <c:idx val="266"/>
              <c:tx>
                <c:strRef>
                  <c:f>Frontend!$BS$276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{85F4089E-723B-4882-A4C9-CCA148482A35}</c15:txfldGUID>
                      <c15:f>Frontend!$BS$276</c15:f>
                      <c15:dlblFieldTableCache>
                        <c:ptCount val="1"/>
                      </c15:dlblFieldTableCache>
                    </c15:dlblFTEntry>
                  </c15:dlblFieldTable>
                  <c15:showDataLabelsRange val="0"/>
                </c:ext>
                <c:ext xmlns:c16="http://schemas.microsoft.com/office/drawing/2014/chart" uri="{C3380CC4-5D6E-409C-BE32-E72D297353CC}">
                  <c16:uniqueId val="{00000231-504C-421D-AE36-2B15419FE06E}"/>
                </c:ext>
              </c:extLst>
            </c:dLbl>
            <c:dLbl>
              <c:idx val="267"/>
              <c:tx>
                <c:strRef>
                  <c:f>Frontend!$BS$277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{6036B330-49D7-4F14-9F80-1C6D7A60513D}</c15:txfldGUID>
                      <c15:f>Frontend!$BS$277</c15:f>
                      <c15:dlblFieldTableCache>
                        <c:ptCount val="1"/>
                      </c15:dlblFieldTableCache>
                    </c15:dlblFTEntry>
                  </c15:dlblFieldTable>
                  <c15:showDataLabelsRange val="0"/>
                </c:ext>
                <c:ext xmlns:c16="http://schemas.microsoft.com/office/drawing/2014/chart" uri="{C3380CC4-5D6E-409C-BE32-E72D297353CC}">
                  <c16:uniqueId val="{00000232-504C-421D-AE36-2B15419FE06E}"/>
                </c:ext>
              </c:extLst>
            </c:dLbl>
            <c:dLbl>
              <c:idx val="268"/>
              <c:tx>
                <c:strRef>
                  <c:f>Frontend!$BS$278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{944EF271-F406-4954-8A67-A318373D557B}</c15:txfldGUID>
                      <c15:f>Frontend!$BS$278</c15:f>
                      <c15:dlblFieldTableCache>
                        <c:ptCount val="1"/>
                      </c15:dlblFieldTableCache>
                    </c15:dlblFTEntry>
                  </c15:dlblFieldTable>
                  <c15:showDataLabelsRange val="0"/>
                </c:ext>
                <c:ext xmlns:c16="http://schemas.microsoft.com/office/drawing/2014/chart" uri="{C3380CC4-5D6E-409C-BE32-E72D297353CC}">
                  <c16:uniqueId val="{00000233-504C-421D-AE36-2B15419FE06E}"/>
                </c:ext>
              </c:extLst>
            </c:dLbl>
            <c:dLbl>
              <c:idx val="269"/>
              <c:tx>
                <c:strRef>
                  <c:f>Frontend!$BS$279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{3F2C420C-9D59-4517-B661-94239F35B098}</c15:txfldGUID>
                      <c15:f>Frontend!$BS$279</c15:f>
                      <c15:dlblFieldTableCache>
                        <c:ptCount val="1"/>
                      </c15:dlblFieldTableCache>
                    </c15:dlblFTEntry>
                  </c15:dlblFieldTable>
                  <c15:showDataLabelsRange val="0"/>
                </c:ext>
                <c:ext xmlns:c16="http://schemas.microsoft.com/office/drawing/2014/chart" uri="{C3380CC4-5D6E-409C-BE32-E72D297353CC}">
                  <c16:uniqueId val="{00000234-504C-421D-AE36-2B15419FE06E}"/>
                </c:ext>
              </c:extLst>
            </c:dLbl>
            <c:dLbl>
              <c:idx val="270"/>
              <c:tx>
                <c:strRef>
                  <c:f>Frontend!$BS$280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{B8411C27-B54E-46FC-A165-F60E17E735AB}</c15:txfldGUID>
                      <c15:f>Frontend!$BS$280</c15:f>
                      <c15:dlblFieldTableCache>
                        <c:ptCount val="1"/>
                      </c15:dlblFieldTableCache>
                    </c15:dlblFTEntry>
                  </c15:dlblFieldTable>
                  <c15:showDataLabelsRange val="0"/>
                </c:ext>
                <c:ext xmlns:c16="http://schemas.microsoft.com/office/drawing/2014/chart" uri="{C3380CC4-5D6E-409C-BE32-E72D297353CC}">
                  <c16:uniqueId val="{00000235-504C-421D-AE36-2B15419FE06E}"/>
                </c:ext>
              </c:extLst>
            </c:dLbl>
            <c:dLbl>
              <c:idx val="271"/>
              <c:tx>
                <c:strRef>
                  <c:f>Frontend!$BS$281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{5AF0FF6E-AF98-4EEE-8BA6-3859DE86B41D}</c15:txfldGUID>
                      <c15:f>Frontend!$BS$281</c15:f>
                      <c15:dlblFieldTableCache>
                        <c:ptCount val="1"/>
                      </c15:dlblFieldTableCache>
                    </c15:dlblFTEntry>
                  </c15:dlblFieldTable>
                  <c15:showDataLabelsRange val="0"/>
                </c:ext>
                <c:ext xmlns:c16="http://schemas.microsoft.com/office/drawing/2014/chart" uri="{C3380CC4-5D6E-409C-BE32-E72D297353CC}">
                  <c16:uniqueId val="{00000236-504C-421D-AE36-2B15419FE06E}"/>
                </c:ext>
              </c:extLst>
            </c:dLbl>
            <c:dLbl>
              <c:idx val="272"/>
              <c:tx>
                <c:strRef>
                  <c:f>Frontend!$BS$282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{AE6DD926-6C42-447E-9DB6-941959958128}</c15:txfldGUID>
                      <c15:f>Frontend!$BS$282</c15:f>
                      <c15:dlblFieldTableCache>
                        <c:ptCount val="1"/>
                      </c15:dlblFieldTableCache>
                    </c15:dlblFTEntry>
                  </c15:dlblFieldTable>
                  <c15:showDataLabelsRange val="0"/>
                </c:ext>
                <c:ext xmlns:c16="http://schemas.microsoft.com/office/drawing/2014/chart" uri="{C3380CC4-5D6E-409C-BE32-E72D297353CC}">
                  <c16:uniqueId val="{00000237-504C-421D-AE36-2B15419FE06E}"/>
                </c:ext>
              </c:extLst>
            </c:dLbl>
            <c:dLbl>
              <c:idx val="273"/>
              <c:tx>
                <c:strRef>
                  <c:f>Frontend!$BS$283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{CAA21CE6-B05E-44E7-A7AC-6E0CE3786E48}</c15:txfldGUID>
                      <c15:f>Frontend!$BS$283</c15:f>
                      <c15:dlblFieldTableCache>
                        <c:ptCount val="1"/>
                      </c15:dlblFieldTableCache>
                    </c15:dlblFTEntry>
                  </c15:dlblFieldTable>
                  <c15:showDataLabelsRange val="0"/>
                </c:ext>
                <c:ext xmlns:c16="http://schemas.microsoft.com/office/drawing/2014/chart" uri="{C3380CC4-5D6E-409C-BE32-E72D297353CC}">
                  <c16:uniqueId val="{00000238-504C-421D-AE36-2B15419FE06E}"/>
                </c:ext>
              </c:extLst>
            </c:dLbl>
            <c:dLbl>
              <c:idx val="274"/>
              <c:tx>
                <c:strRef>
                  <c:f>Frontend!$BS$284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{441EEF94-AF82-4252-A47B-F470D72ECB89}</c15:txfldGUID>
                      <c15:f>Frontend!$BS$284</c15:f>
                      <c15:dlblFieldTableCache>
                        <c:ptCount val="1"/>
                      </c15:dlblFieldTableCache>
                    </c15:dlblFTEntry>
                  </c15:dlblFieldTable>
                  <c15:showDataLabelsRange val="0"/>
                </c:ext>
                <c:ext xmlns:c16="http://schemas.microsoft.com/office/drawing/2014/chart" uri="{C3380CC4-5D6E-409C-BE32-E72D297353CC}">
                  <c16:uniqueId val="{00000239-504C-421D-AE36-2B15419FE06E}"/>
                </c:ext>
              </c:extLst>
            </c:dLbl>
            <c:dLbl>
              <c:idx val="275"/>
              <c:tx>
                <c:strRef>
                  <c:f>Frontend!$BS$285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{373C2127-276E-4D10-80A3-7A62FF047F70}</c15:txfldGUID>
                      <c15:f>Frontend!$BS$285</c15:f>
                      <c15:dlblFieldTableCache>
                        <c:ptCount val="1"/>
                      </c15:dlblFieldTableCache>
                    </c15:dlblFTEntry>
                  </c15:dlblFieldTable>
                  <c15:showDataLabelsRange val="0"/>
                </c:ext>
                <c:ext xmlns:c16="http://schemas.microsoft.com/office/drawing/2014/chart" uri="{C3380CC4-5D6E-409C-BE32-E72D297353CC}">
                  <c16:uniqueId val="{0000023A-504C-421D-AE36-2B15419FE06E}"/>
                </c:ext>
              </c:extLst>
            </c:dLbl>
            <c:dLbl>
              <c:idx val="276"/>
              <c:tx>
                <c:strRef>
                  <c:f>Frontend!$BS$286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{FCF6A8A4-EB61-4D3D-B3B3-9E092D584CC5}</c15:txfldGUID>
                      <c15:f>Frontend!$BS$286</c15:f>
                      <c15:dlblFieldTableCache>
                        <c:ptCount val="1"/>
                      </c15:dlblFieldTableCache>
                    </c15:dlblFTEntry>
                  </c15:dlblFieldTable>
                  <c15:showDataLabelsRange val="0"/>
                </c:ext>
                <c:ext xmlns:c16="http://schemas.microsoft.com/office/drawing/2014/chart" uri="{C3380CC4-5D6E-409C-BE32-E72D297353CC}">
                  <c16:uniqueId val="{0000023B-504C-421D-AE36-2B15419FE06E}"/>
                </c:ext>
              </c:extLst>
            </c:dLbl>
            <c:dLbl>
              <c:idx val="277"/>
              <c:tx>
                <c:strRef>
                  <c:f>Frontend!$BS$287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{E8A6B8EF-5649-4CDC-8554-2CFB2CDD4DB1}</c15:txfldGUID>
                      <c15:f>Frontend!$BS$287</c15:f>
                      <c15:dlblFieldTableCache>
                        <c:ptCount val="1"/>
                      </c15:dlblFieldTableCache>
                    </c15:dlblFTEntry>
                  </c15:dlblFieldTable>
                  <c15:showDataLabelsRange val="0"/>
                </c:ext>
                <c:ext xmlns:c16="http://schemas.microsoft.com/office/drawing/2014/chart" uri="{C3380CC4-5D6E-409C-BE32-E72D297353CC}">
                  <c16:uniqueId val="{0000023C-504C-421D-AE36-2B15419FE06E}"/>
                </c:ext>
              </c:extLst>
            </c:dLbl>
            <c:dLbl>
              <c:idx val="278"/>
              <c:tx>
                <c:strRef>
                  <c:f>Frontend!$BS$288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{E7023FCC-AA32-4E2A-A24A-818A74C2688D}</c15:txfldGUID>
                      <c15:f>Frontend!$BS$288</c15:f>
                      <c15:dlblFieldTableCache>
                        <c:ptCount val="1"/>
                      </c15:dlblFieldTableCache>
                    </c15:dlblFTEntry>
                  </c15:dlblFieldTable>
                  <c15:showDataLabelsRange val="0"/>
                </c:ext>
                <c:ext xmlns:c16="http://schemas.microsoft.com/office/drawing/2014/chart" uri="{C3380CC4-5D6E-409C-BE32-E72D297353CC}">
                  <c16:uniqueId val="{0000023D-504C-421D-AE36-2B15419FE06E}"/>
                </c:ext>
              </c:extLst>
            </c:dLbl>
            <c:dLbl>
              <c:idx val="279"/>
              <c:tx>
                <c:strRef>
                  <c:f>Frontend!$BS$289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{DB0B275E-63E0-4EFA-BF9B-9EA7FB2B4D55}</c15:txfldGUID>
                      <c15:f>Frontend!$BS$289</c15:f>
                      <c15:dlblFieldTableCache>
                        <c:ptCount val="1"/>
                      </c15:dlblFieldTableCache>
                    </c15:dlblFTEntry>
                  </c15:dlblFieldTable>
                  <c15:showDataLabelsRange val="0"/>
                </c:ext>
                <c:ext xmlns:c16="http://schemas.microsoft.com/office/drawing/2014/chart" uri="{C3380CC4-5D6E-409C-BE32-E72D297353CC}">
                  <c16:uniqueId val="{0000023E-504C-421D-AE36-2B15419FE06E}"/>
                </c:ext>
              </c:extLst>
            </c:dLbl>
            <c:dLbl>
              <c:idx val="280"/>
              <c:tx>
                <c:strRef>
                  <c:f>Frontend!$BS$290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{7F27E4C6-0835-468D-92AA-2C773D819B29}</c15:txfldGUID>
                      <c15:f>Frontend!$BS$290</c15:f>
                      <c15:dlblFieldTableCache>
                        <c:ptCount val="1"/>
                      </c15:dlblFieldTableCache>
                    </c15:dlblFTEntry>
                  </c15:dlblFieldTable>
                  <c15:showDataLabelsRange val="0"/>
                </c:ext>
                <c:ext xmlns:c16="http://schemas.microsoft.com/office/drawing/2014/chart" uri="{C3380CC4-5D6E-409C-BE32-E72D297353CC}">
                  <c16:uniqueId val="{0000023F-504C-421D-AE36-2B15419FE06E}"/>
                </c:ext>
              </c:extLst>
            </c:dLbl>
            <c:dLbl>
              <c:idx val="281"/>
              <c:tx>
                <c:strRef>
                  <c:f>Frontend!$BS$291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{FF726A55-BEB5-47B8-AD1E-430E8A62043C}</c15:txfldGUID>
                      <c15:f>Frontend!$BS$291</c15:f>
                      <c15:dlblFieldTableCache>
                        <c:ptCount val="1"/>
                      </c15:dlblFieldTableCache>
                    </c15:dlblFTEntry>
                  </c15:dlblFieldTable>
                  <c15:showDataLabelsRange val="0"/>
                </c:ext>
                <c:ext xmlns:c16="http://schemas.microsoft.com/office/drawing/2014/chart" uri="{C3380CC4-5D6E-409C-BE32-E72D297353CC}">
                  <c16:uniqueId val="{00000240-504C-421D-AE36-2B15419FE06E}"/>
                </c:ext>
              </c:extLst>
            </c:dLbl>
            <c:dLbl>
              <c:idx val="282"/>
              <c:tx>
                <c:strRef>
                  <c:f>Frontend!$BS$292</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{9C517BDA-6918-41C1-A4CB-53EF202FD5EB}</c15:txfldGUID>
                      <c15:f>Frontend!$BS$292</c15:f>
                      <c15:dlblFieldTableCache>
                        <c:ptCount val="1"/>
                      </c15:dlblFieldTableCache>
                    </c15:dlblFTEntry>
                  </c15:dlblFieldTable>
                  <c15:showDataLabelsRange val="0"/>
                </c:ext>
                <c:ext xmlns:c16="http://schemas.microsoft.com/office/drawing/2014/chart" uri="{C3380CC4-5D6E-409C-BE32-E72D297353CC}">
                  <c16:uniqueId val="{00000241-504C-421D-AE36-2B15419FE06E}"/>
                </c:ext>
              </c:extLst>
            </c:dLbl>
            <c:dLbl>
              <c:idx val="283"/>
              <c:tx>
                <c:strRef>
                  <c:f>Frontend!$BS$293</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{E905CDAF-A71F-48A5-A028-9E184DEAC762}</c15:txfldGUID>
                      <c15:f>Frontend!$BS$293</c15:f>
                      <c15:dlblFieldTableCache>
                        <c:ptCount val="1"/>
                      </c15:dlblFieldTableCache>
                    </c15:dlblFTEntry>
                  </c15:dlblFieldTable>
                  <c15:showDataLabelsRange val="0"/>
                </c:ext>
                <c:ext xmlns:c16="http://schemas.microsoft.com/office/drawing/2014/chart" uri="{C3380CC4-5D6E-409C-BE32-E72D297353CC}">
                  <c16:uniqueId val="{00000242-504C-421D-AE36-2B15419FE06E}"/>
                </c:ext>
              </c:extLst>
            </c:dLbl>
            <c:dLbl>
              <c:idx val="284"/>
              <c:tx>
                <c:strRef>
                  <c:f>Frontend!$BS$294</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{9ADC2181-112A-4A31-BC14-A3D46121EFFC}</c15:txfldGUID>
                      <c15:f>Frontend!$BS$294</c15:f>
                      <c15:dlblFieldTableCache>
                        <c:ptCount val="1"/>
                      </c15:dlblFieldTableCache>
                    </c15:dlblFTEntry>
                  </c15:dlblFieldTable>
                  <c15:showDataLabelsRange val="0"/>
                </c:ext>
                <c:ext xmlns:c16="http://schemas.microsoft.com/office/drawing/2014/chart" uri="{C3380CC4-5D6E-409C-BE32-E72D297353CC}">
                  <c16:uniqueId val="{00000243-504C-421D-AE36-2B15419FE06E}"/>
                </c:ext>
              </c:extLst>
            </c:dLbl>
            <c:dLbl>
              <c:idx val="285"/>
              <c:tx>
                <c:strRef>
                  <c:f>Frontend!$BS$295</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{BB784D8A-CA5E-4195-AAFE-B2CC95A90AF9}</c15:txfldGUID>
                      <c15:f>Frontend!$BS$295</c15:f>
                      <c15:dlblFieldTableCache>
                        <c:ptCount val="1"/>
                      </c15:dlblFieldTableCache>
                    </c15:dlblFTEntry>
                  </c15:dlblFieldTable>
                  <c15:showDataLabelsRange val="0"/>
                </c:ext>
                <c:ext xmlns:c16="http://schemas.microsoft.com/office/drawing/2014/chart" uri="{C3380CC4-5D6E-409C-BE32-E72D297353CC}">
                  <c16:uniqueId val="{00000244-504C-421D-AE36-2B15419FE06E}"/>
                </c:ext>
              </c:extLst>
            </c:dLbl>
            <c:dLbl>
              <c:idx val="286"/>
              <c:tx>
                <c:strRef>
                  <c:f>Frontend!$BS$296</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{63639DCD-A65F-45E0-B3BB-7C0C57802675}</c15:txfldGUID>
                      <c15:f>Frontend!$BS$296</c15:f>
                      <c15:dlblFieldTableCache>
                        <c:ptCount val="1"/>
                      </c15:dlblFieldTableCache>
                    </c15:dlblFTEntry>
                  </c15:dlblFieldTable>
                  <c15:showDataLabelsRange val="0"/>
                </c:ext>
                <c:ext xmlns:c16="http://schemas.microsoft.com/office/drawing/2014/chart" uri="{C3380CC4-5D6E-409C-BE32-E72D297353CC}">
                  <c16:uniqueId val="{00000245-504C-421D-AE36-2B15419FE06E}"/>
                </c:ext>
              </c:extLst>
            </c:dLbl>
            <c:dLbl>
              <c:idx val="287"/>
              <c:tx>
                <c:strRef>
                  <c:f>Frontend!$BS$297</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{AA683E0C-B656-47EB-B306-C5132A3C555B}</c15:txfldGUID>
                      <c15:f>Frontend!$BS$297</c15:f>
                      <c15:dlblFieldTableCache>
                        <c:ptCount val="1"/>
                      </c15:dlblFieldTableCache>
                    </c15:dlblFTEntry>
                  </c15:dlblFieldTable>
                  <c15:showDataLabelsRange val="0"/>
                </c:ext>
                <c:ext xmlns:c16="http://schemas.microsoft.com/office/drawing/2014/chart" uri="{C3380CC4-5D6E-409C-BE32-E72D297353CC}">
                  <c16:uniqueId val="{00000246-504C-421D-AE36-2B15419FE06E}"/>
                </c:ext>
              </c:extLst>
            </c:dLbl>
            <c:dLbl>
              <c:idx val="288"/>
              <c:tx>
                <c:strRef>
                  <c:f>Frontend!$BS$298</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{A146E659-3C94-4852-9AF5-2006D31B085F}</c15:txfldGUID>
                      <c15:f>Frontend!$BS$298</c15:f>
                      <c15:dlblFieldTableCache>
                        <c:ptCount val="1"/>
                      </c15:dlblFieldTableCache>
                    </c15:dlblFTEntry>
                  </c15:dlblFieldTable>
                  <c15:showDataLabelsRange val="0"/>
                </c:ext>
                <c:ext xmlns:c16="http://schemas.microsoft.com/office/drawing/2014/chart" uri="{C3380CC4-5D6E-409C-BE32-E72D297353CC}">
                  <c16:uniqueId val="{00000247-504C-421D-AE36-2B15419FE06E}"/>
                </c:ext>
              </c:extLst>
            </c:dLbl>
            <c:dLbl>
              <c:idx val="289"/>
              <c:tx>
                <c:strRef>
                  <c:f>Frontend!$BS$299</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{48E21D07-0659-4A89-98DA-18376175508B}</c15:txfldGUID>
                      <c15:f>Frontend!$BS$299</c15:f>
                      <c15:dlblFieldTableCache>
                        <c:ptCount val="1"/>
                      </c15:dlblFieldTableCache>
                    </c15:dlblFTEntry>
                  </c15:dlblFieldTable>
                  <c15:showDataLabelsRange val="0"/>
                </c:ext>
                <c:ext xmlns:c16="http://schemas.microsoft.com/office/drawing/2014/chart" uri="{C3380CC4-5D6E-409C-BE32-E72D297353CC}">
                  <c16:uniqueId val="{00000248-504C-421D-AE36-2B15419FE06E}"/>
                </c:ext>
              </c:extLst>
            </c:dLbl>
            <c:dLbl>
              <c:idx val="290"/>
              <c:tx>
                <c:strRef>
                  <c:f>Frontend!$BS$300</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{5042F81A-C62B-4F5D-88CD-1DD23B2637FD}</c15:txfldGUID>
                      <c15:f>Frontend!$BS$300</c15:f>
                      <c15:dlblFieldTableCache>
                        <c:ptCount val="1"/>
                      </c15:dlblFieldTableCache>
                    </c15:dlblFTEntry>
                  </c15:dlblFieldTable>
                  <c15:showDataLabelsRange val="0"/>
                </c:ext>
                <c:ext xmlns:c16="http://schemas.microsoft.com/office/drawing/2014/chart" uri="{C3380CC4-5D6E-409C-BE32-E72D297353CC}">
                  <c16:uniqueId val="{00000249-504C-421D-AE36-2B15419FE06E}"/>
                </c:ext>
              </c:extLst>
            </c:dLbl>
            <c:dLbl>
              <c:idx val="291"/>
              <c:tx>
                <c:strRef>
                  <c:f>Frontend!$BS$301</c:f>
                  <c:strCache>
                    <c:ptCount val="1"/>
                  </c:strCache>
                </c:strRef>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{8796A1C4-9EA5-487F-BD03-584835C318F9}</c15:txfldGUID>
                      <c15:f>Frontend!$BS$301</c15:f>
                      <c15:dlblFieldTableCache>
                        <c:ptCount val="1"/>
                      </c15:dlblFieldTableCache>
                    </c15:dlblFTEntry>
                  </c15:dlblFieldTable>
                  <c15:showDataLabelsRange val="0"/>
                </c:ext>
                <c:ext xmlns:c16="http://schemas.microsoft.com/office/drawing/2014/chart" uri="{C3380CC4-5D6E-409C-BE32-E72D297353CC}">
                  <c16:uniqueId val="{0000024A-504C-421D-AE36-2B15419FE0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Frontend!$BL$10:$BL$301</c:f>
              <c:numCache>
                <c:formatCode>d\-mmm\-yy</c:formatCode>
                <c:ptCount val="292"/>
                <c:pt idx="0">
                  <c:v>44705</c:v>
                </c:pt>
                <c:pt idx="1">
                  <c:v>44705</c:v>
                </c:pt>
                <c:pt idx="2">
                  <c:v>44706</c:v>
                </c:pt>
                <c:pt idx="3">
                  <c:v>44707</c:v>
                </c:pt>
                <c:pt idx="4">
                  <c:v>44708</c:v>
                </c:pt>
                <c:pt idx="5">
                  <c:v>44711</c:v>
                </c:pt>
                <c:pt idx="6">
                  <c:v>44712</c:v>
                </c:pt>
                <c:pt idx="7">
                  <c:v>44713</c:v>
                </c:pt>
                <c:pt idx="8">
                  <c:v>44714</c:v>
                </c:pt>
                <c:pt idx="9">
                  <c:v>44715</c:v>
                </c:pt>
                <c:pt idx="10">
                  <c:v>44718</c:v>
                </c:pt>
                <c:pt idx="11">
                  <c:v>44719</c:v>
                </c:pt>
                <c:pt idx="12">
                  <c:v>44720</c:v>
                </c:pt>
                <c:pt idx="13">
                  <c:v>44721</c:v>
                </c:pt>
                <c:pt idx="14">
                  <c:v>44722</c:v>
                </c:pt>
                <c:pt idx="15">
                  <c:v>44725</c:v>
                </c:pt>
                <c:pt idx="16">
                  <c:v>44726</c:v>
                </c:pt>
                <c:pt idx="17">
                  <c:v>44727</c:v>
                </c:pt>
                <c:pt idx="18">
                  <c:v>44729</c:v>
                </c:pt>
                <c:pt idx="19">
                  <c:v>44732</c:v>
                </c:pt>
                <c:pt idx="20">
                  <c:v>44733</c:v>
                </c:pt>
                <c:pt idx="21">
                  <c:v>44734</c:v>
                </c:pt>
                <c:pt idx="22">
                  <c:v>44735</c:v>
                </c:pt>
                <c:pt idx="23">
                  <c:v>44736</c:v>
                </c:pt>
                <c:pt idx="24">
                  <c:v>44739</c:v>
                </c:pt>
                <c:pt idx="25">
                  <c:v>44740</c:v>
                </c:pt>
                <c:pt idx="26">
                  <c:v>44741</c:v>
                </c:pt>
                <c:pt idx="27">
                  <c:v>44742</c:v>
                </c:pt>
                <c:pt idx="28">
                  <c:v>44743</c:v>
                </c:pt>
                <c:pt idx="29">
                  <c:v>44746</c:v>
                </c:pt>
                <c:pt idx="30">
                  <c:v>44747</c:v>
                </c:pt>
                <c:pt idx="31">
                  <c:v>44748</c:v>
                </c:pt>
                <c:pt idx="32">
                  <c:v>44749</c:v>
                </c:pt>
                <c:pt idx="33">
                  <c:v>44750</c:v>
                </c:pt>
                <c:pt idx="34">
                  <c:v>44753</c:v>
                </c:pt>
                <c:pt idx="35">
                  <c:v>44754</c:v>
                </c:pt>
                <c:pt idx="36">
                  <c:v>44755</c:v>
                </c:pt>
                <c:pt idx="37">
                  <c:v>44756</c:v>
                </c:pt>
                <c:pt idx="38">
                  <c:v>44757</c:v>
                </c:pt>
                <c:pt idx="39">
                  <c:v>44760</c:v>
                </c:pt>
                <c:pt idx="40">
                  <c:v>44761</c:v>
                </c:pt>
                <c:pt idx="41">
                  <c:v>44762</c:v>
                </c:pt>
                <c:pt idx="42">
                  <c:v>44763</c:v>
                </c:pt>
                <c:pt idx="43">
                  <c:v>44764</c:v>
                </c:pt>
                <c:pt idx="44">
                  <c:v>44767</c:v>
                </c:pt>
                <c:pt idx="45">
                  <c:v>44768</c:v>
                </c:pt>
                <c:pt idx="46">
                  <c:v>44769</c:v>
                </c:pt>
                <c:pt idx="47">
                  <c:v>44770</c:v>
                </c:pt>
                <c:pt idx="48">
                  <c:v>44771</c:v>
                </c:pt>
                <c:pt idx="49">
                  <c:v>44774</c:v>
                </c:pt>
                <c:pt idx="50">
                  <c:v>44775</c:v>
                </c:pt>
                <c:pt idx="51">
                  <c:v>44776</c:v>
                </c:pt>
                <c:pt idx="52">
                  <c:v>44777</c:v>
                </c:pt>
                <c:pt idx="53">
                  <c:v>44778</c:v>
                </c:pt>
                <c:pt idx="54">
                  <c:v>44781</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44820</c:v>
                </c:pt>
                <c:pt idx="83">
                  <c:v>44823</c:v>
                </c:pt>
                <c:pt idx="84">
                  <c:v>44824</c:v>
                </c:pt>
                <c:pt idx="85">
                  <c:v>44825</c:v>
                </c:pt>
                <c:pt idx="86">
                  <c:v>44826</c:v>
                </c:pt>
                <c:pt idx="87">
                  <c:v>44827</c:v>
                </c:pt>
                <c:pt idx="88">
                  <c:v>44830</c:v>
                </c:pt>
                <c:pt idx="89">
                  <c:v>44831</c:v>
                </c:pt>
                <c:pt idx="90">
                  <c:v>44832</c:v>
                </c:pt>
                <c:pt idx="91">
                  <c:v>44833</c:v>
                </c:pt>
                <c:pt idx="92">
                  <c:v>44834</c:v>
                </c:pt>
                <c:pt idx="93">
                  <c:v>44837</c:v>
                </c:pt>
                <c:pt idx="94">
                  <c:v>44838</c:v>
                </c:pt>
                <c:pt idx="95">
                  <c:v>44839</c:v>
                </c:pt>
                <c:pt idx="96">
                  <c:v>44840</c:v>
                </c:pt>
                <c:pt idx="97">
                  <c:v>44841</c:v>
                </c:pt>
                <c:pt idx="98">
                  <c:v>44844</c:v>
                </c:pt>
                <c:pt idx="99">
                  <c:v>44845</c:v>
                </c:pt>
                <c:pt idx="100">
                  <c:v>44846</c:v>
                </c:pt>
                <c:pt idx="101">
                  <c:v>44847</c:v>
                </c:pt>
                <c:pt idx="102">
                  <c:v>44848</c:v>
                </c:pt>
                <c:pt idx="103">
                  <c:v>44851</c:v>
                </c:pt>
                <c:pt idx="104">
                  <c:v>44852</c:v>
                </c:pt>
                <c:pt idx="105">
                  <c:v>44853</c:v>
                </c:pt>
                <c:pt idx="106">
                  <c:v>44854</c:v>
                </c:pt>
                <c:pt idx="107">
                  <c:v>44855</c:v>
                </c:pt>
                <c:pt idx="108">
                  <c:v>44858</c:v>
                </c:pt>
                <c:pt idx="109">
                  <c:v>44859</c:v>
                </c:pt>
                <c:pt idx="110">
                  <c:v>44860</c:v>
                </c:pt>
                <c:pt idx="111">
                  <c:v>44861</c:v>
                </c:pt>
                <c:pt idx="112">
                  <c:v>44862</c:v>
                </c:pt>
                <c:pt idx="113">
                  <c:v>44865</c:v>
                </c:pt>
                <c:pt idx="114">
                  <c:v>44866</c:v>
                </c:pt>
                <c:pt idx="115">
                  <c:v>44867</c:v>
                </c:pt>
                <c:pt idx="116">
                  <c:v>44868</c:v>
                </c:pt>
                <c:pt idx="117">
                  <c:v>44869</c:v>
                </c:pt>
                <c:pt idx="118">
                  <c:v>44872</c:v>
                </c:pt>
                <c:pt idx="119">
                  <c:v>44873</c:v>
                </c:pt>
                <c:pt idx="120">
                  <c:v>44874</c:v>
                </c:pt>
                <c:pt idx="121">
                  <c:v>44875</c:v>
                </c:pt>
                <c:pt idx="122">
                  <c:v>44876</c:v>
                </c:pt>
                <c:pt idx="123">
                  <c:v>44879</c:v>
                </c:pt>
                <c:pt idx="124">
                  <c:v>44880</c:v>
                </c:pt>
                <c:pt idx="125">
                  <c:v>44881</c:v>
                </c:pt>
                <c:pt idx="126">
                  <c:v>44882</c:v>
                </c:pt>
                <c:pt idx="127">
                  <c:v>44883</c:v>
                </c:pt>
                <c:pt idx="128">
                  <c:v>44886</c:v>
                </c:pt>
                <c:pt idx="129">
                  <c:v>44887</c:v>
                </c:pt>
                <c:pt idx="130">
                  <c:v>44888</c:v>
                </c:pt>
                <c:pt idx="131">
                  <c:v>44889</c:v>
                </c:pt>
                <c:pt idx="132">
                  <c:v>44890</c:v>
                </c:pt>
                <c:pt idx="133">
                  <c:v>44893</c:v>
                </c:pt>
                <c:pt idx="134">
                  <c:v>44894</c:v>
                </c:pt>
                <c:pt idx="135">
                  <c:v>44895</c:v>
                </c:pt>
                <c:pt idx="136">
                  <c:v>44896</c:v>
                </c:pt>
                <c:pt idx="137">
                  <c:v>44897</c:v>
                </c:pt>
                <c:pt idx="138">
                  <c:v>44900</c:v>
                </c:pt>
                <c:pt idx="139">
                  <c:v>44901</c:v>
                </c:pt>
                <c:pt idx="140">
                  <c:v>44902</c:v>
                </c:pt>
                <c:pt idx="141">
                  <c:v>44903</c:v>
                </c:pt>
                <c:pt idx="142">
                  <c:v>44904</c:v>
                </c:pt>
                <c:pt idx="143">
                  <c:v>44907</c:v>
                </c:pt>
                <c:pt idx="144">
                  <c:v>44908</c:v>
                </c:pt>
                <c:pt idx="145">
                  <c:v>44909</c:v>
                </c:pt>
                <c:pt idx="146">
                  <c:v>44910</c:v>
                </c:pt>
                <c:pt idx="147">
                  <c:v>44914</c:v>
                </c:pt>
                <c:pt idx="148">
                  <c:v>44915</c:v>
                </c:pt>
                <c:pt idx="149">
                  <c:v>44916</c:v>
                </c:pt>
                <c:pt idx="150">
                  <c:v>44917</c:v>
                </c:pt>
                <c:pt idx="151">
                  <c:v>44918</c:v>
                </c:pt>
                <c:pt idx="152">
                  <c:v>44923</c:v>
                </c:pt>
                <c:pt idx="153">
                  <c:v>44924</c:v>
                </c:pt>
                <c:pt idx="154">
                  <c:v>44925</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44963</c:v>
                </c:pt>
                <c:pt idx="180">
                  <c:v>44964</c:v>
                </c:pt>
                <c:pt idx="181">
                  <c:v>44965</c:v>
                </c:pt>
                <c:pt idx="182">
                  <c:v>44966</c:v>
                </c:pt>
                <c:pt idx="183">
                  <c:v>44967</c:v>
                </c:pt>
                <c:pt idx="184">
                  <c:v>44970</c:v>
                </c:pt>
                <c:pt idx="185">
                  <c:v>44971</c:v>
                </c:pt>
                <c:pt idx="186">
                  <c:v>44972</c:v>
                </c:pt>
                <c:pt idx="187">
                  <c:v>44973</c:v>
                </c:pt>
                <c:pt idx="188">
                  <c:v>44974</c:v>
                </c:pt>
                <c:pt idx="189">
                  <c:v>44977</c:v>
                </c:pt>
                <c:pt idx="190">
                  <c:v>44978</c:v>
                </c:pt>
                <c:pt idx="191">
                  <c:v>44979</c:v>
                </c:pt>
                <c:pt idx="192">
                  <c:v>44980</c:v>
                </c:pt>
                <c:pt idx="193">
                  <c:v>44981</c:v>
                </c:pt>
                <c:pt idx="194">
                  <c:v>44984</c:v>
                </c:pt>
                <c:pt idx="195">
                  <c:v>44985</c:v>
                </c:pt>
                <c:pt idx="196">
                  <c:v>44986</c:v>
                </c:pt>
                <c:pt idx="197">
                  <c:v>44987</c:v>
                </c:pt>
                <c:pt idx="198">
                  <c:v>44988</c:v>
                </c:pt>
                <c:pt idx="199">
                  <c:v>44991</c:v>
                </c:pt>
                <c:pt idx="200">
                  <c:v>44992</c:v>
                </c:pt>
                <c:pt idx="201">
                  <c:v>44993</c:v>
                </c:pt>
                <c:pt idx="202">
                  <c:v>44994</c:v>
                </c:pt>
                <c:pt idx="203">
                  <c:v>44995</c:v>
                </c:pt>
                <c:pt idx="204">
                  <c:v>44998</c:v>
                </c:pt>
                <c:pt idx="205">
                  <c:v>44999</c:v>
                </c:pt>
                <c:pt idx="206">
                  <c:v>45000</c:v>
                </c:pt>
                <c:pt idx="207">
                  <c:v>45001</c:v>
                </c:pt>
                <c:pt idx="208">
                  <c:v>45002</c:v>
                </c:pt>
                <c:pt idx="209">
                  <c:v>45005</c:v>
                </c:pt>
                <c:pt idx="210">
                  <c:v>45007</c:v>
                </c:pt>
                <c:pt idx="211">
                  <c:v>45008</c:v>
                </c:pt>
                <c:pt idx="212">
                  <c:v>45009</c:v>
                </c:pt>
                <c:pt idx="213">
                  <c:v>45012</c:v>
                </c:pt>
                <c:pt idx="214">
                  <c:v>45013</c:v>
                </c:pt>
                <c:pt idx="215">
                  <c:v>45014</c:v>
                </c:pt>
                <c:pt idx="216">
                  <c:v>45015</c:v>
                </c:pt>
                <c:pt idx="217">
                  <c:v>45016</c:v>
                </c:pt>
                <c:pt idx="218">
                  <c:v>45019</c:v>
                </c:pt>
                <c:pt idx="219">
                  <c:v>45020</c:v>
                </c:pt>
                <c:pt idx="220">
                  <c:v>45021</c:v>
                </c:pt>
                <c:pt idx="221">
                  <c:v>45022</c:v>
                </c:pt>
                <c:pt idx="222">
                  <c:v>45027</c:v>
                </c:pt>
                <c:pt idx="223">
                  <c:v>45028</c:v>
                </c:pt>
                <c:pt idx="224">
                  <c:v>45029</c:v>
                </c:pt>
                <c:pt idx="225">
                  <c:v>45030</c:v>
                </c:pt>
                <c:pt idx="226">
                  <c:v>45033</c:v>
                </c:pt>
                <c:pt idx="227">
                  <c:v>45034</c:v>
                </c:pt>
                <c:pt idx="228">
                  <c:v>45035</c:v>
                </c:pt>
                <c:pt idx="229">
                  <c:v>45036</c:v>
                </c:pt>
                <c:pt idx="230">
                  <c:v>45037</c:v>
                </c:pt>
                <c:pt idx="231">
                  <c:v>45040</c:v>
                </c:pt>
                <c:pt idx="232">
                  <c:v>45041</c:v>
                </c:pt>
                <c:pt idx="233">
                  <c:v>45042</c:v>
                </c:pt>
                <c:pt idx="234">
                  <c:v>45044</c:v>
                </c:pt>
                <c:pt idx="235">
                  <c:v>45048</c:v>
                </c:pt>
                <c:pt idx="236">
                  <c:v>45049</c:v>
                </c:pt>
                <c:pt idx="237">
                  <c:v>45050</c:v>
                </c:pt>
                <c:pt idx="238">
                  <c:v>45051</c:v>
                </c:pt>
                <c:pt idx="239">
                  <c:v>45054</c:v>
                </c:pt>
                <c:pt idx="240">
                  <c:v>45055</c:v>
                </c:pt>
                <c:pt idx="241">
                  <c:v>45056</c:v>
                </c:pt>
                <c:pt idx="242">
                  <c:v>45057</c:v>
                </c:pt>
                <c:pt idx="243">
                  <c:v>45058</c:v>
                </c:pt>
                <c:pt idx="244">
                  <c:v>45061</c:v>
                </c:pt>
                <c:pt idx="245">
                  <c:v>45062</c:v>
                </c:pt>
                <c:pt idx="246">
                  <c:v>45063</c:v>
                </c:pt>
                <c:pt idx="247">
                  <c:v>45064</c:v>
                </c:pt>
                <c:pt idx="248">
                  <c:v>45065</c:v>
                </c:pt>
                <c:pt idx="249">
                  <c:v>45068</c:v>
                </c:pt>
                <c:pt idx="250">
                  <c:v>45069</c:v>
                </c:pt>
                <c:pt idx="251">
                  <c:v>45070</c:v>
                </c:pt>
                <c:pt idx="252">
                  <c:v>45071</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cat>
          <c:val>
            <c:numRef>
              <c:f>Frontend!$BP$10:$BP$301</c:f>
              <c:numCache>
                <c:formatCode>#,##0.00</c:formatCode>
                <c:ptCount val="29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14.26</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numCache>
            </c:numRef>
          </c:val>
          <c:smooth val="0"/>
          <c:extLst>
            <c:ext xmlns:c16="http://schemas.microsoft.com/office/drawing/2014/chart" uri="{C3380CC4-5D6E-409C-BE32-E72D297353CC}">
              <c16:uniqueId val="{0000024B-504C-421D-AE36-2B15419FE06E}"/>
            </c:ext>
          </c:extLst>
        </c:ser>
        <c:dLbls>
          <c:dLblPos val="r"/>
          <c:showLegendKey val="0"/>
          <c:showVal val="1"/>
          <c:showCatName val="0"/>
          <c:showSerName val="0"/>
          <c:showPercent val="0"/>
          <c:showBubbleSize val="0"/>
        </c:dLbls>
        <c:smooth val="0"/>
        <c:axId val="1248017711"/>
        <c:axId val="1248018127"/>
      </c:lineChart>
      <c:dateAx>
        <c:axId val="1248017711"/>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48018127"/>
        <c:crosses val="autoZero"/>
        <c:auto val="1"/>
        <c:lblOffset val="100"/>
        <c:baseTimeUnit val="days"/>
      </c:dateAx>
      <c:valAx>
        <c:axId val="1248018127"/>
        <c:scaling>
          <c:orientation val="minMax"/>
        </c:scaling>
        <c:delete val="0"/>
        <c:axPos val="l"/>
        <c:majorGridlines>
          <c:spPr>
            <a:ln w="9525" cap="flat" cmpd="sng" algn="ctr">
              <a:solidFill>
                <a:schemeClr val="bg1">
                  <a:lumMod val="95000"/>
                </a:schemeClr>
              </a:solidFill>
              <a:prstDash val="sysDash"/>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48017711"/>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RETURN_ON_INV_CAPITAL</a:t>
            </a:r>
          </a:p>
        </c:rich>
      </c:tx>
      <c:overlay val="0"/>
    </c:title>
    <c:autoTitleDeleted val="0"/>
    <c:plotArea>
      <c:layout/>
      <c:lineChart>
        <c:grouping val="standard"/>
        <c:varyColors val="0"/>
        <c:ser>
          <c:idx val="0"/>
          <c:order val="0"/>
          <c:tx>
            <c:strRef>
              <c:f>'Financials DF'!$A$217</c:f>
              <c:strCache>
                <c:ptCount val="1"/>
                <c:pt idx="0">
                  <c:v>RETURN_ON_INV_CAPITAL</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C5-4D1E-A7CD-CAB43472D5F5}"/>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DF'!$C$217:$M$217</c:f>
              <c:numCache>
                <c:formatCode>_(* #,##0.00_);_(* \(#,##0.00\);_(* "-"??_);_(@_)</c:formatCode>
                <c:ptCount val="11"/>
                <c:pt idx="0">
                  <c:v>8.6199999999999992</c:v>
                </c:pt>
                <c:pt idx="1">
                  <c:v>8.01</c:v>
                </c:pt>
                <c:pt idx="2">
                  <c:v>6.78</c:v>
                </c:pt>
                <c:pt idx="3">
                  <c:v>18.02</c:v>
                </c:pt>
                <c:pt idx="4">
                  <c:v>8.6199999999999992</c:v>
                </c:pt>
                <c:pt idx="5">
                  <c:v>15.07</c:v>
                </c:pt>
                <c:pt idx="6">
                  <c:v>12.84</c:v>
                </c:pt>
                <c:pt idx="7">
                  <c:v>15.03</c:v>
                </c:pt>
                <c:pt idx="8">
                  <c:v>15.3</c:v>
                </c:pt>
                <c:pt idx="9">
                  <c:v>25.56</c:v>
                </c:pt>
                <c:pt idx="10">
                  <c:v>-17.45</c:v>
                </c:pt>
              </c:numCache>
            </c:numRef>
          </c:val>
          <c:smooth val="0"/>
          <c:extLst>
            <c:ext xmlns:c16="http://schemas.microsoft.com/office/drawing/2014/chart" uri="{C3380CC4-5D6E-409C-BE32-E72D297353CC}">
              <c16:uniqueId val="{00000001-20C5-4D1E-A7CD-CAB43472D5F5}"/>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TOT_DEBT_TO_TOT_EQY</a:t>
            </a:r>
          </a:p>
        </c:rich>
      </c:tx>
      <c:overlay val="0"/>
    </c:title>
    <c:autoTitleDeleted val="0"/>
    <c:plotArea>
      <c:layout/>
      <c:lineChart>
        <c:grouping val="standard"/>
        <c:varyColors val="0"/>
        <c:ser>
          <c:idx val="0"/>
          <c:order val="0"/>
          <c:tx>
            <c:strRef>
              <c:f>'Financials DF'!$A$216</c:f>
              <c:strCache>
                <c:ptCount val="1"/>
                <c:pt idx="0">
                  <c:v>TOT_DEBT_TO_TOT_EQY</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D26-4E98-AC2B-35A7B2058141}"/>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DF'!$C$216:$M$216</c:f>
              <c:numCache>
                <c:formatCode>_(* #,##0.00_);_(* \(#,##0.00\);_(* "-"??_);_(@_)</c:formatCode>
                <c:ptCount val="11"/>
                <c:pt idx="0">
                  <c:v>99.21</c:v>
                </c:pt>
                <c:pt idx="1">
                  <c:v>102.78</c:v>
                </c:pt>
                <c:pt idx="2">
                  <c:v>121.62</c:v>
                </c:pt>
                <c:pt idx="3">
                  <c:v>66.89</c:v>
                </c:pt>
                <c:pt idx="4">
                  <c:v>59.3</c:v>
                </c:pt>
                <c:pt idx="5">
                  <c:v>100.61</c:v>
                </c:pt>
                <c:pt idx="6">
                  <c:v>57.82</c:v>
                </c:pt>
                <c:pt idx="7">
                  <c:v>58.41</c:v>
                </c:pt>
                <c:pt idx="8">
                  <c:v>54.91</c:v>
                </c:pt>
                <c:pt idx="9">
                  <c:v>62.86</c:v>
                </c:pt>
                <c:pt idx="10">
                  <c:v>0</c:v>
                </c:pt>
              </c:numCache>
            </c:numRef>
          </c:val>
          <c:smooth val="0"/>
          <c:extLst>
            <c:ext xmlns:c16="http://schemas.microsoft.com/office/drawing/2014/chart" uri="{C3380CC4-5D6E-409C-BE32-E72D297353CC}">
              <c16:uniqueId val="{00000001-5D26-4E98-AC2B-35A7B2058141}"/>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ASSET_TURNOVER</a:t>
            </a:r>
          </a:p>
        </c:rich>
      </c:tx>
      <c:overlay val="0"/>
    </c:title>
    <c:autoTitleDeleted val="0"/>
    <c:plotArea>
      <c:layout/>
      <c:lineChart>
        <c:grouping val="standard"/>
        <c:varyColors val="0"/>
        <c:ser>
          <c:idx val="0"/>
          <c:order val="0"/>
          <c:tx>
            <c:strRef>
              <c:f>'Financials DF'!$A$215</c:f>
              <c:strCache>
                <c:ptCount val="1"/>
                <c:pt idx="0">
                  <c:v>ASSET_TURNOVER</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D19-406D-96C7-829D982D38B6}"/>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DF'!$C$215:$M$215</c:f>
              <c:numCache>
                <c:formatCode>_(* #,##0.00_);_(* \(#,##0.00\);_(* "-"??_);_(@_)</c:formatCode>
                <c:ptCount val="11"/>
                <c:pt idx="0">
                  <c:v>0.83</c:v>
                </c:pt>
                <c:pt idx="1">
                  <c:v>0.82</c:v>
                </c:pt>
                <c:pt idx="2">
                  <c:v>0.8</c:v>
                </c:pt>
                <c:pt idx="3">
                  <c:v>1.03</c:v>
                </c:pt>
                <c:pt idx="4">
                  <c:v>0.85</c:v>
                </c:pt>
                <c:pt idx="5">
                  <c:v>0.65</c:v>
                </c:pt>
                <c:pt idx="6">
                  <c:v>1.21</c:v>
                </c:pt>
                <c:pt idx="7">
                  <c:v>1.1499999999999999</c:v>
                </c:pt>
                <c:pt idx="8">
                  <c:v>1.26</c:v>
                </c:pt>
                <c:pt idx="9">
                  <c:v>0.8</c:v>
                </c:pt>
                <c:pt idx="10">
                  <c:v>0.53</c:v>
                </c:pt>
              </c:numCache>
            </c:numRef>
          </c:val>
          <c:smooth val="0"/>
          <c:extLst>
            <c:ext xmlns:c16="http://schemas.microsoft.com/office/drawing/2014/chart" uri="{C3380CC4-5D6E-409C-BE32-E72D297353CC}">
              <c16:uniqueId val="{00000001-0D19-406D-96C7-829D982D38B6}"/>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WORKING_CAPITAL_TO_SALES</a:t>
            </a:r>
          </a:p>
        </c:rich>
      </c:tx>
      <c:overlay val="0"/>
    </c:title>
    <c:autoTitleDeleted val="0"/>
    <c:plotArea>
      <c:layout/>
      <c:lineChart>
        <c:grouping val="standard"/>
        <c:varyColors val="0"/>
        <c:ser>
          <c:idx val="0"/>
          <c:order val="0"/>
          <c:tx>
            <c:strRef>
              <c:f>'Financials DF'!$A$214</c:f>
              <c:strCache>
                <c:ptCount val="1"/>
                <c:pt idx="0">
                  <c:v>WORKING_CAPITAL_TO_SALES</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A88-497C-8DF2-3B4231934FE1}"/>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DF'!$C$214:$M$214</c:f>
              <c:numCache>
                <c:formatCode>_(* #,##0.00_);_(* \(#,##0.00\);_(* "-"??_);_(@_)</c:formatCode>
                <c:ptCount val="11"/>
                <c:pt idx="0">
                  <c:v>0</c:v>
                </c:pt>
                <c:pt idx="1">
                  <c:v>0.02</c:v>
                </c:pt>
                <c:pt idx="2">
                  <c:v>0.03</c:v>
                </c:pt>
                <c:pt idx="3">
                  <c:v>0.03</c:v>
                </c:pt>
                <c:pt idx="4">
                  <c:v>0.04</c:v>
                </c:pt>
                <c:pt idx="5">
                  <c:v>0.03</c:v>
                </c:pt>
                <c:pt idx="6">
                  <c:v>0.01</c:v>
                </c:pt>
                <c:pt idx="7">
                  <c:v>0</c:v>
                </c:pt>
                <c:pt idx="8">
                  <c:v>0</c:v>
                </c:pt>
                <c:pt idx="9">
                  <c:v>0.01</c:v>
                </c:pt>
                <c:pt idx="10">
                  <c:v>-0.01</c:v>
                </c:pt>
              </c:numCache>
            </c:numRef>
          </c:val>
          <c:smooth val="0"/>
          <c:extLst>
            <c:ext xmlns:c16="http://schemas.microsoft.com/office/drawing/2014/chart" uri="{C3380CC4-5D6E-409C-BE32-E72D297353CC}">
              <c16:uniqueId val="{00000001-5A88-497C-8DF2-3B4231934FE1}"/>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CAPEX_TO_DEPR_EXPN_RATIO</a:t>
            </a:r>
          </a:p>
        </c:rich>
      </c:tx>
      <c:overlay val="0"/>
    </c:title>
    <c:autoTitleDeleted val="0"/>
    <c:plotArea>
      <c:layout/>
      <c:lineChart>
        <c:grouping val="standard"/>
        <c:varyColors val="0"/>
        <c:ser>
          <c:idx val="0"/>
          <c:order val="0"/>
          <c:tx>
            <c:strRef>
              <c:f>'Financials DF'!$A$213</c:f>
              <c:strCache>
                <c:ptCount val="1"/>
                <c:pt idx="0">
                  <c:v>CAPEX_TO_DEPR_EXPN_RATIO</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C2D-4B25-B7D3-C956AFFB84AA}"/>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DF'!$C$213:$M$213</c:f>
              <c:numCache>
                <c:formatCode>_(* #,##0.00_);_(* \(#,##0.00\);_(* "-"??_);_(@_)</c:formatCode>
                <c:ptCount val="11"/>
                <c:pt idx="0">
                  <c:v>1.19</c:v>
                </c:pt>
                <c:pt idx="1">
                  <c:v>0.99</c:v>
                </c:pt>
                <c:pt idx="2">
                  <c:v>0.84</c:v>
                </c:pt>
                <c:pt idx="3">
                  <c:v>1.87</c:v>
                </c:pt>
                <c:pt idx="4">
                  <c:v>2.13</c:v>
                </c:pt>
                <c:pt idx="5">
                  <c:v>3.8</c:v>
                </c:pt>
                <c:pt idx="6">
                  <c:v>2.16</c:v>
                </c:pt>
                <c:pt idx="7">
                  <c:v>2.33</c:v>
                </c:pt>
                <c:pt idx="8">
                  <c:v>1.82</c:v>
                </c:pt>
                <c:pt idx="9">
                  <c:v>1.35</c:v>
                </c:pt>
                <c:pt idx="10">
                  <c:v>1.1200000000000001</c:v>
                </c:pt>
              </c:numCache>
            </c:numRef>
          </c:val>
          <c:smooth val="0"/>
          <c:extLst>
            <c:ext xmlns:c16="http://schemas.microsoft.com/office/drawing/2014/chart" uri="{C3380CC4-5D6E-409C-BE32-E72D297353CC}">
              <c16:uniqueId val="{00000001-9C2D-4B25-B7D3-C956AFFB84AA}"/>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EFF_TAX_RATE</a:t>
            </a:r>
          </a:p>
        </c:rich>
      </c:tx>
      <c:overlay val="0"/>
    </c:title>
    <c:autoTitleDeleted val="0"/>
    <c:plotArea>
      <c:layout/>
      <c:lineChart>
        <c:grouping val="standard"/>
        <c:varyColors val="0"/>
        <c:ser>
          <c:idx val="0"/>
          <c:order val="0"/>
          <c:tx>
            <c:strRef>
              <c:f>'Financials DF'!$A$212</c:f>
              <c:strCache>
                <c:ptCount val="1"/>
                <c:pt idx="0">
                  <c:v>EFF_TAX_RATE</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2B0-43F1-83B2-8381FC9A8565}"/>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DF'!$C$212:$M$212</c:f>
              <c:numCache>
                <c:formatCode>_(* #,##0.00_);_(* \(#,##0.00\);_(* "-"??_);_(@_)</c:formatCode>
                <c:ptCount val="11"/>
                <c:pt idx="0">
                  <c:v>31.55</c:v>
                </c:pt>
                <c:pt idx="1">
                  <c:v>35.369999999999997</c:v>
                </c:pt>
                <c:pt idx="2">
                  <c:v>39.86</c:v>
                </c:pt>
                <c:pt idx="3">
                  <c:v>26.18</c:v>
                </c:pt>
                <c:pt idx="4">
                  <c:v>40.4</c:v>
                </c:pt>
                <c:pt idx="5">
                  <c:v>27.07</c:v>
                </c:pt>
                <c:pt idx="6">
                  <c:v>44.37</c:v>
                </c:pt>
                <c:pt idx="7">
                  <c:v>27.73</c:v>
                </c:pt>
                <c:pt idx="8">
                  <c:v>27.65</c:v>
                </c:pt>
                <c:pt idx="9">
                  <c:v>11.25</c:v>
                </c:pt>
                <c:pt idx="10">
                  <c:v>0</c:v>
                </c:pt>
              </c:numCache>
            </c:numRef>
          </c:val>
          <c:smooth val="0"/>
          <c:extLst>
            <c:ext xmlns:c16="http://schemas.microsoft.com/office/drawing/2014/chart" uri="{C3380CC4-5D6E-409C-BE32-E72D297353CC}">
              <c16:uniqueId val="{00000001-D2B0-43F1-83B2-8381FC9A8565}"/>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OPER_MARGIN</a:t>
            </a:r>
          </a:p>
        </c:rich>
      </c:tx>
      <c:overlay val="0"/>
    </c:title>
    <c:autoTitleDeleted val="0"/>
    <c:plotArea>
      <c:layout/>
      <c:lineChart>
        <c:grouping val="standard"/>
        <c:varyColors val="0"/>
        <c:ser>
          <c:idx val="0"/>
          <c:order val="0"/>
          <c:tx>
            <c:strRef>
              <c:f>'Financials DF'!$A$211</c:f>
              <c:strCache>
                <c:ptCount val="1"/>
                <c:pt idx="0">
                  <c:v>OPER_MARGIN</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88B-4E3A-86A9-57D041A9E756}"/>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DF'!$C$211:$M$211</c:f>
              <c:numCache>
                <c:formatCode>_(* #,##0.00_);_(* \(#,##0.00\);_(* "-"??_);_(@_)</c:formatCode>
                <c:ptCount val="11"/>
                <c:pt idx="0">
                  <c:v>10.55</c:v>
                </c:pt>
                <c:pt idx="1">
                  <c:v>9.7899999999999991</c:v>
                </c:pt>
                <c:pt idx="2">
                  <c:v>8.32</c:v>
                </c:pt>
                <c:pt idx="3">
                  <c:v>16.86</c:v>
                </c:pt>
                <c:pt idx="4">
                  <c:v>9.3699999999999992</c:v>
                </c:pt>
                <c:pt idx="5">
                  <c:v>18.489999999999998</c:v>
                </c:pt>
                <c:pt idx="6">
                  <c:v>10.97</c:v>
                </c:pt>
                <c:pt idx="7">
                  <c:v>11.06</c:v>
                </c:pt>
                <c:pt idx="8">
                  <c:v>10.24</c:v>
                </c:pt>
                <c:pt idx="9">
                  <c:v>22.84</c:v>
                </c:pt>
                <c:pt idx="10">
                  <c:v>-27.65</c:v>
                </c:pt>
              </c:numCache>
            </c:numRef>
          </c:val>
          <c:smooth val="0"/>
          <c:extLst>
            <c:ext xmlns:c16="http://schemas.microsoft.com/office/drawing/2014/chart" uri="{C3380CC4-5D6E-409C-BE32-E72D297353CC}">
              <c16:uniqueId val="{00000001-A88B-4E3A-86A9-57D041A9E756}"/>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EBITDA_TO_REVENUE</a:t>
            </a:r>
          </a:p>
        </c:rich>
      </c:tx>
      <c:overlay val="0"/>
    </c:title>
    <c:autoTitleDeleted val="0"/>
    <c:plotArea>
      <c:layout/>
      <c:lineChart>
        <c:grouping val="standard"/>
        <c:varyColors val="0"/>
        <c:ser>
          <c:idx val="0"/>
          <c:order val="0"/>
          <c:tx>
            <c:strRef>
              <c:f>'Financials DF'!$A$210</c:f>
              <c:strCache>
                <c:ptCount val="1"/>
                <c:pt idx="0">
                  <c:v>EBITDA_TO_REVENUE</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06-4850-8ABC-4377E0F84368}"/>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DF'!$C$210:$M$210</c:f>
              <c:numCache>
                <c:formatCode>_(* #,##0.00_);_(* \(#,##0.00\);_(* "-"??_);_(@_)</c:formatCode>
                <c:ptCount val="11"/>
                <c:pt idx="0">
                  <c:v>16.11</c:v>
                </c:pt>
                <c:pt idx="1">
                  <c:v>15.3</c:v>
                </c:pt>
                <c:pt idx="2">
                  <c:v>14.5</c:v>
                </c:pt>
                <c:pt idx="3">
                  <c:v>20.329999999999998</c:v>
                </c:pt>
                <c:pt idx="4">
                  <c:v>14.02</c:v>
                </c:pt>
                <c:pt idx="5">
                  <c:v>25.29</c:v>
                </c:pt>
                <c:pt idx="6">
                  <c:v>14.65</c:v>
                </c:pt>
                <c:pt idx="7">
                  <c:v>14.78</c:v>
                </c:pt>
                <c:pt idx="8">
                  <c:v>13.86</c:v>
                </c:pt>
                <c:pt idx="9">
                  <c:v>26.82</c:v>
                </c:pt>
                <c:pt idx="10">
                  <c:v>-22.3</c:v>
                </c:pt>
              </c:numCache>
            </c:numRef>
          </c:val>
          <c:smooth val="0"/>
          <c:extLst>
            <c:ext xmlns:c16="http://schemas.microsoft.com/office/drawing/2014/chart" uri="{C3380CC4-5D6E-409C-BE32-E72D297353CC}">
              <c16:uniqueId val="{00000001-9406-4850-8ABC-4377E0F84368}"/>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GROSS_MARGIN</a:t>
            </a:r>
          </a:p>
        </c:rich>
      </c:tx>
      <c:overlay val="0"/>
    </c:title>
    <c:autoTitleDeleted val="0"/>
    <c:plotArea>
      <c:layout/>
      <c:lineChart>
        <c:grouping val="standard"/>
        <c:varyColors val="0"/>
        <c:ser>
          <c:idx val="0"/>
          <c:order val="0"/>
          <c:tx>
            <c:strRef>
              <c:f>'Financials DF'!$A$209</c:f>
              <c:strCache>
                <c:ptCount val="1"/>
                <c:pt idx="0">
                  <c:v>GROSS_MARGIN</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396-429D-BFD0-987610A3C09D}"/>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DF'!$C$209:$M$209</c:f>
              <c:numCache>
                <c:formatCode>_(* #,##0.00_);_(* \(#,##0.00\);_(* "-"??_);_(@_)</c:formatCode>
                <c:ptCount val="11"/>
                <c:pt idx="0">
                  <c:v>48.77</c:v>
                </c:pt>
                <c:pt idx="1">
                  <c:v>49.3</c:v>
                </c:pt>
                <c:pt idx="2">
                  <c:v>47.94</c:v>
                </c:pt>
                <c:pt idx="3">
                  <c:v>50.66</c:v>
                </c:pt>
                <c:pt idx="4">
                  <c:v>49.97</c:v>
                </c:pt>
                <c:pt idx="5">
                  <c:v>49.46</c:v>
                </c:pt>
                <c:pt idx="6">
                  <c:v>43.61</c:v>
                </c:pt>
                <c:pt idx="7">
                  <c:v>43.79</c:v>
                </c:pt>
                <c:pt idx="8">
                  <c:v>42.65</c:v>
                </c:pt>
                <c:pt idx="9">
                  <c:v>43.15</c:v>
                </c:pt>
                <c:pt idx="10">
                  <c:v>42.13</c:v>
                </c:pt>
              </c:numCache>
            </c:numRef>
          </c:val>
          <c:smooth val="0"/>
          <c:extLst>
            <c:ext xmlns:c16="http://schemas.microsoft.com/office/drawing/2014/chart" uri="{C3380CC4-5D6E-409C-BE32-E72D297353CC}">
              <c16:uniqueId val="{00000001-2396-429D-BFD0-987610A3C09D}"/>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CURRENT_EV_TO_T12M_EBITDA</a:t>
            </a:r>
          </a:p>
        </c:rich>
      </c:tx>
      <c:overlay val="0"/>
    </c:title>
    <c:autoTitleDeleted val="0"/>
    <c:plotArea>
      <c:layout/>
      <c:lineChart>
        <c:grouping val="standard"/>
        <c:varyColors val="0"/>
        <c:ser>
          <c:idx val="0"/>
          <c:order val="0"/>
          <c:tx>
            <c:strRef>
              <c:f>'Financials DF'!$A$208</c:f>
              <c:strCache>
                <c:ptCount val="1"/>
                <c:pt idx="0">
                  <c:v>CURRENT_EV_TO_T12M_EBITDA</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00-4857-B95B-E1F180C2C3DC}"/>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DF'!$C$208:$M$208</c:f>
              <c:numCache>
                <c:formatCode>_(* #,##0.00_);_(* \(#,##0.00\);_(* "-"??_);_(@_)</c:formatCode>
                <c:ptCount val="11"/>
                <c:pt idx="0">
                  <c:v>8.93</c:v>
                </c:pt>
                <c:pt idx="1">
                  <c:v>9.3000000000000007</c:v>
                </c:pt>
                <c:pt idx="2">
                  <c:v>9.3000000000000007</c:v>
                </c:pt>
                <c:pt idx="3">
                  <c:v>14.86</c:v>
                </c:pt>
                <c:pt idx="4">
                  <c:v>14.86</c:v>
                </c:pt>
                <c:pt idx="5">
                  <c:v>14.86</c:v>
                </c:pt>
                <c:pt idx="6">
                  <c:v>14.86</c:v>
                </c:pt>
                <c:pt idx="7">
                  <c:v>14.86</c:v>
                </c:pt>
                <c:pt idx="8">
                  <c:v>14.86</c:v>
                </c:pt>
                <c:pt idx="9">
                  <c:v>14.86</c:v>
                </c:pt>
                <c:pt idx="10">
                  <c:v>14.86</c:v>
                </c:pt>
              </c:numCache>
            </c:numRef>
          </c:val>
          <c:smooth val="0"/>
          <c:extLst>
            <c:ext xmlns:c16="http://schemas.microsoft.com/office/drawing/2014/chart" uri="{C3380CC4-5D6E-409C-BE32-E72D297353CC}">
              <c16:uniqueId val="{00000001-0400-4857-B95B-E1F180C2C3DC}"/>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PX_TO_BOOK_RATIO</a:t>
            </a:r>
          </a:p>
        </c:rich>
      </c:tx>
      <c:overlay val="0"/>
    </c:title>
    <c:autoTitleDeleted val="0"/>
    <c:plotArea>
      <c:layout/>
      <c:lineChart>
        <c:grouping val="standard"/>
        <c:varyColors val="0"/>
        <c:ser>
          <c:idx val="0"/>
          <c:order val="0"/>
          <c:tx>
            <c:strRef>
              <c:f>'Financials DF'!$A$207</c:f>
              <c:strCache>
                <c:ptCount val="1"/>
                <c:pt idx="0">
                  <c:v>PX_TO_BOOK_RATIO</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184-4EF2-A0A6-09315BAFC5FD}"/>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DF'!$C$207:$M$207</c:f>
              <c:numCache>
                <c:formatCode>_(* #,##0.00_);_(* \(#,##0.00\);_(* "-"??_);_(@_)</c:formatCode>
                <c:ptCount val="11"/>
                <c:pt idx="0">
                  <c:v>1.79</c:v>
                </c:pt>
                <c:pt idx="1">
                  <c:v>2.1800000000000002</c:v>
                </c:pt>
                <c:pt idx="2">
                  <c:v>1.89</c:v>
                </c:pt>
                <c:pt idx="3">
                  <c:v>2.4700000000000002</c:v>
                </c:pt>
                <c:pt idx="4">
                  <c:v>3.39</c:v>
                </c:pt>
                <c:pt idx="5">
                  <c:v>3.91</c:v>
                </c:pt>
                <c:pt idx="6">
                  <c:v>4.4800000000000004</c:v>
                </c:pt>
                <c:pt idx="7">
                  <c:v>4.75</c:v>
                </c:pt>
                <c:pt idx="8">
                  <c:v>4.8899999999999997</c:v>
                </c:pt>
                <c:pt idx="9">
                  <c:v>4.45</c:v>
                </c:pt>
                <c:pt idx="10">
                  <c:v>23.53</c:v>
                </c:pt>
              </c:numCache>
            </c:numRef>
          </c:val>
          <c:smooth val="0"/>
          <c:extLst>
            <c:ext xmlns:c16="http://schemas.microsoft.com/office/drawing/2014/chart" uri="{C3380CC4-5D6E-409C-BE32-E72D297353CC}">
              <c16:uniqueId val="{00000001-0184-4EF2-A0A6-09315BAFC5FD}"/>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ZA" sz="1400"/>
              <a:t>RETURN_COM_EQY</a:t>
            </a:r>
          </a:p>
        </c:rich>
      </c:tx>
      <c:overlay val="0"/>
    </c:title>
    <c:autoTitleDeleted val="0"/>
    <c:plotArea>
      <c:layout/>
      <c:lineChart>
        <c:grouping val="standard"/>
        <c:varyColors val="0"/>
        <c:ser>
          <c:idx val="0"/>
          <c:order val="0"/>
          <c:tx>
            <c:strRef>
              <c:f>'Financials DF'!$A$206</c:f>
              <c:strCache>
                <c:ptCount val="1"/>
                <c:pt idx="0">
                  <c:v>RETURN_COM_EQY</c:v>
                </c:pt>
              </c:strCache>
            </c:strRef>
          </c:tx>
          <c:spPr>
            <a:ln w="15875">
              <a:solidFill>
                <a:srgbClr val="E11F2C"/>
              </a:solidFill>
            </a:ln>
          </c:spPr>
          <c:marker>
            <c:symbol val="circle"/>
            <c:size val="6"/>
            <c:spPr>
              <a:solidFill>
                <a:srgbClr val="E11F2C"/>
              </a:solidFill>
              <a:ln>
                <a:no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7E8-40B1-B30E-06932817BAB3}"/>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1"/>
              </c:ext>
            </c:extLst>
          </c:dLbls>
          <c:cat>
            <c:numRef>
              <c:f>'Financials DF'!$C$205:$M$205</c:f>
              <c:numCache>
                <c:formatCode>0_);\(0\)</c:formatCode>
                <c:ptCount val="11"/>
                <c:pt idx="0">
                  <c:v>2022</c:v>
                </c:pt>
                <c:pt idx="1">
                  <c:v>2021</c:v>
                </c:pt>
                <c:pt idx="2">
                  <c:v>2020</c:v>
                </c:pt>
                <c:pt idx="3">
                  <c:v>2019</c:v>
                </c:pt>
                <c:pt idx="4">
                  <c:v>2018</c:v>
                </c:pt>
                <c:pt idx="5">
                  <c:v>2017</c:v>
                </c:pt>
                <c:pt idx="6">
                  <c:v>2016</c:v>
                </c:pt>
                <c:pt idx="7">
                  <c:v>2015</c:v>
                </c:pt>
                <c:pt idx="8">
                  <c:v>2014</c:v>
                </c:pt>
                <c:pt idx="9">
                  <c:v>2013</c:v>
                </c:pt>
                <c:pt idx="10">
                  <c:v>2012</c:v>
                </c:pt>
              </c:numCache>
            </c:numRef>
          </c:cat>
          <c:val>
            <c:numRef>
              <c:f>'Financials DF'!$C$206:$M$206</c:f>
              <c:numCache>
                <c:formatCode>_(* #,##0.00_);_(* \(#,##0.00\);_(* "-"??_);_(@_)</c:formatCode>
                <c:ptCount val="11"/>
                <c:pt idx="0">
                  <c:v>9.66</c:v>
                </c:pt>
                <c:pt idx="1">
                  <c:v>7.66</c:v>
                </c:pt>
                <c:pt idx="2">
                  <c:v>4.2</c:v>
                </c:pt>
                <c:pt idx="3">
                  <c:v>24.85</c:v>
                </c:pt>
                <c:pt idx="4">
                  <c:v>54.27</c:v>
                </c:pt>
                <c:pt idx="5">
                  <c:v>-5.95</c:v>
                </c:pt>
                <c:pt idx="6">
                  <c:v>16.27</c:v>
                </c:pt>
                <c:pt idx="7">
                  <c:v>25.45</c:v>
                </c:pt>
                <c:pt idx="8">
                  <c:v>26.66</c:v>
                </c:pt>
                <c:pt idx="9">
                  <c:v>123.6</c:v>
                </c:pt>
                <c:pt idx="10">
                  <c:v>-137.57</c:v>
                </c:pt>
              </c:numCache>
            </c:numRef>
          </c:val>
          <c:smooth val="0"/>
          <c:extLst>
            <c:ext xmlns:c16="http://schemas.microsoft.com/office/drawing/2014/chart" uri="{C3380CC4-5D6E-409C-BE32-E72D297353CC}">
              <c16:uniqueId val="{00000001-A7E8-40B1-B30E-06932817BAB3}"/>
            </c:ext>
          </c:extLst>
        </c:ser>
        <c:dLbls>
          <c:showLegendKey val="0"/>
          <c:showVal val="0"/>
          <c:showCatName val="0"/>
          <c:showSerName val="0"/>
          <c:showPercent val="0"/>
          <c:showBubbleSize val="0"/>
        </c:dLbls>
        <c:marker val="1"/>
        <c:smooth val="0"/>
        <c:axId val="901677440"/>
        <c:axId val="901678976"/>
      </c:lineChart>
      <c:catAx>
        <c:axId val="901677440"/>
        <c:scaling>
          <c:orientation val="maxMin"/>
        </c:scaling>
        <c:delete val="0"/>
        <c:axPos val="b"/>
        <c:numFmt formatCode="General" sourceLinked="0"/>
        <c:majorTickMark val="none"/>
        <c:minorTickMark val="none"/>
        <c:tickLblPos val="low"/>
        <c:spPr>
          <a:ln>
            <a:solidFill>
              <a:schemeClr val="bg1">
                <a:lumMod val="65000"/>
              </a:schemeClr>
            </a:solidFill>
          </a:ln>
        </c:spPr>
        <c:crossAx val="901678976"/>
        <c:crosses val="autoZero"/>
        <c:auto val="1"/>
        <c:lblAlgn val="ctr"/>
        <c:lblOffset val="100"/>
        <c:noMultiLvlLbl val="0"/>
      </c:catAx>
      <c:valAx>
        <c:axId val="901678976"/>
        <c:scaling>
          <c:orientation val="minMax"/>
        </c:scaling>
        <c:delete val="0"/>
        <c:axPos val="l"/>
        <c:majorGridlines>
          <c:spPr>
            <a:ln>
              <a:solidFill>
                <a:schemeClr val="bg1">
                  <a:lumMod val="85000"/>
                </a:schemeClr>
              </a:solidFill>
              <a:prstDash val="sysDash"/>
            </a:ln>
          </c:spPr>
        </c:majorGridlines>
        <c:numFmt formatCode="_(* #\ ##0.00_);_(* \(#\ ##0.00\);_(* &quot;-&quot;??_);_(@_)" sourceLinked="0"/>
        <c:majorTickMark val="none"/>
        <c:minorTickMark val="none"/>
        <c:tickLblPos val="nextTo"/>
        <c:spPr>
          <a:ln w="9525">
            <a:noFill/>
          </a:ln>
        </c:spPr>
        <c:crossAx val="901677440"/>
        <c:crosses val="max"/>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oneCellAnchor>
    <xdr:from>
      <xdr:col>1</xdr:col>
      <xdr:colOff>66264</xdr:colOff>
      <xdr:row>113</xdr:row>
      <xdr:rowOff>57978</xdr:rowOff>
    </xdr:from>
    <xdr:ext cx="6498415" cy="6882572"/>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56764" y="21203478"/>
          <a:ext cx="6498415" cy="6882572"/>
        </a:xfrm>
        <a:prstGeom prst="rect">
          <a:avLst/>
        </a:prstGeom>
      </xdr:spPr>
    </xdr:pic>
    <xdr:clientData/>
  </xdr:oneCellAnchor>
  <xdr:twoCellAnchor editAs="oneCell">
    <xdr:from>
      <xdr:col>1</xdr:col>
      <xdr:colOff>66264</xdr:colOff>
      <xdr:row>164</xdr:row>
      <xdr:rowOff>76202</xdr:rowOff>
    </xdr:from>
    <xdr:to>
      <xdr:col>11</xdr:col>
      <xdr:colOff>270948</xdr:colOff>
      <xdr:row>200</xdr:row>
      <xdr:rowOff>115958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256764" y="30937202"/>
          <a:ext cx="5505554" cy="6897756"/>
        </a:xfrm>
        <a:prstGeom prst="rect">
          <a:avLst/>
        </a:prstGeom>
      </xdr:spPr>
    </xdr:pic>
    <xdr:clientData/>
  </xdr:twoCellAnchor>
  <xdr:twoCellAnchor editAs="oneCell">
    <xdr:from>
      <xdr:col>1</xdr:col>
      <xdr:colOff>66264</xdr:colOff>
      <xdr:row>216</xdr:row>
      <xdr:rowOff>16565</xdr:rowOff>
    </xdr:from>
    <xdr:to>
      <xdr:col>20</xdr:col>
      <xdr:colOff>454914</xdr:colOff>
      <xdr:row>244</xdr:row>
      <xdr:rowOff>24847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256764" y="41164565"/>
          <a:ext cx="10460302" cy="5342282"/>
        </a:xfrm>
        <a:prstGeom prst="rect">
          <a:avLst/>
        </a:prstGeom>
      </xdr:spPr>
    </xdr:pic>
    <xdr:clientData/>
  </xdr:twoCellAnchor>
  <xdr:twoCellAnchor editAs="oneCell">
    <xdr:from>
      <xdr:col>1</xdr:col>
      <xdr:colOff>66264</xdr:colOff>
      <xdr:row>19</xdr:row>
      <xdr:rowOff>99391</xdr:rowOff>
    </xdr:from>
    <xdr:to>
      <xdr:col>17</xdr:col>
      <xdr:colOff>127474</xdr:colOff>
      <xdr:row>54</xdr:row>
      <xdr:rowOff>57978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56764" y="3718891"/>
          <a:ext cx="8542601" cy="6626087"/>
        </a:xfrm>
        <a:prstGeom prst="rect">
          <a:avLst/>
        </a:prstGeom>
      </xdr:spPr>
    </xdr:pic>
    <xdr:clientData/>
  </xdr:twoCellAnchor>
  <xdr:twoCellAnchor editAs="oneCell">
    <xdr:from>
      <xdr:col>1</xdr:col>
      <xdr:colOff>66264</xdr:colOff>
      <xdr:row>68</xdr:row>
      <xdr:rowOff>33130</xdr:rowOff>
    </xdr:from>
    <xdr:to>
      <xdr:col>13</xdr:col>
      <xdr:colOff>274282</xdr:colOff>
      <xdr:row>105</xdr:row>
      <xdr:rowOff>157370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256764" y="12796630"/>
          <a:ext cx="6569061" cy="71727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54349</xdr:colOff>
      <xdr:row>0</xdr:row>
      <xdr:rowOff>110938</xdr:rowOff>
    </xdr:from>
    <xdr:to>
      <xdr:col>2</xdr:col>
      <xdr:colOff>129203</xdr:colOff>
      <xdr:row>3</xdr:row>
      <xdr:rowOff>33261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592231" y="110938"/>
          <a:ext cx="2002266" cy="478695"/>
        </a:xfrm>
        <a:prstGeom prst="rect">
          <a:avLst/>
        </a:prstGeom>
      </xdr:spPr>
    </xdr:pic>
    <xdr:clientData/>
  </xdr:twoCellAnchor>
  <xdr:twoCellAnchor>
    <xdr:from>
      <xdr:col>4</xdr:col>
      <xdr:colOff>238123</xdr:colOff>
      <xdr:row>13</xdr:row>
      <xdr:rowOff>180975</xdr:rowOff>
    </xdr:from>
    <xdr:to>
      <xdr:col>15</xdr:col>
      <xdr:colOff>104774</xdr:colOff>
      <xdr:row>30</xdr:row>
      <xdr:rowOff>182475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15</xdr:col>
      <xdr:colOff>200025</xdr:colOff>
      <xdr:row>1</xdr:row>
      <xdr:rowOff>66675</xdr:rowOff>
    </xdr:from>
    <xdr:to>
      <xdr:col>19</xdr:col>
      <xdr:colOff>12700</xdr:colOff>
      <xdr:row>3</xdr:row>
      <xdr:rowOff>178408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11953875" y="257175"/>
          <a:ext cx="1942465" cy="496543"/>
        </a:xfrm>
        <a:prstGeom prst="rect">
          <a:avLst/>
        </a:prstGeom>
      </xdr:spPr>
    </xdr:pic>
    <xdr:clientData/>
  </xdr:twoCellAnchor>
  <xdr:twoCellAnchor>
    <xdr:from>
      <xdr:col>4</xdr:col>
      <xdr:colOff>247650</xdr:colOff>
      <xdr:row>1</xdr:row>
      <xdr:rowOff>9525</xdr:rowOff>
    </xdr:from>
    <xdr:to>
      <xdr:col>14</xdr:col>
      <xdr:colOff>495301</xdr:colOff>
      <xdr:row>18</xdr:row>
      <xdr:rowOff>11025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4.xml><?xml version="1.0" encoding="utf-8"?>
<xdr:wsDr xmlns:xdr="http://schemas.openxmlformats.org/drawingml/2006/spreadsheetDrawing" xmlns:a="http://schemas.openxmlformats.org/drawingml/2006/main">
  <xdr:twoCellAnchor>
    <xdr:from>
      <xdr:col>22</xdr:col>
      <xdr:colOff>9525</xdr:colOff>
      <xdr:row>6</xdr:row>
      <xdr:rowOff>123825</xdr:rowOff>
    </xdr:from>
    <xdr:to>
      <xdr:col>22</xdr:col>
      <xdr:colOff>533400</xdr:colOff>
      <xdr:row>6</xdr:row>
      <xdr:rowOff>123825</xdr:rowOff>
    </xdr:to>
    <xdr:sp macro="" textlink="">
      <xdr:nvSpPr>
        <xdr:cNvPr id="3760" name="Line 1">
          <a:extLst>
            <a:ext uri="{FF2B5EF4-FFF2-40B4-BE49-F238E27FC236}">
              <a16:creationId xmlns:a16="http://schemas.microsoft.com/office/drawing/2014/main" id="{00000000-0008-0000-0300-0000B00E0000}"/>
            </a:ext>
          </a:extLst>
        </xdr:cNvPr>
        <xdr:cNvSpPr>
          <a:spLocks noChangeShapeType="1"/>
        </xdr:cNvSpPr>
      </xdr:nvSpPr>
      <xdr:spPr bwMode="auto">
        <a:xfrm>
          <a:off x="17011650" y="809625"/>
          <a:ext cx="523875" cy="0"/>
        </a:xfrm>
        <a:prstGeom prst="line">
          <a:avLst/>
        </a:prstGeom>
        <a:noFill/>
        <a:ln w="9525">
          <a:solidFill>
            <a:srgbClr val="000000"/>
          </a:solidFill>
          <a:round/>
          <a:headEnd/>
          <a:tailEnd type="triangle" w="med" len="med"/>
        </a:ln>
      </xdr:spPr>
    </xdr:sp>
    <xdr:clientData/>
  </xdr:twoCellAnchor>
  <xdr:twoCellAnchor>
    <xdr:from>
      <xdr:col>25</xdr:col>
      <xdr:colOff>0</xdr:colOff>
      <xdr:row>6</xdr:row>
      <xdr:rowOff>142875</xdr:rowOff>
    </xdr:from>
    <xdr:to>
      <xdr:col>26</xdr:col>
      <xdr:colOff>0</xdr:colOff>
      <xdr:row>6</xdr:row>
      <xdr:rowOff>142875</xdr:rowOff>
    </xdr:to>
    <xdr:sp macro="" textlink="">
      <xdr:nvSpPr>
        <xdr:cNvPr id="3761" name="Line 2">
          <a:extLst>
            <a:ext uri="{FF2B5EF4-FFF2-40B4-BE49-F238E27FC236}">
              <a16:creationId xmlns:a16="http://schemas.microsoft.com/office/drawing/2014/main" id="{00000000-0008-0000-0300-0000B10E0000}"/>
            </a:ext>
          </a:extLst>
        </xdr:cNvPr>
        <xdr:cNvSpPr>
          <a:spLocks noChangeShapeType="1"/>
        </xdr:cNvSpPr>
      </xdr:nvSpPr>
      <xdr:spPr bwMode="auto">
        <a:xfrm>
          <a:off x="21059775" y="828675"/>
          <a:ext cx="752475" cy="0"/>
        </a:xfrm>
        <a:prstGeom prst="line">
          <a:avLst/>
        </a:prstGeom>
        <a:noFill/>
        <a:ln w="9525">
          <a:solidFill>
            <a:srgbClr val="000000"/>
          </a:solidFill>
          <a:round/>
          <a:headEnd/>
          <a:tailEnd type="triangle" w="med" len="med"/>
        </a:ln>
      </xdr:spPr>
    </xdr:sp>
    <xdr:clientData/>
  </xdr:twoCellAnchor>
  <xdr:twoCellAnchor>
    <xdr:from>
      <xdr:col>28</xdr:col>
      <xdr:colOff>9525</xdr:colOff>
      <xdr:row>6</xdr:row>
      <xdr:rowOff>123825</xdr:rowOff>
    </xdr:from>
    <xdr:to>
      <xdr:col>29</xdr:col>
      <xdr:colOff>0</xdr:colOff>
      <xdr:row>6</xdr:row>
      <xdr:rowOff>123825</xdr:rowOff>
    </xdr:to>
    <xdr:sp macro="" textlink="">
      <xdr:nvSpPr>
        <xdr:cNvPr id="3762" name="Line 3">
          <a:extLst>
            <a:ext uri="{FF2B5EF4-FFF2-40B4-BE49-F238E27FC236}">
              <a16:creationId xmlns:a16="http://schemas.microsoft.com/office/drawing/2014/main" id="{00000000-0008-0000-0300-0000B20E0000}"/>
            </a:ext>
          </a:extLst>
        </xdr:cNvPr>
        <xdr:cNvSpPr>
          <a:spLocks noChangeShapeType="1"/>
        </xdr:cNvSpPr>
      </xdr:nvSpPr>
      <xdr:spPr bwMode="auto">
        <a:xfrm>
          <a:off x="25260300" y="809625"/>
          <a:ext cx="523875" cy="0"/>
        </a:xfrm>
        <a:prstGeom prst="line">
          <a:avLst/>
        </a:prstGeom>
        <a:noFill/>
        <a:ln w="9525">
          <a:solidFill>
            <a:srgbClr val="000000"/>
          </a:solidFill>
          <a:round/>
          <a:headEnd/>
          <a:tailEnd type="triangle" w="med" len="med"/>
        </a:ln>
      </xdr:spPr>
    </xdr:sp>
    <xdr:clientData/>
  </xdr:twoCellAnchor>
  <xdr:twoCellAnchor editAs="oneCell">
    <xdr:from>
      <xdr:col>20</xdr:col>
      <xdr:colOff>83345</xdr:colOff>
      <xdr:row>46</xdr:row>
      <xdr:rowOff>71444</xdr:rowOff>
    </xdr:from>
    <xdr:to>
      <xdr:col>20</xdr:col>
      <xdr:colOff>1583915</xdr:colOff>
      <xdr:row>48</xdr:row>
      <xdr:rowOff>55592</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16454439" y="7643819"/>
          <a:ext cx="1512000" cy="372572"/>
        </a:xfrm>
        <a:prstGeom prst="rect">
          <a:avLst/>
        </a:prstGeom>
      </xdr:spPr>
    </xdr:pic>
    <xdr:clientData/>
  </xdr:twoCellAnchor>
  <xdr:twoCellAnchor editAs="oneCell">
    <xdr:from>
      <xdr:col>1</xdr:col>
      <xdr:colOff>0</xdr:colOff>
      <xdr:row>1</xdr:row>
      <xdr:rowOff>0</xdr:rowOff>
    </xdr:from>
    <xdr:to>
      <xdr:col>1</xdr:col>
      <xdr:colOff>1503745</xdr:colOff>
      <xdr:row>2</xdr:row>
      <xdr:rowOff>17767</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336176" y="156882"/>
          <a:ext cx="1512000" cy="37467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1512000</xdr:colOff>
      <xdr:row>2</xdr:row>
      <xdr:rowOff>36007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529167" y="158750"/>
          <a:ext cx="1512000" cy="37467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50131</xdr:colOff>
      <xdr:row>1</xdr:row>
      <xdr:rowOff>10029</xdr:rowOff>
    </xdr:from>
    <xdr:to>
      <xdr:col>2</xdr:col>
      <xdr:colOff>212389</xdr:colOff>
      <xdr:row>2</xdr:row>
      <xdr:rowOff>1600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231106" y="171954"/>
          <a:ext cx="1510998" cy="3725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1510998</xdr:colOff>
      <xdr:row>1</xdr:row>
      <xdr:rowOff>372571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180975" y="171450"/>
          <a:ext cx="1510998" cy="3725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57150</xdr:colOff>
      <xdr:row>0</xdr:row>
      <xdr:rowOff>38100</xdr:rowOff>
    </xdr:from>
    <xdr:to>
      <xdr:col>1</xdr:col>
      <xdr:colOff>1069087</xdr:colOff>
      <xdr:row>1</xdr:row>
      <xdr:rowOff>150975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57150" y="38100"/>
          <a:ext cx="1516762" cy="3795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492699</xdr:colOff>
      <xdr:row>4</xdr:row>
      <xdr:rowOff>140833</xdr:rowOff>
    </xdr:from>
    <xdr:to>
      <xdr:col>23</xdr:col>
      <xdr:colOff>408468</xdr:colOff>
      <xdr:row>22</xdr:row>
      <xdr:rowOff>43590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179456</xdr:colOff>
      <xdr:row>4</xdr:row>
      <xdr:rowOff>136071</xdr:rowOff>
    </xdr:from>
    <xdr:to>
      <xdr:col>36</xdr:col>
      <xdr:colOff>96588</xdr:colOff>
      <xdr:row>22</xdr:row>
      <xdr:rowOff>38828</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381000</xdr:colOff>
      <xdr:row>42</xdr:row>
      <xdr:rowOff>47864</xdr:rowOff>
    </xdr:from>
    <xdr:to>
      <xdr:col>11</xdr:col>
      <xdr:colOff>88659</xdr:colOff>
      <xdr:row>59</xdr:row>
      <xdr:rowOff>108866</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492699</xdr:colOff>
      <xdr:row>42</xdr:row>
      <xdr:rowOff>61471</xdr:rowOff>
    </xdr:from>
    <xdr:to>
      <xdr:col>23</xdr:col>
      <xdr:colOff>408468</xdr:colOff>
      <xdr:row>59</xdr:row>
      <xdr:rowOff>122473</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24</xdr:col>
      <xdr:colOff>217556</xdr:colOff>
      <xdr:row>42</xdr:row>
      <xdr:rowOff>70996</xdr:rowOff>
    </xdr:from>
    <xdr:to>
      <xdr:col>36</xdr:col>
      <xdr:colOff>135872</xdr:colOff>
      <xdr:row>59</xdr:row>
      <xdr:rowOff>131998</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390525</xdr:colOff>
      <xdr:row>60</xdr:row>
      <xdr:rowOff>101733</xdr:rowOff>
    </xdr:from>
    <xdr:to>
      <xdr:col>11</xdr:col>
      <xdr:colOff>98184</xdr:colOff>
      <xdr:row>78</xdr:row>
      <xdr:rowOff>808</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24</xdr:col>
      <xdr:colOff>188981</xdr:colOff>
      <xdr:row>23</xdr:row>
      <xdr:rowOff>112380</xdr:rowOff>
    </xdr:from>
    <xdr:to>
      <xdr:col>36</xdr:col>
      <xdr:colOff>106113</xdr:colOff>
      <xdr:row>41</xdr:row>
      <xdr:rowOff>11456</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11</xdr:col>
      <xdr:colOff>492699</xdr:colOff>
      <xdr:row>23</xdr:row>
      <xdr:rowOff>121905</xdr:rowOff>
    </xdr:from>
    <xdr:to>
      <xdr:col>23</xdr:col>
      <xdr:colOff>408468</xdr:colOff>
      <xdr:row>41</xdr:row>
      <xdr:rowOff>20981</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381000</xdr:colOff>
      <xdr:row>23</xdr:row>
      <xdr:rowOff>98773</xdr:rowOff>
    </xdr:from>
    <xdr:to>
      <xdr:col>11</xdr:col>
      <xdr:colOff>88659</xdr:colOff>
      <xdr:row>40</xdr:row>
      <xdr:rowOff>161134</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11</xdr:col>
      <xdr:colOff>492699</xdr:colOff>
      <xdr:row>60</xdr:row>
      <xdr:rowOff>124865</xdr:rowOff>
    </xdr:from>
    <xdr:to>
      <xdr:col>23</xdr:col>
      <xdr:colOff>408468</xdr:colOff>
      <xdr:row>78</xdr:row>
      <xdr:rowOff>23940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24</xdr:col>
      <xdr:colOff>217556</xdr:colOff>
      <xdr:row>60</xdr:row>
      <xdr:rowOff>124865</xdr:rowOff>
    </xdr:from>
    <xdr:to>
      <xdr:col>36</xdr:col>
      <xdr:colOff>135872</xdr:colOff>
      <xdr:row>78</xdr:row>
      <xdr:rowOff>23940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381000</xdr:colOff>
      <xdr:row>4</xdr:row>
      <xdr:rowOff>122464</xdr:rowOff>
    </xdr:from>
    <xdr:to>
      <xdr:col>11</xdr:col>
      <xdr:colOff>88659</xdr:colOff>
      <xdr:row>22</xdr:row>
      <xdr:rowOff>25221</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20</xdr:col>
      <xdr:colOff>347532</xdr:colOff>
      <xdr:row>1</xdr:row>
      <xdr:rowOff>12700</xdr:rowOff>
    </xdr:from>
    <xdr:to>
      <xdr:col>24</xdr:col>
      <xdr:colOff>38100</xdr:colOff>
      <xdr:row>21</xdr:row>
      <xdr:rowOff>126676</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739682" y="203200"/>
          <a:ext cx="4465768" cy="4120826"/>
        </a:xfrm>
        <a:prstGeom prst="rect">
          <a:avLst/>
        </a:prstGeom>
      </xdr:spPr>
    </xdr:pic>
    <xdr:clientData/>
  </xdr:twoCellAnchor>
  <xdr:twoCellAnchor editAs="oneCell">
    <xdr:from>
      <xdr:col>20</xdr:col>
      <xdr:colOff>247650</xdr:colOff>
      <xdr:row>23</xdr:row>
      <xdr:rowOff>106710</xdr:rowOff>
    </xdr:from>
    <xdr:to>
      <xdr:col>24</xdr:col>
      <xdr:colOff>1041305</xdr:colOff>
      <xdr:row>41</xdr:row>
      <xdr:rowOff>57150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3639800" y="4685060"/>
          <a:ext cx="5568855" cy="2617440"/>
        </a:xfrm>
        <a:prstGeom prst="rect">
          <a:avLst/>
        </a:prstGeom>
      </xdr:spPr>
    </xdr:pic>
    <xdr:clientData/>
  </xdr:twoCellAnchor>
  <xdr:twoCellAnchor editAs="oneCell">
    <xdr:from>
      <xdr:col>24</xdr:col>
      <xdr:colOff>381000</xdr:colOff>
      <xdr:row>0</xdr:row>
      <xdr:rowOff>141302</xdr:rowOff>
    </xdr:from>
    <xdr:to>
      <xdr:col>29</xdr:col>
      <xdr:colOff>635000</xdr:colOff>
      <xdr:row>22</xdr:row>
      <xdr:rowOff>96677</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8548350" y="141302"/>
          <a:ext cx="6223000" cy="43432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62194</xdr:colOff>
      <xdr:row>1</xdr:row>
      <xdr:rowOff>381001</xdr:rowOff>
    </xdr:from>
    <xdr:to>
      <xdr:col>7</xdr:col>
      <xdr:colOff>168088</xdr:colOff>
      <xdr:row>5</xdr:row>
      <xdr:rowOff>14567</xdr:rowOff>
    </xdr:to>
    <xdr:sp macro="" textlink="">
      <xdr:nvSpPr>
        <xdr:cNvPr id="27" name="TextBox 26">
          <a:extLst>
            <a:ext uri="{FF2B5EF4-FFF2-40B4-BE49-F238E27FC236}">
              <a16:creationId xmlns:a16="http://schemas.microsoft.com/office/drawing/2014/main" id="{00000000-0008-0000-0B00-00001B000000}"/>
            </a:ext>
          </a:extLst>
        </xdr:cNvPr>
        <xdr:cNvSpPr txBox="1"/>
      </xdr:nvSpPr>
      <xdr:spPr>
        <a:xfrm>
          <a:off x="5127253" y="571501"/>
          <a:ext cx="3691776" cy="59727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t>NB: </a:t>
          </a:r>
          <a:r>
            <a:rPr lang="en-ZA" sz="1100"/>
            <a:t>The user can edit the values</a:t>
          </a:r>
          <a:r>
            <a:rPr lang="en-ZA" sz="1100" baseline="0"/>
            <a:t> in this sheet and these values will be highlighted in orange.</a:t>
          </a:r>
          <a:endParaRPr lang="en-ZA" sz="1100"/>
        </a:p>
      </xdr:txBody>
    </xdr:sp>
    <xdr:clientData/>
  </xdr:twoCellAnchor>
  <xdr:twoCellAnchor editAs="oneCell">
    <xdr:from>
      <xdr:col>0</xdr:col>
      <xdr:colOff>398930</xdr:colOff>
      <xdr:row>0</xdr:row>
      <xdr:rowOff>89087</xdr:rowOff>
    </xdr:from>
    <xdr:to>
      <xdr:col>0</xdr:col>
      <xdr:colOff>1924265</xdr:colOff>
      <xdr:row>1</xdr:row>
      <xdr:rowOff>286735</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398930" y="89087"/>
          <a:ext cx="1512000" cy="37481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565150</xdr:colOff>
          <xdr:row>0</xdr:row>
          <xdr:rowOff>38100</xdr:rowOff>
        </xdr:from>
        <xdr:to>
          <xdr:col>7</xdr:col>
          <xdr:colOff>215900</xdr:colOff>
          <xdr:row>1</xdr:row>
          <xdr:rowOff>241300</xdr:rowOff>
        </xdr:to>
        <xdr:sp macro="" textlink="">
          <xdr:nvSpPr>
            <xdr:cNvPr id="7170" name="Button_1"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0" i="0" u="none" strike="noStrike" baseline="0">
                  <a:solidFill>
                    <a:srgbClr val="000000"/>
                  </a:solidFill>
                  <a:latin typeface="Arial"/>
                  <a:cs typeface="Arial"/>
                </a:rPr>
                <a:t> Copy/Paste to Static Sheet</a:t>
              </a:r>
            </a:p>
          </xdr:txBody>
        </xdr:sp>
        <xdr:clientData fPrintsWithSheet="0"/>
      </xdr:twoCellAnchor>
    </mc:Choice>
    <mc:Fallback/>
  </mc:AlternateContent>
  <xdr:twoCellAnchor editAs="oneCell">
    <xdr:from>
      <xdr:col>0</xdr:col>
      <xdr:colOff>398930</xdr:colOff>
      <xdr:row>0</xdr:row>
      <xdr:rowOff>89087</xdr:rowOff>
    </xdr:from>
    <xdr:to>
      <xdr:col>0</xdr:col>
      <xdr:colOff>1910930</xdr:colOff>
      <xdr:row>1</xdr:row>
      <xdr:rowOff>273400</xdr:rowOff>
    </xdr:to>
    <xdr:pic>
      <xdr:nvPicPr>
        <xdr:cNvPr id="16" name="Picture 15">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398930" y="89087"/>
          <a:ext cx="1512000" cy="37481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101600</xdr:colOff>
          <xdr:row>0</xdr:row>
          <xdr:rowOff>38100</xdr:rowOff>
        </xdr:from>
        <xdr:to>
          <xdr:col>2</xdr:col>
          <xdr:colOff>38100</xdr:colOff>
          <xdr:row>1</xdr:row>
          <xdr:rowOff>241300</xdr:rowOff>
        </xdr:to>
        <xdr:sp macro="" textlink="">
          <xdr:nvSpPr>
            <xdr:cNvPr id="7186" name="Button_1" hidden="1">
              <a:extLst>
                <a:ext uri="{63B3BB69-23CF-44E3-9099-C40C66FF867C}">
                  <a14:compatExt spid="_x0000_s7186"/>
                </a:ext>
                <a:ext uri="{FF2B5EF4-FFF2-40B4-BE49-F238E27FC236}">
                  <a16:creationId xmlns:a16="http://schemas.microsoft.com/office/drawing/2014/main" id="{00000000-0008-0000-0C00-00001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0" i="0" u="none" strike="noStrike" baseline="0">
                  <a:solidFill>
                    <a:srgbClr val="000000"/>
                  </a:solidFill>
                  <a:latin typeface="Arial"/>
                  <a:cs typeface="Arial"/>
                </a:rPr>
                <a:t>Clear Old AFS Data</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Khumbelo Nevhorwa" id="{BA8A97AF-ACB3-453E-800C-18C6B50A4A03}" userId="S::knevhorwa@sentio-capital.com::555022b3-651b-474b-95ca-a4c9b416caa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77E732-3897-4894-B2A4-C72DC0E1CE74}" name="Table1" displayName="Table1" ref="A1:B1027" totalsRowShown="0" headerRowDxfId="3" dataDxfId="2">
  <autoFilter ref="A1:B1027" xr:uid="{A24F29C7-719F-4CC2-9DA1-09F1FE743BF8}"/>
  <tableColumns count="2">
    <tableColumn id="1" xr3:uid="{868CE657-6AAE-47E1-8A95-5CBCE8895B8F}" name="Name" dataDxfId="1"/>
    <tableColumn id="2" xr3:uid="{8D7E6A19-64D2-4E8C-9256-30205AF4804E}" name="Valu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8" dT="2021-02-10T08:11:08.72" personId="{BA8A97AF-ACB3-453E-800C-18C6B50A4A03}" id="{72B140DB-A27E-488F-BE06-6347FFFADB7B}">
    <text>% change in gross magin/% change Total Assets</text>
  </threadedComment>
  <threadedComment ref="B28" dT="2021-02-12T10:29:19.34" personId="{BA8A97AF-ACB3-453E-800C-18C6B50A4A03}" id="{8FD2C3AF-5157-4F47-BBE4-7ADCDCC7A85E}">
    <text>Return on Net Operating Assets = Net Income/ (Fixed Assets + Working Capital Assets)</text>
  </threadedComment>
  <threadedComment ref="B30" dT="2021-02-10T07:13:33.92" personId="{BA8A97AF-ACB3-453E-800C-18C6B50A4A03}" id="{AF90B8B9-5D17-440E-A044-31341B1FDC42}">
    <text>Return on Capital Employed= EBIT/(Total Assets - Total Current Liabilities)</text>
  </threadedComment>
  <threadedComment ref="B31" dT="2021-02-10T07:04:03.47" personId="{BA8A97AF-ACB3-453E-800C-18C6B50A4A03}" id="{0B1C505D-B18C-4B9C-B59B-9D04CDD3FCE9}">
    <text>Return on Increamental Invested Capital =
% Net Income/ (% in Total Assets -%Cash)</text>
  </threadedComment>
  <threadedComment ref="B37" dT="2021-04-13T09:33:56.68" personId="{BA8A97AF-ACB3-453E-800C-18C6B50A4A03}" id="{FD8B8757-E820-4939-AE52-DC8D86279567}">
    <text>Net Debt = Gross Debt + Operating Lease - Cash and cash equivalents.</text>
  </threadedComment>
  <threadedComment ref="B44" dT="2021-02-10T08:15:40.20" personId="{BA8A97AF-ACB3-453E-800C-18C6B50A4A03}" id="{624E4968-B668-4198-A482-DE43886E0C1F}">
    <text>Accrual Analysis = (Net Income - Cash Flow from Operations)/Total Assets</text>
  </threadedComment>
  <threadedComment ref="B50" dT="2021-02-10T08:23:55.45" personId="{BA8A97AF-ACB3-453E-800C-18C6B50A4A03}" id="{D0CD559A-2EAD-4B30-876D-78B2F80C050C}">
    <text>Accrual Ratio = (C/B of Net operating Assets - O/B of Net operating Assets)/Average Net Operating Assets</text>
  </threadedComment>
  <threadedComment ref="B59" dT="2021-02-10T08:27:39.43" personId="{BA8A97AF-ACB3-453E-800C-18C6B50A4A03}" id="{96046FF6-8C83-4BAC-A3E4-E6CD02850DFB}">
    <text>Cash flow from operation/CAPEX</text>
  </threadedComment>
  <threadedComment ref="B70" dT="2021-04-16T07:20:32.53" personId="{BA8A97AF-ACB3-453E-800C-18C6B50A4A03}" id="{94F1C4A6-9A2B-46D7-89AC-6CF812317E17}">
    <text>If PEG ratio is &lt;= 1.0 - suggests a stock is fairly priced or even undervalued.
If PEG ratio is &gt;1.0 -  suggests a stock is overvalued.</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AFCB034-6FEB-4808-A809-C359EB19E274}">
  <we:reference id="05c2e1c9-3e1d-406e-9a91-e9ac64854143" version="1.5.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8.xml"/><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021EA-5ADF-4687-9248-C8C6B6B01311}">
  <sheetPr codeName="Sheet20"/>
  <dimension ref="B2:X246"/>
  <sheetViews>
    <sheetView zoomScale="115" zoomScaleNormal="115" workbookViewId="0">
      <pane ySplit="7" topLeftCell="A9" activePane="bottomLeft" state="frozen"/>
      <selection pane="bottomLeft" activeCell="N71" sqref="N71"/>
    </sheetView>
  </sheetViews>
  <sheetFormatPr defaultColWidth="9.33203125" defaultRowHeight="15" customHeight="1" x14ac:dyDescent="0.25"/>
  <cols>
    <col min="1" max="1" width="3.33203125" style="1" customWidth="1"/>
    <col min="2" max="16384" width="9.33203125" style="1"/>
  </cols>
  <sheetData>
    <row r="2" spans="2:24" ht="15" customHeight="1" x14ac:dyDescent="0.3">
      <c r="B2" s="6" t="s">
        <v>796</v>
      </c>
      <c r="C2" s="7"/>
      <c r="D2" s="7"/>
      <c r="E2" s="7"/>
      <c r="F2" s="7"/>
      <c r="G2" s="7"/>
      <c r="H2" s="7"/>
      <c r="I2" s="7"/>
      <c r="J2" s="7"/>
      <c r="K2" s="7"/>
      <c r="L2" s="7"/>
      <c r="M2" s="7"/>
      <c r="N2" s="7"/>
      <c r="O2" s="7"/>
      <c r="P2" s="7"/>
      <c r="Q2" s="7"/>
      <c r="R2" s="7"/>
      <c r="S2" s="7"/>
      <c r="T2" s="7"/>
      <c r="U2" s="7"/>
      <c r="V2" s="7"/>
      <c r="W2" s="7"/>
      <c r="X2" s="7"/>
    </row>
    <row r="3" spans="2:24" ht="15" customHeight="1" x14ac:dyDescent="0.25">
      <c r="B3" s="15" t="s">
        <v>798</v>
      </c>
      <c r="C3" s="7"/>
      <c r="D3" s="7"/>
      <c r="E3" s="7"/>
      <c r="F3" s="7"/>
      <c r="G3" s="7"/>
      <c r="H3" s="7"/>
      <c r="I3" s="7"/>
      <c r="J3" s="7"/>
      <c r="K3" s="7"/>
      <c r="L3" s="7"/>
      <c r="M3" s="7"/>
      <c r="N3" s="7"/>
      <c r="O3" s="7"/>
      <c r="P3" s="7"/>
      <c r="Q3" s="7"/>
      <c r="R3" s="7"/>
      <c r="S3" s="7"/>
      <c r="T3" s="7"/>
      <c r="U3" s="7"/>
      <c r="V3" s="7"/>
      <c r="W3" s="7"/>
      <c r="X3" s="7"/>
    </row>
    <row r="4" spans="2:24" ht="15" customHeight="1" x14ac:dyDescent="0.25">
      <c r="B4" s="15" t="s">
        <v>799</v>
      </c>
      <c r="C4" s="7"/>
      <c r="D4" s="7"/>
      <c r="E4" s="7"/>
      <c r="F4" s="7"/>
      <c r="G4" s="7"/>
      <c r="H4" s="7"/>
      <c r="I4" s="7"/>
      <c r="J4" s="7"/>
      <c r="K4" s="7"/>
      <c r="L4" s="7"/>
      <c r="M4" s="7"/>
      <c r="N4" s="7"/>
      <c r="O4" s="7"/>
      <c r="P4" s="7"/>
      <c r="Q4" s="7"/>
      <c r="R4" s="7"/>
      <c r="S4" s="7"/>
      <c r="T4" s="7"/>
      <c r="U4" s="7"/>
      <c r="V4" s="7"/>
      <c r="W4" s="7"/>
      <c r="X4" s="7"/>
    </row>
    <row r="5" spans="2:24" ht="15" customHeight="1" x14ac:dyDescent="0.25">
      <c r="B5" s="15" t="s">
        <v>794</v>
      </c>
      <c r="C5" s="7"/>
      <c r="D5" s="7"/>
      <c r="E5" s="7"/>
      <c r="F5" s="7"/>
      <c r="G5" s="7"/>
      <c r="H5" s="7"/>
      <c r="I5" s="7"/>
      <c r="J5" s="7"/>
      <c r="K5" s="7"/>
      <c r="L5" s="7"/>
      <c r="M5" s="7"/>
      <c r="N5" s="7"/>
      <c r="O5" s="7"/>
      <c r="P5" s="7"/>
      <c r="Q5" s="7"/>
      <c r="R5" s="7"/>
      <c r="S5" s="7"/>
      <c r="T5" s="7"/>
      <c r="U5" s="7"/>
      <c r="V5" s="7"/>
      <c r="W5" s="7"/>
      <c r="X5" s="7"/>
    </row>
    <row r="6" spans="2:24" ht="15" customHeight="1" x14ac:dyDescent="0.25">
      <c r="B6" s="15" t="s">
        <v>800</v>
      </c>
      <c r="C6" s="7"/>
      <c r="D6" s="7"/>
      <c r="E6" s="7"/>
      <c r="F6" s="7"/>
      <c r="G6" s="7"/>
      <c r="H6" s="7"/>
      <c r="I6" s="7"/>
      <c r="J6" s="7"/>
      <c r="K6" s="7"/>
      <c r="L6" s="7"/>
      <c r="M6" s="7"/>
      <c r="N6" s="7"/>
      <c r="O6" s="7"/>
      <c r="P6" s="7"/>
      <c r="Q6" s="7"/>
      <c r="R6" s="7"/>
      <c r="S6" s="7"/>
      <c r="T6" s="7"/>
      <c r="U6" s="7"/>
      <c r="V6" s="7"/>
      <c r="W6" s="7"/>
      <c r="X6" s="7"/>
    </row>
    <row r="7" spans="2:24" ht="15" customHeight="1" x14ac:dyDescent="0.3">
      <c r="B7" s="6"/>
      <c r="C7" s="7"/>
      <c r="D7" s="7"/>
      <c r="E7" s="7"/>
      <c r="F7" s="7"/>
      <c r="G7" s="7"/>
      <c r="H7" s="7"/>
      <c r="I7" s="7"/>
      <c r="J7" s="7"/>
      <c r="K7" s="7"/>
      <c r="L7" s="7"/>
      <c r="M7" s="7"/>
      <c r="N7" s="7"/>
      <c r="O7" s="7"/>
      <c r="P7" s="7"/>
      <c r="Q7" s="7"/>
      <c r="R7" s="7"/>
      <c r="S7" s="7"/>
      <c r="T7" s="7"/>
      <c r="U7" s="7"/>
      <c r="V7" s="7"/>
      <c r="W7" s="7"/>
      <c r="X7" s="7"/>
    </row>
    <row r="8" spans="2:24" ht="15" customHeight="1" x14ac:dyDescent="0.3">
      <c r="B8" s="6"/>
      <c r="C8" s="7"/>
      <c r="D8" s="7"/>
      <c r="E8" s="7"/>
      <c r="F8" s="7"/>
      <c r="G8" s="7"/>
      <c r="H8" s="7"/>
      <c r="I8" s="7"/>
      <c r="J8" s="7"/>
      <c r="K8" s="7"/>
      <c r="L8" s="7"/>
      <c r="M8" s="7"/>
      <c r="N8" s="7"/>
      <c r="O8" s="7"/>
      <c r="P8" s="7"/>
      <c r="Q8" s="7"/>
      <c r="R8" s="7"/>
      <c r="S8" s="7"/>
      <c r="T8" s="7"/>
      <c r="U8" s="7"/>
      <c r="V8" s="7"/>
      <c r="W8" s="7"/>
      <c r="X8" s="7"/>
    </row>
    <row r="10" spans="2:24" ht="15" customHeight="1" x14ac:dyDescent="0.3">
      <c r="B10" s="6" t="s">
        <v>784</v>
      </c>
      <c r="C10" s="7"/>
      <c r="D10" s="7"/>
      <c r="E10" s="7"/>
      <c r="F10" s="7"/>
      <c r="G10" s="7"/>
      <c r="H10" s="7"/>
      <c r="I10" s="7"/>
      <c r="J10" s="7"/>
      <c r="K10" s="7"/>
      <c r="L10" s="7"/>
      <c r="M10" s="7"/>
      <c r="N10" s="7"/>
      <c r="O10" s="7"/>
      <c r="P10" s="7"/>
      <c r="Q10" s="7"/>
      <c r="R10" s="7"/>
      <c r="S10" s="7"/>
      <c r="T10" s="7"/>
      <c r="U10" s="7"/>
      <c r="V10" s="7"/>
      <c r="W10" s="7"/>
      <c r="X10" s="7"/>
    </row>
    <row r="11" spans="2:24" ht="15" customHeight="1" x14ac:dyDescent="0.25">
      <c r="B11" s="8" t="s">
        <v>765</v>
      </c>
      <c r="C11" s="7"/>
      <c r="D11" s="7"/>
      <c r="E11" s="7"/>
      <c r="F11" s="7"/>
      <c r="G11" s="7"/>
      <c r="H11" s="7"/>
      <c r="I11" s="7"/>
      <c r="J11" s="7"/>
      <c r="K11" s="7"/>
      <c r="L11" s="7"/>
      <c r="M11" s="7"/>
      <c r="N11" s="7"/>
      <c r="O11" s="7"/>
      <c r="P11" s="7"/>
      <c r="Q11" s="7"/>
      <c r="R11" s="7"/>
      <c r="S11" s="7"/>
      <c r="T11" s="7"/>
      <c r="U11" s="7"/>
      <c r="V11" s="7"/>
      <c r="W11" s="7"/>
      <c r="X11" s="7"/>
    </row>
    <row r="12" spans="2:24" ht="15" customHeight="1" x14ac:dyDescent="0.25">
      <c r="B12" s="8" t="s">
        <v>766</v>
      </c>
      <c r="C12" s="7"/>
      <c r="D12" s="7"/>
      <c r="E12" s="7"/>
      <c r="F12" s="7"/>
      <c r="G12" s="7"/>
      <c r="H12" s="7"/>
      <c r="I12" s="7"/>
      <c r="J12" s="7"/>
      <c r="K12" s="7"/>
      <c r="L12" s="7"/>
      <c r="M12" s="7"/>
      <c r="N12" s="7"/>
      <c r="O12" s="7"/>
      <c r="P12" s="7"/>
      <c r="Q12" s="7"/>
      <c r="R12" s="7"/>
      <c r="S12" s="7"/>
      <c r="T12" s="7"/>
      <c r="U12" s="7"/>
      <c r="V12" s="7"/>
      <c r="W12" s="7"/>
      <c r="X12" s="7"/>
    </row>
    <row r="13" spans="2:24" ht="15" customHeight="1" x14ac:dyDescent="0.25">
      <c r="B13" s="8" t="s">
        <v>767</v>
      </c>
      <c r="C13" s="7"/>
      <c r="D13" s="7"/>
      <c r="E13" s="7"/>
      <c r="F13" s="7"/>
      <c r="G13" s="7"/>
      <c r="H13" s="7"/>
      <c r="I13" s="7"/>
      <c r="J13" s="7"/>
      <c r="K13" s="7"/>
      <c r="L13" s="7"/>
      <c r="M13" s="7"/>
      <c r="N13" s="7"/>
      <c r="O13" s="7"/>
      <c r="P13" s="7"/>
      <c r="Q13" s="7"/>
      <c r="R13" s="7"/>
      <c r="S13" s="7"/>
      <c r="T13" s="7"/>
      <c r="U13" s="7"/>
      <c r="V13" s="7"/>
      <c r="W13" s="7"/>
      <c r="X13" s="7"/>
    </row>
    <row r="14" spans="2:24" ht="15" customHeight="1" x14ac:dyDescent="0.25">
      <c r="B14" s="8" t="s">
        <v>768</v>
      </c>
      <c r="C14" s="7"/>
      <c r="D14" s="7"/>
      <c r="E14" s="7"/>
      <c r="F14" s="7"/>
      <c r="G14" s="7"/>
      <c r="H14" s="7"/>
      <c r="I14" s="7"/>
      <c r="J14" s="7"/>
      <c r="K14" s="7"/>
      <c r="L14" s="7"/>
      <c r="M14" s="7"/>
      <c r="N14" s="7"/>
      <c r="O14" s="7"/>
      <c r="P14" s="7"/>
      <c r="Q14" s="7"/>
      <c r="R14" s="7"/>
      <c r="S14" s="7"/>
      <c r="T14" s="7"/>
      <c r="U14" s="7"/>
      <c r="V14" s="7"/>
      <c r="W14" s="7"/>
      <c r="X14" s="7"/>
    </row>
    <row r="15" spans="2:24" ht="15" customHeight="1" x14ac:dyDescent="0.25">
      <c r="B15" s="8" t="s">
        <v>769</v>
      </c>
      <c r="C15" s="7"/>
      <c r="D15" s="7"/>
      <c r="E15" s="7"/>
      <c r="F15" s="7"/>
      <c r="G15" s="7"/>
      <c r="H15" s="7"/>
      <c r="I15" s="7"/>
      <c r="J15" s="7"/>
      <c r="K15" s="7"/>
      <c r="L15" s="7"/>
      <c r="M15" s="7"/>
      <c r="N15" s="7"/>
      <c r="O15" s="7"/>
      <c r="P15" s="7"/>
      <c r="Q15" s="7"/>
      <c r="R15" s="7"/>
      <c r="S15" s="7"/>
      <c r="T15" s="7"/>
      <c r="U15" s="7"/>
      <c r="V15" s="7"/>
      <c r="W15" s="7"/>
      <c r="X15" s="7"/>
    </row>
    <row r="16" spans="2:24" ht="15" customHeight="1" x14ac:dyDescent="0.25">
      <c r="B16" s="8" t="s">
        <v>815</v>
      </c>
      <c r="C16" s="7"/>
      <c r="D16" s="7"/>
      <c r="E16" s="7"/>
      <c r="F16" s="7"/>
      <c r="G16" s="7"/>
      <c r="H16" s="7"/>
      <c r="I16" s="7"/>
      <c r="J16" s="7"/>
      <c r="K16" s="7"/>
      <c r="L16" s="7"/>
      <c r="M16" s="7"/>
      <c r="N16" s="7"/>
      <c r="O16" s="7"/>
      <c r="P16" s="7"/>
      <c r="Q16" s="7"/>
      <c r="R16" s="7"/>
      <c r="S16" s="7"/>
      <c r="T16" s="7"/>
      <c r="U16" s="7"/>
      <c r="V16" s="7"/>
      <c r="W16" s="7"/>
      <c r="X16" s="7"/>
    </row>
    <row r="17" spans="2:24" ht="15" customHeight="1" x14ac:dyDescent="0.25">
      <c r="B17" s="8" t="s">
        <v>814</v>
      </c>
      <c r="C17" s="7"/>
      <c r="D17" s="7"/>
      <c r="E17" s="7"/>
      <c r="F17" s="7"/>
      <c r="G17" s="7"/>
      <c r="H17" s="7"/>
      <c r="I17" s="7"/>
      <c r="J17" s="7"/>
      <c r="K17" s="7"/>
      <c r="L17" s="7"/>
      <c r="M17" s="7"/>
      <c r="N17" s="7"/>
      <c r="O17" s="7"/>
      <c r="P17" s="7"/>
      <c r="Q17" s="7"/>
      <c r="R17" s="7"/>
      <c r="S17" s="7"/>
      <c r="T17" s="7"/>
      <c r="U17" s="7"/>
      <c r="V17" s="7"/>
      <c r="W17" s="7"/>
      <c r="X17" s="7"/>
    </row>
    <row r="18" spans="2:24" ht="15" customHeight="1" x14ac:dyDescent="0.25">
      <c r="B18" s="7"/>
      <c r="C18" s="7"/>
      <c r="D18" s="7"/>
      <c r="E18" s="7"/>
      <c r="F18" s="7"/>
      <c r="G18" s="7"/>
      <c r="H18" s="7"/>
      <c r="I18" s="7"/>
      <c r="J18" s="7"/>
      <c r="K18" s="7"/>
      <c r="L18" s="7"/>
      <c r="M18" s="7"/>
      <c r="N18" s="7"/>
      <c r="O18" s="7"/>
      <c r="P18" s="7"/>
      <c r="Q18" s="7"/>
      <c r="R18" s="7"/>
      <c r="S18" s="7"/>
      <c r="T18" s="7"/>
      <c r="U18" s="7"/>
      <c r="V18" s="7"/>
      <c r="W18" s="7"/>
      <c r="X18" s="7"/>
    </row>
    <row r="19" spans="2:24" ht="15" customHeight="1" x14ac:dyDescent="0.25">
      <c r="B19" s="7" t="s">
        <v>770</v>
      </c>
      <c r="C19" s="7"/>
      <c r="D19" s="7"/>
      <c r="E19" s="7"/>
      <c r="F19" s="7"/>
      <c r="G19" s="7"/>
      <c r="H19" s="7"/>
      <c r="I19" s="7"/>
      <c r="J19" s="7"/>
      <c r="K19" s="7"/>
      <c r="L19" s="7"/>
      <c r="M19" s="7"/>
      <c r="N19" s="7"/>
      <c r="O19" s="7"/>
      <c r="P19" s="7"/>
      <c r="Q19" s="7"/>
      <c r="R19" s="7"/>
      <c r="S19" s="7"/>
      <c r="T19" s="7"/>
      <c r="U19" s="7"/>
      <c r="V19" s="7"/>
      <c r="W19" s="7"/>
      <c r="X19" s="7"/>
    </row>
    <row r="20" spans="2:24" ht="15" customHeight="1" x14ac:dyDescent="0.25">
      <c r="B20" s="7"/>
      <c r="C20" s="7"/>
      <c r="D20" s="7"/>
      <c r="E20" s="7"/>
      <c r="F20" s="7"/>
      <c r="G20" s="7"/>
      <c r="H20" s="7"/>
      <c r="I20" s="7"/>
      <c r="J20" s="7"/>
      <c r="K20" s="7"/>
      <c r="L20" s="7"/>
      <c r="M20" s="7"/>
      <c r="N20" s="7"/>
      <c r="O20" s="7"/>
      <c r="P20" s="7"/>
      <c r="Q20" s="7"/>
      <c r="R20" s="7"/>
      <c r="S20" s="7"/>
      <c r="T20" s="7"/>
      <c r="U20" s="7"/>
      <c r="V20" s="7"/>
      <c r="W20" s="7"/>
      <c r="X20" s="7"/>
    </row>
    <row r="21" spans="2:24" ht="15" customHeight="1" x14ac:dyDescent="0.25">
      <c r="B21" s="7"/>
      <c r="C21" s="7"/>
      <c r="D21" s="7"/>
      <c r="E21" s="7"/>
      <c r="F21" s="7"/>
      <c r="G21" s="7"/>
      <c r="H21" s="7"/>
      <c r="I21" s="7"/>
      <c r="J21" s="7"/>
      <c r="K21" s="7"/>
      <c r="L21" s="7"/>
      <c r="M21" s="7"/>
      <c r="N21" s="7"/>
      <c r="O21" s="7"/>
      <c r="P21" s="7"/>
      <c r="Q21" s="7"/>
      <c r="R21" s="7"/>
      <c r="S21" s="7"/>
      <c r="T21" s="7"/>
      <c r="U21" s="7"/>
      <c r="V21" s="7"/>
      <c r="W21" s="7"/>
      <c r="X21" s="7"/>
    </row>
    <row r="22" spans="2:24" ht="15" customHeight="1" x14ac:dyDescent="0.25">
      <c r="B22" s="7"/>
      <c r="C22" s="7"/>
      <c r="D22" s="7"/>
      <c r="E22" s="7"/>
      <c r="F22" s="7"/>
      <c r="G22" s="7"/>
      <c r="H22" s="7"/>
      <c r="I22" s="7"/>
      <c r="J22" s="7"/>
      <c r="K22" s="7"/>
      <c r="L22" s="7"/>
      <c r="M22" s="7"/>
      <c r="N22" s="7"/>
      <c r="O22" s="7"/>
      <c r="P22" s="7"/>
      <c r="Q22" s="7"/>
      <c r="R22" s="7"/>
      <c r="S22" s="7"/>
      <c r="T22" s="7"/>
      <c r="U22" s="7"/>
      <c r="V22" s="7"/>
      <c r="W22" s="7"/>
      <c r="X22" s="7"/>
    </row>
    <row r="23" spans="2:24" ht="15" customHeight="1" x14ac:dyDescent="0.25">
      <c r="B23" s="7"/>
      <c r="C23" s="7"/>
      <c r="D23" s="7"/>
      <c r="E23" s="7"/>
      <c r="F23" s="7"/>
      <c r="G23" s="7"/>
      <c r="H23" s="7"/>
      <c r="I23" s="7"/>
      <c r="J23" s="7"/>
      <c r="K23" s="7"/>
      <c r="L23" s="7"/>
      <c r="M23" s="7"/>
      <c r="N23" s="7"/>
      <c r="O23" s="7"/>
      <c r="P23" s="7"/>
      <c r="Q23" s="7"/>
      <c r="R23" s="7"/>
      <c r="S23" s="7"/>
      <c r="T23" s="7"/>
      <c r="U23" s="7"/>
      <c r="V23" s="7"/>
      <c r="W23" s="7"/>
      <c r="X23" s="7"/>
    </row>
    <row r="24" spans="2:24" ht="15" customHeight="1" x14ac:dyDescent="0.25">
      <c r="B24" s="7"/>
      <c r="C24" s="7"/>
      <c r="D24" s="7"/>
      <c r="E24" s="7"/>
      <c r="F24" s="7"/>
      <c r="G24" s="7"/>
      <c r="H24" s="7"/>
      <c r="I24" s="7"/>
      <c r="J24" s="7"/>
      <c r="K24" s="7"/>
      <c r="L24" s="7"/>
      <c r="M24" s="7"/>
      <c r="N24" s="7"/>
      <c r="O24" s="7"/>
      <c r="P24" s="7"/>
      <c r="Q24" s="7"/>
      <c r="R24" s="7"/>
      <c r="S24" s="7"/>
      <c r="T24" s="7"/>
      <c r="U24" s="7"/>
      <c r="V24" s="7"/>
      <c r="W24" s="7"/>
      <c r="X24" s="7"/>
    </row>
    <row r="25" spans="2:24" ht="15" customHeight="1" x14ac:dyDescent="0.25">
      <c r="B25" s="7"/>
      <c r="C25" s="7"/>
      <c r="D25" s="7"/>
      <c r="E25" s="7"/>
      <c r="F25" s="7"/>
      <c r="G25" s="7"/>
      <c r="H25" s="7"/>
      <c r="I25" s="7"/>
      <c r="J25" s="7"/>
      <c r="K25" s="7"/>
      <c r="L25" s="7"/>
      <c r="M25" s="7"/>
      <c r="N25" s="7"/>
      <c r="O25" s="7"/>
      <c r="P25" s="7"/>
      <c r="Q25" s="7"/>
      <c r="R25" s="7"/>
      <c r="S25" s="7"/>
      <c r="T25" s="7"/>
      <c r="U25" s="7"/>
      <c r="V25" s="7"/>
      <c r="W25" s="7"/>
      <c r="X25" s="7"/>
    </row>
    <row r="26" spans="2:24" ht="15" customHeight="1" x14ac:dyDescent="0.25">
      <c r="B26" s="7"/>
      <c r="C26" s="7"/>
      <c r="D26" s="7"/>
      <c r="E26" s="7"/>
      <c r="F26" s="7"/>
      <c r="G26" s="7"/>
      <c r="H26" s="7"/>
      <c r="I26" s="7"/>
      <c r="J26" s="7"/>
      <c r="K26" s="7"/>
      <c r="L26" s="7"/>
      <c r="M26" s="7"/>
      <c r="N26" s="7"/>
      <c r="O26" s="7"/>
      <c r="P26" s="7"/>
      <c r="Q26" s="7"/>
      <c r="R26" s="7"/>
      <c r="S26" s="7"/>
      <c r="T26" s="7"/>
      <c r="U26" s="7"/>
      <c r="V26" s="7"/>
      <c r="W26" s="7"/>
      <c r="X26" s="7"/>
    </row>
    <row r="27" spans="2:24" ht="15" customHeight="1" x14ac:dyDescent="0.25">
      <c r="B27" s="7"/>
      <c r="C27" s="7"/>
      <c r="D27" s="7"/>
      <c r="E27" s="7"/>
      <c r="F27" s="7"/>
      <c r="G27" s="7"/>
      <c r="H27" s="7"/>
      <c r="I27" s="7"/>
      <c r="J27" s="7"/>
      <c r="K27" s="7"/>
      <c r="L27" s="7"/>
      <c r="M27" s="7"/>
      <c r="N27" s="7"/>
      <c r="O27" s="7"/>
      <c r="P27" s="7"/>
      <c r="Q27" s="7"/>
      <c r="R27" s="7"/>
      <c r="S27" s="7"/>
      <c r="T27" s="7"/>
      <c r="U27" s="7"/>
      <c r="V27" s="7"/>
      <c r="W27" s="7"/>
      <c r="X27" s="7"/>
    </row>
    <row r="28" spans="2:24" ht="15" customHeight="1" x14ac:dyDescent="0.25">
      <c r="B28" s="7"/>
      <c r="C28" s="7"/>
      <c r="D28" s="7"/>
      <c r="E28" s="7"/>
      <c r="F28" s="7"/>
      <c r="G28" s="7"/>
      <c r="H28" s="7"/>
      <c r="I28" s="7"/>
      <c r="J28" s="7"/>
      <c r="K28" s="7"/>
      <c r="L28" s="7"/>
      <c r="M28" s="7"/>
      <c r="N28" s="7"/>
      <c r="O28" s="7"/>
      <c r="P28" s="7"/>
      <c r="Q28" s="7"/>
      <c r="R28" s="7"/>
      <c r="S28" s="7"/>
      <c r="T28" s="7"/>
      <c r="U28" s="7"/>
      <c r="V28" s="7"/>
      <c r="W28" s="7"/>
      <c r="X28" s="7"/>
    </row>
    <row r="29" spans="2:24" ht="15" customHeight="1" x14ac:dyDescent="0.25">
      <c r="B29" s="7"/>
      <c r="C29" s="7"/>
      <c r="D29" s="7"/>
      <c r="E29" s="7"/>
      <c r="F29" s="7"/>
      <c r="G29" s="7"/>
      <c r="H29" s="7"/>
      <c r="I29" s="7"/>
      <c r="J29" s="7"/>
      <c r="K29" s="7"/>
      <c r="L29" s="7"/>
      <c r="M29" s="7"/>
      <c r="N29" s="7"/>
      <c r="O29" s="7"/>
      <c r="P29" s="7"/>
      <c r="Q29" s="7"/>
      <c r="R29" s="7"/>
      <c r="S29" s="7"/>
      <c r="T29" s="7"/>
      <c r="U29" s="7"/>
      <c r="V29" s="7"/>
      <c r="W29" s="7"/>
      <c r="X29" s="7"/>
    </row>
    <row r="30" spans="2:24" ht="15" customHeight="1" x14ac:dyDescent="0.25">
      <c r="B30" s="7"/>
      <c r="C30" s="7"/>
      <c r="D30" s="7"/>
      <c r="E30" s="7"/>
      <c r="F30" s="7"/>
      <c r="G30" s="7"/>
      <c r="H30" s="7"/>
      <c r="I30" s="7"/>
      <c r="J30" s="7"/>
      <c r="K30" s="7"/>
      <c r="L30" s="7"/>
      <c r="M30" s="7"/>
      <c r="N30" s="7"/>
      <c r="O30" s="7"/>
      <c r="P30" s="7"/>
      <c r="Q30" s="7"/>
      <c r="R30" s="7"/>
      <c r="S30" s="7"/>
      <c r="T30" s="7"/>
      <c r="U30" s="7"/>
      <c r="V30" s="7"/>
      <c r="W30" s="7"/>
      <c r="X30" s="7"/>
    </row>
    <row r="31" spans="2:24" ht="15" customHeight="1" x14ac:dyDescent="0.25">
      <c r="B31" s="7"/>
      <c r="C31" s="7"/>
      <c r="D31" s="7"/>
      <c r="E31" s="7"/>
      <c r="F31" s="7"/>
      <c r="G31" s="7"/>
      <c r="H31" s="7"/>
      <c r="I31" s="7"/>
      <c r="J31" s="7"/>
      <c r="K31" s="7"/>
      <c r="L31" s="7"/>
      <c r="M31" s="7"/>
      <c r="N31" s="7"/>
      <c r="O31" s="7"/>
      <c r="P31" s="7"/>
      <c r="Q31" s="7"/>
      <c r="R31" s="7"/>
      <c r="S31" s="7"/>
      <c r="T31" s="7"/>
      <c r="U31" s="7"/>
      <c r="V31" s="7"/>
      <c r="W31" s="7"/>
      <c r="X31" s="7"/>
    </row>
    <row r="32" spans="2:24" ht="15" customHeight="1" x14ac:dyDescent="0.25">
      <c r="B32" s="7"/>
      <c r="C32" s="7"/>
      <c r="D32" s="7"/>
      <c r="E32" s="7"/>
      <c r="F32" s="7"/>
      <c r="G32" s="7"/>
      <c r="H32" s="7"/>
      <c r="I32" s="7"/>
      <c r="J32" s="7"/>
      <c r="K32" s="7"/>
      <c r="L32" s="7"/>
      <c r="M32" s="7"/>
      <c r="N32" s="7"/>
      <c r="O32" s="7"/>
      <c r="P32" s="7"/>
      <c r="Q32" s="7"/>
      <c r="R32" s="7"/>
      <c r="S32" s="7"/>
      <c r="T32" s="7"/>
      <c r="U32" s="7"/>
      <c r="V32" s="7"/>
      <c r="W32" s="7"/>
      <c r="X32" s="7"/>
    </row>
    <row r="33" spans="2:24" ht="15" customHeight="1" x14ac:dyDescent="0.25">
      <c r="B33" s="7"/>
      <c r="C33" s="7"/>
      <c r="D33" s="7"/>
      <c r="E33" s="7"/>
      <c r="F33" s="7"/>
      <c r="G33" s="7"/>
      <c r="H33" s="7"/>
      <c r="I33" s="7"/>
      <c r="J33" s="7"/>
      <c r="K33" s="7"/>
      <c r="L33" s="7"/>
      <c r="M33" s="7"/>
      <c r="N33" s="7"/>
      <c r="O33" s="7"/>
      <c r="P33" s="7"/>
      <c r="Q33" s="7"/>
      <c r="R33" s="7"/>
      <c r="S33" s="7"/>
      <c r="T33" s="7"/>
      <c r="U33" s="7"/>
      <c r="V33" s="7"/>
      <c r="W33" s="7"/>
      <c r="X33" s="7"/>
    </row>
    <row r="34" spans="2:24" ht="15" customHeight="1" x14ac:dyDescent="0.25">
      <c r="B34" s="7"/>
      <c r="C34" s="7"/>
      <c r="D34" s="7"/>
      <c r="E34" s="7"/>
      <c r="F34" s="7"/>
      <c r="G34" s="7"/>
      <c r="H34" s="7"/>
      <c r="I34" s="7"/>
      <c r="J34" s="7"/>
      <c r="K34" s="7"/>
      <c r="L34" s="7"/>
      <c r="M34" s="7"/>
      <c r="N34" s="7"/>
      <c r="O34" s="7"/>
      <c r="P34" s="7"/>
      <c r="Q34" s="7"/>
      <c r="R34" s="7"/>
      <c r="S34" s="7"/>
      <c r="T34" s="7"/>
      <c r="U34" s="7"/>
      <c r="V34" s="7"/>
      <c r="W34" s="7"/>
      <c r="X34" s="7"/>
    </row>
    <row r="35" spans="2:24" ht="15" customHeight="1" x14ac:dyDescent="0.25">
      <c r="B35" s="7"/>
      <c r="C35" s="7"/>
      <c r="D35" s="7"/>
      <c r="E35" s="7"/>
      <c r="F35" s="7"/>
      <c r="G35" s="7"/>
      <c r="H35" s="7"/>
      <c r="I35" s="7"/>
      <c r="J35" s="7"/>
      <c r="K35" s="7"/>
      <c r="L35" s="7"/>
      <c r="M35" s="7"/>
      <c r="N35" s="7"/>
      <c r="O35" s="7"/>
      <c r="P35" s="7"/>
      <c r="Q35" s="7"/>
      <c r="R35" s="7"/>
      <c r="S35" s="7"/>
      <c r="T35" s="7"/>
      <c r="U35" s="7"/>
      <c r="V35" s="7"/>
      <c r="W35" s="7"/>
      <c r="X35" s="7"/>
    </row>
    <row r="36" spans="2:24" ht="15" customHeight="1" x14ac:dyDescent="0.25">
      <c r="B36" s="7"/>
      <c r="C36" s="7"/>
      <c r="D36" s="7"/>
      <c r="E36" s="7"/>
      <c r="F36" s="7"/>
      <c r="G36" s="7"/>
      <c r="H36" s="7"/>
      <c r="I36" s="7"/>
      <c r="J36" s="7"/>
      <c r="K36" s="7"/>
      <c r="L36" s="7"/>
      <c r="M36" s="7"/>
      <c r="N36" s="7"/>
      <c r="O36" s="7"/>
      <c r="P36" s="7"/>
      <c r="Q36" s="7"/>
      <c r="R36" s="7"/>
      <c r="S36" s="7"/>
      <c r="T36" s="7"/>
      <c r="U36" s="7"/>
      <c r="V36" s="7"/>
      <c r="W36" s="7"/>
      <c r="X36" s="7"/>
    </row>
    <row r="37" spans="2:24" ht="15" customHeight="1" x14ac:dyDescent="0.25">
      <c r="B37" s="7"/>
      <c r="C37" s="7"/>
      <c r="D37" s="7"/>
      <c r="E37" s="7"/>
      <c r="F37" s="7"/>
      <c r="G37" s="7"/>
      <c r="H37" s="7"/>
      <c r="I37" s="7"/>
      <c r="J37" s="7"/>
      <c r="K37" s="7"/>
      <c r="L37" s="7"/>
      <c r="M37" s="7"/>
      <c r="N37" s="7"/>
      <c r="O37" s="7"/>
      <c r="P37" s="7"/>
      <c r="Q37" s="7"/>
      <c r="R37" s="7"/>
      <c r="S37" s="7"/>
      <c r="T37" s="7"/>
      <c r="U37" s="7"/>
      <c r="V37" s="7"/>
      <c r="W37" s="7"/>
      <c r="X37" s="7"/>
    </row>
    <row r="38" spans="2:24" ht="15" customHeight="1" x14ac:dyDescent="0.25">
      <c r="B38" s="7"/>
      <c r="C38" s="7"/>
      <c r="D38" s="7"/>
      <c r="E38" s="7"/>
      <c r="F38" s="7"/>
      <c r="G38" s="7"/>
      <c r="H38" s="7"/>
      <c r="I38" s="7"/>
      <c r="J38" s="7"/>
      <c r="K38" s="7"/>
      <c r="L38" s="7"/>
      <c r="M38" s="7"/>
      <c r="N38" s="7"/>
      <c r="O38" s="7"/>
      <c r="P38" s="7"/>
      <c r="Q38" s="7"/>
      <c r="R38" s="7"/>
      <c r="S38" s="7"/>
      <c r="T38" s="7"/>
      <c r="U38" s="7"/>
      <c r="V38" s="7"/>
      <c r="W38" s="7"/>
      <c r="X38" s="7"/>
    </row>
    <row r="39" spans="2:24" ht="15" customHeight="1" x14ac:dyDescent="0.25">
      <c r="B39" s="7"/>
      <c r="C39" s="7"/>
      <c r="D39" s="7"/>
      <c r="E39" s="7"/>
      <c r="F39" s="7"/>
      <c r="G39" s="7"/>
      <c r="H39" s="7"/>
      <c r="I39" s="7"/>
      <c r="J39" s="7"/>
      <c r="K39" s="7"/>
      <c r="L39" s="7"/>
      <c r="M39" s="7"/>
      <c r="N39" s="7"/>
      <c r="O39" s="7"/>
      <c r="P39" s="7"/>
      <c r="Q39" s="7"/>
      <c r="R39" s="7"/>
      <c r="S39" s="7"/>
      <c r="T39" s="7"/>
      <c r="U39" s="7"/>
      <c r="V39" s="7"/>
      <c r="W39" s="7"/>
      <c r="X39" s="7"/>
    </row>
    <row r="40" spans="2:24" ht="15" customHeight="1" x14ac:dyDescent="0.25">
      <c r="B40" s="7"/>
      <c r="C40" s="7"/>
      <c r="D40" s="7"/>
      <c r="E40" s="7"/>
      <c r="F40" s="7"/>
      <c r="G40" s="7"/>
      <c r="H40" s="7"/>
      <c r="I40" s="7"/>
      <c r="J40" s="7"/>
      <c r="K40" s="7"/>
      <c r="L40" s="7"/>
      <c r="M40" s="7"/>
      <c r="N40" s="7"/>
      <c r="O40" s="7"/>
      <c r="P40" s="7"/>
      <c r="Q40" s="7"/>
      <c r="R40" s="7"/>
      <c r="S40" s="7"/>
      <c r="T40" s="7"/>
      <c r="U40" s="7"/>
      <c r="V40" s="7"/>
      <c r="W40" s="7"/>
      <c r="X40" s="7"/>
    </row>
    <row r="41" spans="2:24" ht="15" customHeight="1" x14ac:dyDescent="0.25">
      <c r="B41" s="7"/>
      <c r="C41" s="7"/>
      <c r="D41" s="7"/>
      <c r="E41" s="7"/>
      <c r="F41" s="7"/>
      <c r="G41" s="7"/>
      <c r="H41" s="7"/>
      <c r="I41" s="7"/>
      <c r="J41" s="7"/>
      <c r="K41" s="7"/>
      <c r="L41" s="7"/>
      <c r="M41" s="7"/>
      <c r="N41" s="7"/>
      <c r="O41" s="7"/>
      <c r="P41" s="7"/>
      <c r="Q41" s="7"/>
      <c r="R41" s="7"/>
      <c r="S41" s="7"/>
      <c r="T41" s="7"/>
      <c r="U41" s="7"/>
      <c r="V41" s="7"/>
      <c r="W41" s="7"/>
      <c r="X41" s="7"/>
    </row>
    <row r="42" spans="2:24" ht="15" customHeight="1" x14ac:dyDescent="0.25">
      <c r="B42" s="7"/>
      <c r="C42" s="7"/>
      <c r="D42" s="7"/>
      <c r="E42" s="7"/>
      <c r="F42" s="7"/>
      <c r="G42" s="7"/>
      <c r="H42" s="7"/>
      <c r="I42" s="7"/>
      <c r="J42" s="7"/>
      <c r="K42" s="7"/>
      <c r="L42" s="7"/>
      <c r="M42" s="7"/>
      <c r="N42" s="7"/>
      <c r="O42" s="7"/>
      <c r="P42" s="7"/>
      <c r="Q42" s="7"/>
      <c r="R42" s="7"/>
      <c r="S42" s="7"/>
      <c r="T42" s="7"/>
      <c r="U42" s="7"/>
      <c r="V42" s="7"/>
      <c r="W42" s="7"/>
      <c r="X42" s="7"/>
    </row>
    <row r="43" spans="2:24" ht="15" customHeight="1" x14ac:dyDescent="0.25">
      <c r="B43" s="7"/>
      <c r="C43" s="7"/>
      <c r="D43" s="7"/>
      <c r="E43" s="7"/>
      <c r="F43" s="7"/>
      <c r="G43" s="7"/>
      <c r="H43" s="7"/>
      <c r="I43" s="7"/>
      <c r="J43" s="7"/>
      <c r="K43" s="7"/>
      <c r="L43" s="7"/>
      <c r="M43" s="7"/>
      <c r="N43" s="7"/>
      <c r="O43" s="7"/>
      <c r="P43" s="7"/>
      <c r="Q43" s="7"/>
      <c r="R43" s="7"/>
      <c r="S43" s="7"/>
      <c r="T43" s="7"/>
      <c r="U43" s="7"/>
      <c r="V43" s="7"/>
      <c r="W43" s="7"/>
      <c r="X43" s="7"/>
    </row>
    <row r="44" spans="2:24" ht="15" customHeight="1" x14ac:dyDescent="0.25">
      <c r="B44" s="7"/>
      <c r="C44" s="7"/>
      <c r="D44" s="7"/>
      <c r="E44" s="7"/>
      <c r="F44" s="7"/>
      <c r="G44" s="7"/>
      <c r="H44" s="7"/>
      <c r="I44" s="7"/>
      <c r="J44" s="7"/>
      <c r="K44" s="7"/>
      <c r="L44" s="7"/>
      <c r="M44" s="7"/>
      <c r="N44" s="7"/>
      <c r="O44" s="7"/>
      <c r="P44" s="7"/>
      <c r="Q44" s="7"/>
      <c r="R44" s="7"/>
      <c r="S44" s="7"/>
      <c r="T44" s="7"/>
      <c r="U44" s="7"/>
      <c r="V44" s="7"/>
      <c r="W44" s="7"/>
      <c r="X44" s="7"/>
    </row>
    <row r="45" spans="2:24" ht="15" customHeight="1" x14ac:dyDescent="0.25">
      <c r="B45" s="7"/>
      <c r="C45" s="7"/>
      <c r="D45" s="7"/>
      <c r="E45" s="7"/>
      <c r="F45" s="7"/>
      <c r="G45" s="7"/>
      <c r="H45" s="7"/>
      <c r="I45" s="7"/>
      <c r="J45" s="7"/>
      <c r="K45" s="7"/>
      <c r="L45" s="7"/>
      <c r="M45" s="7"/>
      <c r="N45" s="7"/>
      <c r="O45" s="7"/>
      <c r="P45" s="7"/>
      <c r="Q45" s="7"/>
      <c r="R45" s="7"/>
      <c r="S45" s="7"/>
      <c r="T45" s="7"/>
      <c r="U45" s="7"/>
      <c r="V45" s="7"/>
      <c r="W45" s="7"/>
      <c r="X45" s="7"/>
    </row>
    <row r="46" spans="2:24" ht="15" customHeight="1" x14ac:dyDescent="0.25">
      <c r="B46" s="7"/>
      <c r="C46" s="7"/>
      <c r="D46" s="7"/>
      <c r="E46" s="7"/>
      <c r="F46" s="7"/>
      <c r="G46" s="7"/>
      <c r="H46" s="7"/>
      <c r="I46" s="7"/>
      <c r="J46" s="7"/>
      <c r="K46" s="7"/>
      <c r="L46" s="7"/>
      <c r="M46" s="7"/>
      <c r="N46" s="7"/>
      <c r="O46" s="7"/>
      <c r="P46" s="7"/>
      <c r="Q46" s="7"/>
      <c r="R46" s="7"/>
      <c r="S46" s="7"/>
      <c r="T46" s="7"/>
      <c r="U46" s="7"/>
      <c r="V46" s="7"/>
      <c r="W46" s="7"/>
      <c r="X46" s="7"/>
    </row>
    <row r="47" spans="2:24" ht="15" customHeight="1" x14ac:dyDescent="0.25">
      <c r="B47" s="7"/>
      <c r="C47" s="7"/>
      <c r="D47" s="7"/>
      <c r="E47" s="7"/>
      <c r="F47" s="7"/>
      <c r="G47" s="7"/>
      <c r="H47" s="7"/>
      <c r="I47" s="7"/>
      <c r="J47" s="7"/>
      <c r="K47" s="7"/>
      <c r="L47" s="7"/>
      <c r="M47" s="7"/>
      <c r="N47" s="7"/>
      <c r="O47" s="7"/>
      <c r="P47" s="7"/>
      <c r="Q47" s="7"/>
      <c r="R47" s="7"/>
      <c r="S47" s="7"/>
      <c r="T47" s="7"/>
      <c r="U47" s="7"/>
      <c r="V47" s="7"/>
      <c r="W47" s="7"/>
      <c r="X47" s="7"/>
    </row>
    <row r="48" spans="2:24" ht="15" customHeight="1" x14ac:dyDescent="0.25">
      <c r="B48" s="7"/>
      <c r="C48" s="7"/>
      <c r="D48" s="7"/>
      <c r="E48" s="7"/>
      <c r="F48" s="7"/>
      <c r="G48" s="7"/>
      <c r="H48" s="7"/>
      <c r="I48" s="7"/>
      <c r="J48" s="7"/>
      <c r="K48" s="7"/>
      <c r="L48" s="7"/>
      <c r="M48" s="7"/>
      <c r="N48" s="7"/>
      <c r="O48" s="7"/>
      <c r="P48" s="7"/>
      <c r="Q48" s="7"/>
      <c r="R48" s="7"/>
      <c r="S48" s="7"/>
      <c r="T48" s="7"/>
      <c r="U48" s="7"/>
      <c r="V48" s="7"/>
      <c r="W48" s="7"/>
      <c r="X48" s="7"/>
    </row>
    <row r="49" spans="2:24" ht="15" customHeight="1" x14ac:dyDescent="0.25">
      <c r="B49" s="7"/>
      <c r="C49" s="7"/>
      <c r="D49" s="7"/>
      <c r="E49" s="7"/>
      <c r="F49" s="7"/>
      <c r="G49" s="7"/>
      <c r="H49" s="7"/>
      <c r="I49" s="7"/>
      <c r="J49" s="7"/>
      <c r="K49" s="7"/>
      <c r="L49" s="7"/>
      <c r="M49" s="7"/>
      <c r="N49" s="7"/>
      <c r="O49" s="7"/>
      <c r="P49" s="7"/>
      <c r="Q49" s="7"/>
      <c r="R49" s="7"/>
      <c r="S49" s="7"/>
      <c r="T49" s="7"/>
      <c r="U49" s="7"/>
      <c r="V49" s="7"/>
      <c r="W49" s="7"/>
      <c r="X49" s="7"/>
    </row>
    <row r="50" spans="2:24" ht="15" customHeight="1" x14ac:dyDescent="0.25">
      <c r="B50" s="7"/>
      <c r="C50" s="7"/>
      <c r="D50" s="7"/>
      <c r="E50" s="7"/>
      <c r="F50" s="7"/>
      <c r="G50" s="7"/>
      <c r="H50" s="7"/>
      <c r="I50" s="7"/>
      <c r="J50" s="7"/>
      <c r="K50" s="7"/>
      <c r="L50" s="7"/>
      <c r="M50" s="7"/>
      <c r="N50" s="7"/>
      <c r="O50" s="7"/>
      <c r="P50" s="7"/>
      <c r="Q50" s="7"/>
      <c r="R50" s="7"/>
      <c r="S50" s="7"/>
      <c r="T50" s="7"/>
      <c r="U50" s="7"/>
      <c r="V50" s="7"/>
      <c r="W50" s="7"/>
      <c r="X50" s="7"/>
    </row>
    <row r="51" spans="2:24" ht="15" customHeight="1" x14ac:dyDescent="0.25">
      <c r="B51" s="7"/>
      <c r="C51" s="7"/>
      <c r="D51" s="7"/>
      <c r="E51" s="7"/>
      <c r="F51" s="7"/>
      <c r="G51" s="7"/>
      <c r="H51" s="7"/>
      <c r="I51" s="7"/>
      <c r="J51" s="7"/>
      <c r="K51" s="7"/>
      <c r="L51" s="7"/>
      <c r="M51" s="7"/>
      <c r="N51" s="7"/>
      <c r="O51" s="7"/>
      <c r="P51" s="7"/>
      <c r="Q51" s="7"/>
      <c r="R51" s="7"/>
      <c r="S51" s="7"/>
      <c r="T51" s="7"/>
      <c r="U51" s="7"/>
      <c r="V51" s="7"/>
      <c r="W51" s="7"/>
      <c r="X51" s="7"/>
    </row>
    <row r="52" spans="2:24" ht="15" customHeight="1" x14ac:dyDescent="0.25">
      <c r="B52" s="7"/>
      <c r="C52" s="7"/>
      <c r="D52" s="7"/>
      <c r="E52" s="7"/>
      <c r="F52" s="7"/>
      <c r="G52" s="7"/>
      <c r="H52" s="7"/>
      <c r="I52" s="7"/>
      <c r="J52" s="7"/>
      <c r="K52" s="7"/>
      <c r="L52" s="7"/>
      <c r="M52" s="7"/>
      <c r="N52" s="7"/>
      <c r="O52" s="7"/>
      <c r="P52" s="7"/>
      <c r="Q52" s="7"/>
      <c r="R52" s="7"/>
      <c r="S52" s="7"/>
      <c r="T52" s="7"/>
      <c r="U52" s="7"/>
      <c r="V52" s="7"/>
      <c r="W52" s="7"/>
      <c r="X52" s="7"/>
    </row>
    <row r="53" spans="2:24" ht="15" customHeight="1" x14ac:dyDescent="0.25">
      <c r="B53" s="7"/>
      <c r="C53" s="7"/>
      <c r="D53" s="7"/>
      <c r="E53" s="7"/>
      <c r="F53" s="7"/>
      <c r="G53" s="7"/>
      <c r="H53" s="7"/>
      <c r="I53" s="7"/>
      <c r="J53" s="7"/>
      <c r="K53" s="7"/>
      <c r="L53" s="7"/>
      <c r="M53" s="7"/>
      <c r="N53" s="7"/>
      <c r="O53" s="7"/>
      <c r="P53" s="7"/>
      <c r="Q53" s="7"/>
      <c r="R53" s="7"/>
      <c r="S53" s="7"/>
      <c r="T53" s="7"/>
      <c r="U53" s="7"/>
      <c r="V53" s="7"/>
      <c r="W53" s="7"/>
      <c r="X53" s="7"/>
    </row>
    <row r="54" spans="2:24" ht="15" customHeight="1" x14ac:dyDescent="0.25">
      <c r="B54" s="7"/>
      <c r="C54" s="7"/>
      <c r="D54" s="7"/>
      <c r="E54" s="7"/>
      <c r="F54" s="7"/>
      <c r="G54" s="7"/>
      <c r="H54" s="7"/>
      <c r="I54" s="7"/>
      <c r="J54" s="7"/>
      <c r="K54" s="7"/>
      <c r="L54" s="7"/>
      <c r="M54" s="7"/>
      <c r="N54" s="7"/>
      <c r="O54" s="7"/>
      <c r="P54" s="7"/>
      <c r="Q54" s="7"/>
      <c r="R54" s="7"/>
      <c r="S54" s="7"/>
      <c r="T54" s="7"/>
      <c r="U54" s="7"/>
      <c r="V54" s="7"/>
      <c r="W54" s="7"/>
      <c r="X54" s="7"/>
    </row>
    <row r="55" spans="2:24" ht="15" customHeight="1" x14ac:dyDescent="0.25">
      <c r="B55" s="7"/>
      <c r="C55" s="7"/>
      <c r="D55" s="7"/>
      <c r="E55" s="7"/>
      <c r="F55" s="7"/>
      <c r="G55" s="7"/>
      <c r="H55" s="7"/>
      <c r="I55" s="7"/>
      <c r="J55" s="7"/>
      <c r="K55" s="7"/>
      <c r="L55" s="7"/>
      <c r="M55" s="7"/>
      <c r="N55" s="7"/>
      <c r="O55" s="7"/>
      <c r="P55" s="7"/>
      <c r="Q55" s="7"/>
      <c r="R55" s="7"/>
      <c r="S55" s="7"/>
      <c r="T55" s="7"/>
      <c r="U55" s="7"/>
      <c r="V55" s="7"/>
      <c r="W55" s="7"/>
      <c r="X55" s="7"/>
    </row>
    <row r="56" spans="2:24" ht="15" customHeight="1" x14ac:dyDescent="0.25">
      <c r="B56" s="7"/>
      <c r="C56" s="7"/>
      <c r="D56" s="7"/>
      <c r="E56" s="7"/>
      <c r="F56" s="7"/>
      <c r="G56" s="7"/>
      <c r="H56" s="7"/>
      <c r="I56" s="7"/>
      <c r="J56" s="7"/>
      <c r="K56" s="7"/>
      <c r="L56" s="7"/>
      <c r="M56" s="7"/>
      <c r="N56" s="7"/>
      <c r="O56" s="7"/>
      <c r="P56" s="7"/>
      <c r="Q56" s="7"/>
      <c r="R56" s="7"/>
      <c r="S56" s="7"/>
      <c r="T56" s="7"/>
      <c r="U56" s="7"/>
      <c r="V56" s="7"/>
      <c r="W56" s="7"/>
      <c r="X56" s="7"/>
    </row>
    <row r="59" spans="2:24" ht="15" customHeight="1" x14ac:dyDescent="0.3">
      <c r="B59" s="6" t="s">
        <v>785</v>
      </c>
      <c r="C59" s="7"/>
      <c r="D59" s="7"/>
      <c r="E59" s="7"/>
      <c r="F59" s="7"/>
      <c r="G59" s="7"/>
      <c r="H59" s="7"/>
      <c r="I59" s="7"/>
      <c r="J59" s="7"/>
      <c r="K59" s="7"/>
      <c r="L59" s="7"/>
      <c r="M59" s="7"/>
      <c r="N59" s="7"/>
      <c r="O59" s="7"/>
      <c r="P59" s="7"/>
      <c r="Q59" s="7"/>
      <c r="R59" s="7"/>
      <c r="S59" s="7"/>
      <c r="T59" s="7"/>
      <c r="U59" s="7"/>
      <c r="V59" s="7"/>
      <c r="W59" s="7"/>
      <c r="X59" s="7"/>
    </row>
    <row r="60" spans="2:24" ht="15" customHeight="1" x14ac:dyDescent="0.25">
      <c r="B60" s="8" t="s">
        <v>771</v>
      </c>
      <c r="C60" s="7"/>
      <c r="D60" s="7"/>
      <c r="E60" s="7"/>
      <c r="F60" s="7"/>
      <c r="G60" s="7"/>
      <c r="H60" s="7"/>
      <c r="I60" s="7"/>
      <c r="J60" s="7"/>
      <c r="K60" s="7"/>
      <c r="L60" s="7"/>
      <c r="M60" s="7"/>
      <c r="N60" s="7"/>
      <c r="O60" s="7"/>
      <c r="P60" s="7"/>
      <c r="Q60" s="7"/>
      <c r="R60" s="7"/>
      <c r="S60" s="7"/>
      <c r="T60" s="7"/>
      <c r="U60" s="7"/>
      <c r="V60" s="7"/>
      <c r="W60" s="7"/>
      <c r="X60" s="7"/>
    </row>
    <row r="61" spans="2:24" ht="15" customHeight="1" x14ac:dyDescent="0.25">
      <c r="B61" s="8" t="s">
        <v>772</v>
      </c>
      <c r="C61" s="7"/>
      <c r="D61" s="7"/>
      <c r="E61" s="7"/>
      <c r="F61" s="7"/>
      <c r="G61" s="7"/>
      <c r="H61" s="7"/>
      <c r="I61" s="7"/>
      <c r="J61" s="7"/>
      <c r="K61" s="7"/>
      <c r="L61" s="7"/>
      <c r="M61" s="7"/>
      <c r="N61" s="7"/>
      <c r="O61" s="7"/>
      <c r="P61" s="7"/>
      <c r="Q61" s="7"/>
      <c r="R61" s="7"/>
      <c r="S61" s="7"/>
      <c r="T61" s="7"/>
      <c r="U61" s="7"/>
      <c r="V61" s="7"/>
      <c r="W61" s="7"/>
      <c r="X61" s="7"/>
    </row>
    <row r="62" spans="2:24" ht="15" customHeight="1" x14ac:dyDescent="0.25">
      <c r="B62" s="8" t="s">
        <v>1822</v>
      </c>
      <c r="C62" s="7"/>
      <c r="D62" s="7"/>
      <c r="E62" s="7"/>
      <c r="F62" s="7"/>
      <c r="G62" s="7"/>
      <c r="H62" s="7"/>
      <c r="I62" s="7"/>
      <c r="J62" s="7"/>
      <c r="K62" s="7"/>
      <c r="L62" s="7"/>
      <c r="M62" s="7"/>
      <c r="N62" s="7"/>
      <c r="O62" s="7"/>
      <c r="P62" s="7"/>
      <c r="Q62" s="7"/>
      <c r="R62" s="7"/>
      <c r="S62" s="7"/>
      <c r="T62" s="7"/>
      <c r="U62" s="7"/>
      <c r="V62" s="7"/>
      <c r="W62" s="7"/>
      <c r="X62" s="7"/>
    </row>
    <row r="63" spans="2:24" ht="15" customHeight="1" x14ac:dyDescent="0.25">
      <c r="B63" s="8" t="s">
        <v>834</v>
      </c>
      <c r="C63" s="7"/>
      <c r="D63" s="7"/>
      <c r="E63" s="7"/>
      <c r="F63" s="7"/>
      <c r="G63" s="7"/>
      <c r="H63" s="7"/>
      <c r="I63" s="7"/>
      <c r="J63" s="7"/>
      <c r="K63" s="7"/>
      <c r="L63" s="7"/>
      <c r="M63" s="7"/>
      <c r="N63" s="7"/>
      <c r="O63" s="7"/>
      <c r="P63" s="7"/>
      <c r="Q63" s="7"/>
      <c r="R63" s="7"/>
      <c r="S63" s="7"/>
      <c r="T63" s="7"/>
      <c r="U63" s="7"/>
      <c r="V63" s="7"/>
      <c r="W63" s="7"/>
      <c r="X63" s="7"/>
    </row>
    <row r="64" spans="2:24" ht="15" customHeight="1" x14ac:dyDescent="0.25">
      <c r="B64" s="8" t="s">
        <v>835</v>
      </c>
      <c r="C64" s="7"/>
      <c r="D64" s="7"/>
      <c r="E64" s="7"/>
      <c r="F64" s="7"/>
      <c r="G64" s="7"/>
      <c r="H64" s="7"/>
      <c r="I64" s="7"/>
      <c r="J64" s="7"/>
      <c r="K64" s="7"/>
      <c r="L64" s="7"/>
      <c r="M64" s="7"/>
      <c r="N64" s="7"/>
      <c r="O64" s="7"/>
      <c r="P64" s="7"/>
      <c r="Q64" s="7"/>
      <c r="R64" s="7"/>
      <c r="S64" s="7"/>
      <c r="T64" s="7"/>
      <c r="U64" s="7"/>
      <c r="V64" s="7"/>
      <c r="W64" s="7"/>
      <c r="X64" s="7"/>
    </row>
    <row r="65" spans="2:24" ht="15" customHeight="1" x14ac:dyDescent="0.25">
      <c r="B65" s="8" t="s">
        <v>836</v>
      </c>
      <c r="C65" s="7"/>
      <c r="D65" s="7"/>
      <c r="E65" s="7"/>
      <c r="F65" s="7"/>
      <c r="G65" s="7"/>
      <c r="H65" s="7"/>
      <c r="I65" s="7"/>
      <c r="J65" s="7"/>
      <c r="K65" s="7"/>
      <c r="L65" s="7"/>
      <c r="M65" s="7"/>
      <c r="N65" s="7"/>
      <c r="O65" s="7"/>
      <c r="P65" s="7"/>
      <c r="Q65" s="7"/>
      <c r="R65" s="7"/>
      <c r="S65" s="7"/>
      <c r="T65" s="7"/>
      <c r="U65" s="7"/>
      <c r="V65" s="7"/>
      <c r="W65" s="7"/>
      <c r="X65" s="7"/>
    </row>
    <row r="66" spans="2:24" ht="15" customHeight="1" x14ac:dyDescent="0.25">
      <c r="B66" s="8" t="s">
        <v>1823</v>
      </c>
      <c r="C66" s="7"/>
      <c r="D66" s="7"/>
      <c r="E66" s="7"/>
      <c r="F66" s="7"/>
      <c r="G66" s="7"/>
      <c r="H66" s="7"/>
      <c r="I66" s="7"/>
      <c r="J66" s="7"/>
      <c r="K66" s="7"/>
      <c r="L66" s="7"/>
      <c r="M66" s="7"/>
      <c r="N66" s="7"/>
      <c r="O66" s="7"/>
      <c r="P66" s="7"/>
      <c r="Q66" s="7"/>
      <c r="R66" s="7"/>
      <c r="S66" s="7"/>
      <c r="T66" s="7"/>
      <c r="U66" s="7"/>
      <c r="V66" s="7"/>
      <c r="W66" s="7"/>
      <c r="X66" s="7"/>
    </row>
    <row r="67" spans="2:24" ht="15" customHeight="1" x14ac:dyDescent="0.25">
      <c r="B67" s="7"/>
      <c r="C67" s="7"/>
      <c r="D67" s="7"/>
      <c r="E67" s="7"/>
      <c r="F67" s="7"/>
      <c r="G67" s="7"/>
      <c r="H67" s="7"/>
      <c r="I67" s="7"/>
      <c r="J67" s="7"/>
      <c r="K67" s="7"/>
      <c r="L67" s="7"/>
      <c r="M67" s="7"/>
      <c r="N67" s="7"/>
      <c r="O67" s="7"/>
      <c r="P67" s="7"/>
      <c r="Q67" s="7"/>
      <c r="R67" s="7"/>
      <c r="S67" s="7"/>
      <c r="T67" s="7"/>
      <c r="U67" s="7"/>
      <c r="V67" s="7"/>
      <c r="W67" s="7"/>
      <c r="X67" s="7"/>
    </row>
    <row r="68" spans="2:24" ht="15" customHeight="1" x14ac:dyDescent="0.25">
      <c r="B68" s="7" t="s">
        <v>770</v>
      </c>
      <c r="C68" s="7"/>
      <c r="D68" s="7"/>
      <c r="E68" s="7"/>
      <c r="F68" s="7"/>
      <c r="G68" s="7"/>
      <c r="H68" s="7"/>
      <c r="I68" s="7"/>
      <c r="J68" s="7"/>
      <c r="K68" s="7"/>
      <c r="L68" s="7"/>
      <c r="M68" s="7"/>
      <c r="N68" s="7"/>
      <c r="O68" s="7"/>
      <c r="P68" s="7"/>
      <c r="Q68" s="7"/>
      <c r="R68" s="7"/>
      <c r="S68" s="7"/>
      <c r="T68" s="7"/>
      <c r="U68" s="7"/>
      <c r="V68" s="7"/>
      <c r="W68" s="7"/>
      <c r="X68" s="7"/>
    </row>
    <row r="69" spans="2:24" ht="15" customHeight="1" x14ac:dyDescent="0.25">
      <c r="B69" s="7"/>
      <c r="C69" s="7"/>
      <c r="D69" s="7"/>
      <c r="E69" s="7"/>
      <c r="F69" s="7"/>
      <c r="G69" s="7"/>
      <c r="H69" s="7"/>
      <c r="I69" s="7"/>
      <c r="J69" s="7"/>
      <c r="K69" s="7"/>
      <c r="L69" s="7"/>
      <c r="M69" s="7"/>
      <c r="N69" s="7"/>
      <c r="O69" s="7"/>
      <c r="P69" s="7"/>
      <c r="Q69" s="7"/>
      <c r="R69" s="7"/>
      <c r="S69" s="7"/>
      <c r="T69" s="7"/>
      <c r="U69" s="7"/>
      <c r="V69" s="7"/>
      <c r="W69" s="7"/>
      <c r="X69" s="7"/>
    </row>
    <row r="70" spans="2:24" ht="15" customHeight="1" x14ac:dyDescent="0.25">
      <c r="B70" s="7"/>
      <c r="C70" s="7"/>
      <c r="D70" s="7"/>
      <c r="E70" s="7"/>
      <c r="F70" s="7"/>
      <c r="G70" s="7"/>
      <c r="H70" s="7"/>
      <c r="I70" s="7"/>
      <c r="J70" s="7"/>
      <c r="K70" s="7"/>
      <c r="L70" s="7"/>
      <c r="M70" s="7"/>
      <c r="N70" s="7"/>
      <c r="O70" s="7"/>
      <c r="P70" s="7"/>
      <c r="Q70" s="7"/>
      <c r="R70" s="7"/>
      <c r="S70" s="7"/>
      <c r="T70" s="7"/>
      <c r="U70" s="7"/>
      <c r="V70" s="7"/>
      <c r="W70" s="7"/>
      <c r="X70" s="7"/>
    </row>
    <row r="71" spans="2:24" ht="15" customHeight="1" x14ac:dyDescent="0.25">
      <c r="B71" s="7"/>
      <c r="C71" s="7"/>
      <c r="D71" s="7"/>
      <c r="E71" s="7"/>
      <c r="F71" s="7"/>
      <c r="G71" s="7"/>
      <c r="H71" s="7"/>
      <c r="I71" s="7"/>
      <c r="J71" s="7"/>
      <c r="K71" s="7"/>
      <c r="L71" s="7"/>
      <c r="M71" s="7"/>
      <c r="N71" s="7"/>
      <c r="O71" s="7"/>
      <c r="P71" s="7"/>
      <c r="Q71" s="7"/>
      <c r="R71" s="7"/>
      <c r="S71" s="7"/>
      <c r="T71" s="7"/>
      <c r="U71" s="7"/>
      <c r="V71" s="7"/>
      <c r="W71" s="7"/>
      <c r="X71" s="7"/>
    </row>
    <row r="72" spans="2:24" ht="15" customHeight="1" x14ac:dyDescent="0.25">
      <c r="B72" s="7"/>
      <c r="C72" s="7"/>
      <c r="D72" s="7"/>
      <c r="E72" s="7"/>
      <c r="F72" s="7"/>
      <c r="G72" s="7"/>
      <c r="H72" s="7"/>
      <c r="I72" s="7"/>
      <c r="J72" s="7"/>
      <c r="K72" s="7"/>
      <c r="L72" s="7"/>
      <c r="M72" s="7"/>
      <c r="N72" s="7"/>
      <c r="O72" s="7"/>
      <c r="P72" s="7"/>
      <c r="Q72" s="7"/>
      <c r="R72" s="7"/>
      <c r="S72" s="7"/>
      <c r="T72" s="7"/>
      <c r="U72" s="7"/>
      <c r="V72" s="7"/>
      <c r="W72" s="7"/>
      <c r="X72" s="7"/>
    </row>
    <row r="73" spans="2:24" ht="15" customHeight="1" x14ac:dyDescent="0.25">
      <c r="B73" s="7"/>
      <c r="C73" s="7"/>
      <c r="D73" s="7"/>
      <c r="E73" s="7"/>
      <c r="F73" s="7"/>
      <c r="G73" s="7"/>
      <c r="H73" s="7"/>
      <c r="I73" s="7"/>
      <c r="J73" s="7"/>
      <c r="K73" s="7"/>
      <c r="L73" s="7"/>
      <c r="M73" s="7"/>
      <c r="N73" s="7"/>
      <c r="O73" s="7"/>
      <c r="P73" s="7"/>
      <c r="Q73" s="7"/>
      <c r="R73" s="7"/>
      <c r="S73" s="7"/>
      <c r="T73" s="7"/>
      <c r="U73" s="7"/>
      <c r="V73" s="7"/>
      <c r="W73" s="7"/>
      <c r="X73" s="7"/>
    </row>
    <row r="74" spans="2:24" ht="15" customHeight="1" x14ac:dyDescent="0.25">
      <c r="B74" s="7"/>
      <c r="C74" s="7"/>
      <c r="D74" s="7"/>
      <c r="E74" s="7"/>
      <c r="F74" s="7"/>
      <c r="G74" s="7"/>
      <c r="H74" s="7"/>
      <c r="I74" s="7"/>
      <c r="J74" s="7"/>
      <c r="K74" s="7"/>
      <c r="L74" s="7"/>
      <c r="M74" s="7"/>
      <c r="N74" s="7"/>
      <c r="O74" s="7"/>
      <c r="P74" s="7"/>
      <c r="Q74" s="7"/>
      <c r="R74" s="7"/>
      <c r="S74" s="7"/>
      <c r="T74" s="7"/>
      <c r="U74" s="7"/>
      <c r="V74" s="7"/>
      <c r="W74" s="7"/>
      <c r="X74" s="7"/>
    </row>
    <row r="75" spans="2:24" ht="15" customHeight="1" x14ac:dyDescent="0.25">
      <c r="B75" s="7"/>
      <c r="C75" s="7"/>
      <c r="D75" s="7"/>
      <c r="E75" s="7"/>
      <c r="F75" s="7"/>
      <c r="G75" s="7"/>
      <c r="H75" s="7"/>
      <c r="I75" s="7"/>
      <c r="J75" s="7"/>
      <c r="K75" s="7"/>
      <c r="L75" s="7"/>
      <c r="M75" s="7"/>
      <c r="N75" s="7"/>
      <c r="O75" s="7"/>
      <c r="P75" s="7"/>
      <c r="Q75" s="7"/>
      <c r="R75" s="7"/>
      <c r="S75" s="7"/>
      <c r="T75" s="7"/>
      <c r="U75" s="7"/>
      <c r="V75" s="7"/>
      <c r="W75" s="7"/>
      <c r="X75" s="7"/>
    </row>
    <row r="76" spans="2:24" ht="15" customHeight="1" x14ac:dyDescent="0.25">
      <c r="B76" s="7"/>
      <c r="C76" s="7"/>
      <c r="D76" s="7"/>
      <c r="E76" s="7"/>
      <c r="F76" s="7"/>
      <c r="G76" s="7"/>
      <c r="H76" s="7"/>
      <c r="I76" s="7"/>
      <c r="J76" s="7"/>
      <c r="K76" s="7"/>
      <c r="L76" s="7"/>
      <c r="M76" s="7"/>
      <c r="N76" s="7"/>
      <c r="O76" s="7"/>
      <c r="P76" s="7"/>
      <c r="Q76" s="7"/>
      <c r="R76" s="7"/>
      <c r="S76" s="7"/>
      <c r="T76" s="7"/>
      <c r="U76" s="7"/>
      <c r="V76" s="7"/>
      <c r="W76" s="7"/>
      <c r="X76" s="7"/>
    </row>
    <row r="77" spans="2:24" ht="15" customHeight="1" x14ac:dyDescent="0.25">
      <c r="B77" s="7"/>
      <c r="C77" s="7"/>
      <c r="D77" s="7"/>
      <c r="E77" s="7"/>
      <c r="F77" s="7"/>
      <c r="G77" s="7"/>
      <c r="H77" s="7"/>
      <c r="I77" s="7"/>
      <c r="J77" s="7"/>
      <c r="K77" s="7"/>
      <c r="L77" s="7"/>
      <c r="M77" s="7"/>
      <c r="N77" s="7"/>
      <c r="O77" s="7"/>
      <c r="P77" s="7"/>
      <c r="Q77" s="7"/>
      <c r="R77" s="7"/>
      <c r="S77" s="7"/>
      <c r="T77" s="7"/>
      <c r="U77" s="7"/>
      <c r="V77" s="7"/>
      <c r="W77" s="7"/>
      <c r="X77" s="7"/>
    </row>
    <row r="78" spans="2:24" ht="15" customHeight="1" x14ac:dyDescent="0.25">
      <c r="B78" s="7"/>
      <c r="C78" s="7"/>
      <c r="D78" s="7"/>
      <c r="E78" s="7"/>
      <c r="F78" s="7"/>
      <c r="G78" s="7"/>
      <c r="H78" s="7"/>
      <c r="I78" s="7"/>
      <c r="J78" s="7"/>
      <c r="K78" s="7"/>
      <c r="L78" s="7"/>
      <c r="M78" s="7"/>
      <c r="N78" s="7"/>
      <c r="O78" s="7"/>
      <c r="P78" s="7"/>
      <c r="Q78" s="7"/>
      <c r="R78" s="7"/>
      <c r="S78" s="7"/>
      <c r="T78" s="7"/>
      <c r="U78" s="7"/>
      <c r="V78" s="7"/>
      <c r="W78" s="7"/>
      <c r="X78" s="7"/>
    </row>
    <row r="79" spans="2:24" ht="15" customHeight="1" x14ac:dyDescent="0.25">
      <c r="B79" s="7"/>
      <c r="C79" s="7"/>
      <c r="D79" s="7"/>
      <c r="E79" s="7"/>
      <c r="F79" s="7"/>
      <c r="G79" s="7"/>
      <c r="H79" s="7"/>
      <c r="I79" s="7"/>
      <c r="J79" s="7"/>
      <c r="K79" s="7"/>
      <c r="L79" s="7"/>
      <c r="M79" s="7"/>
      <c r="N79" s="7"/>
      <c r="O79" s="7"/>
      <c r="P79" s="7"/>
      <c r="Q79" s="7"/>
      <c r="R79" s="7"/>
      <c r="S79" s="7"/>
      <c r="T79" s="7"/>
      <c r="U79" s="7"/>
      <c r="V79" s="7"/>
      <c r="W79" s="7"/>
      <c r="X79" s="7"/>
    </row>
    <row r="80" spans="2:24" ht="15" customHeight="1" x14ac:dyDescent="0.25">
      <c r="B80" s="7"/>
      <c r="C80" s="7"/>
      <c r="D80" s="7"/>
      <c r="E80" s="7"/>
      <c r="F80" s="7"/>
      <c r="G80" s="7"/>
      <c r="H80" s="7"/>
      <c r="I80" s="7"/>
      <c r="J80" s="7"/>
      <c r="K80" s="7"/>
      <c r="L80" s="7"/>
      <c r="M80" s="7"/>
      <c r="N80" s="7"/>
      <c r="O80" s="7"/>
      <c r="P80" s="7"/>
      <c r="Q80" s="7"/>
      <c r="R80" s="7"/>
      <c r="S80" s="7"/>
      <c r="T80" s="7"/>
      <c r="U80" s="7"/>
      <c r="V80" s="7"/>
      <c r="W80" s="7"/>
      <c r="X80" s="7"/>
    </row>
    <row r="81" spans="2:24" ht="15" customHeight="1" x14ac:dyDescent="0.25">
      <c r="B81" s="7"/>
      <c r="C81" s="7"/>
      <c r="D81" s="7"/>
      <c r="E81" s="7"/>
      <c r="F81" s="7"/>
      <c r="G81" s="7"/>
      <c r="H81" s="7"/>
      <c r="I81" s="7"/>
      <c r="J81" s="7"/>
      <c r="K81" s="7"/>
      <c r="L81" s="7"/>
      <c r="M81" s="7"/>
      <c r="N81" s="7"/>
      <c r="O81" s="7"/>
      <c r="P81" s="7"/>
      <c r="Q81" s="7"/>
      <c r="R81" s="7"/>
      <c r="S81" s="7"/>
      <c r="T81" s="7"/>
      <c r="U81" s="7"/>
      <c r="V81" s="7"/>
      <c r="W81" s="7"/>
      <c r="X81" s="7"/>
    </row>
    <row r="82" spans="2:24" ht="15" customHeight="1" x14ac:dyDescent="0.25">
      <c r="B82" s="7"/>
      <c r="C82" s="7"/>
      <c r="D82" s="7"/>
      <c r="E82" s="7"/>
      <c r="F82" s="7"/>
      <c r="G82" s="7"/>
      <c r="H82" s="7"/>
      <c r="I82" s="7"/>
      <c r="J82" s="7"/>
      <c r="K82" s="7"/>
      <c r="L82" s="7"/>
      <c r="M82" s="7"/>
      <c r="N82" s="7"/>
      <c r="O82" s="7"/>
      <c r="P82" s="7"/>
      <c r="Q82" s="7"/>
      <c r="R82" s="7"/>
      <c r="S82" s="7"/>
      <c r="T82" s="7"/>
      <c r="U82" s="7"/>
      <c r="V82" s="7"/>
      <c r="W82" s="7"/>
      <c r="X82" s="7"/>
    </row>
    <row r="83" spans="2:24" ht="15" customHeight="1" x14ac:dyDescent="0.25">
      <c r="B83" s="7"/>
      <c r="C83" s="7"/>
      <c r="D83" s="7"/>
      <c r="E83" s="7"/>
      <c r="F83" s="7"/>
      <c r="G83" s="7"/>
      <c r="H83" s="7"/>
      <c r="I83" s="7"/>
      <c r="J83" s="7"/>
      <c r="K83" s="7"/>
      <c r="L83" s="7"/>
      <c r="M83" s="7"/>
      <c r="N83" s="7"/>
      <c r="O83" s="7"/>
      <c r="P83" s="7"/>
      <c r="Q83" s="7"/>
      <c r="R83" s="7"/>
      <c r="S83" s="7"/>
      <c r="T83" s="7"/>
      <c r="U83" s="7"/>
      <c r="V83" s="7"/>
      <c r="W83" s="7"/>
      <c r="X83" s="7"/>
    </row>
    <row r="84" spans="2:24" ht="15" customHeight="1" x14ac:dyDescent="0.25">
      <c r="B84" s="7"/>
      <c r="C84" s="7"/>
      <c r="D84" s="7"/>
      <c r="E84" s="7"/>
      <c r="F84" s="7"/>
      <c r="G84" s="7"/>
      <c r="H84" s="7"/>
      <c r="I84" s="7"/>
      <c r="J84" s="7"/>
      <c r="K84" s="7"/>
      <c r="L84" s="7"/>
      <c r="M84" s="7"/>
      <c r="N84" s="7"/>
      <c r="O84" s="7"/>
      <c r="P84" s="7"/>
      <c r="Q84" s="7"/>
      <c r="R84" s="7"/>
      <c r="S84" s="7"/>
      <c r="T84" s="7"/>
      <c r="U84" s="7"/>
      <c r="V84" s="7"/>
      <c r="W84" s="7"/>
      <c r="X84" s="7"/>
    </row>
    <row r="85" spans="2:24" ht="15" customHeight="1" x14ac:dyDescent="0.25">
      <c r="B85" s="7"/>
      <c r="C85" s="7"/>
      <c r="D85" s="7"/>
      <c r="E85" s="7"/>
      <c r="F85" s="7"/>
      <c r="G85" s="7"/>
      <c r="H85" s="7"/>
      <c r="I85" s="7"/>
      <c r="J85" s="7"/>
      <c r="K85" s="7"/>
      <c r="L85" s="7"/>
      <c r="M85" s="7"/>
      <c r="N85" s="7"/>
      <c r="O85" s="7"/>
      <c r="P85" s="7"/>
      <c r="Q85" s="7"/>
      <c r="R85" s="7"/>
      <c r="S85" s="7"/>
      <c r="T85" s="7"/>
      <c r="U85" s="7"/>
      <c r="V85" s="7"/>
      <c r="W85" s="7"/>
      <c r="X85" s="7"/>
    </row>
    <row r="86" spans="2:24" ht="15" customHeight="1" x14ac:dyDescent="0.25">
      <c r="B86" s="7"/>
      <c r="C86" s="7"/>
      <c r="D86" s="7"/>
      <c r="E86" s="7"/>
      <c r="F86" s="7"/>
      <c r="G86" s="7"/>
      <c r="H86" s="7"/>
      <c r="I86" s="7"/>
      <c r="J86" s="7"/>
      <c r="K86" s="7"/>
      <c r="L86" s="7"/>
      <c r="M86" s="7"/>
      <c r="N86" s="7"/>
      <c r="O86" s="7"/>
      <c r="P86" s="7"/>
      <c r="Q86" s="7"/>
      <c r="R86" s="7"/>
      <c r="S86" s="7"/>
      <c r="T86" s="7"/>
      <c r="U86" s="7"/>
      <c r="V86" s="7"/>
      <c r="W86" s="7"/>
      <c r="X86" s="7"/>
    </row>
    <row r="87" spans="2:24" ht="15" customHeight="1" x14ac:dyDescent="0.25">
      <c r="B87" s="7"/>
      <c r="C87" s="7"/>
      <c r="D87" s="7"/>
      <c r="E87" s="7"/>
      <c r="F87" s="7"/>
      <c r="G87" s="7"/>
      <c r="H87" s="7"/>
      <c r="I87" s="7"/>
      <c r="J87" s="7"/>
      <c r="K87" s="7"/>
      <c r="L87" s="7"/>
      <c r="M87" s="7"/>
      <c r="N87" s="7"/>
      <c r="O87" s="7"/>
      <c r="P87" s="7"/>
      <c r="Q87" s="7"/>
      <c r="R87" s="7"/>
      <c r="S87" s="7"/>
      <c r="T87" s="7"/>
      <c r="U87" s="7"/>
      <c r="V87" s="7"/>
      <c r="W87" s="7"/>
      <c r="X87" s="7"/>
    </row>
    <row r="88" spans="2:24" ht="15" customHeight="1" x14ac:dyDescent="0.25">
      <c r="B88" s="7"/>
      <c r="C88" s="7"/>
      <c r="D88" s="7"/>
      <c r="E88" s="7"/>
      <c r="F88" s="7"/>
      <c r="G88" s="7"/>
      <c r="H88" s="7"/>
      <c r="I88" s="7"/>
      <c r="J88" s="7"/>
      <c r="K88" s="7"/>
      <c r="L88" s="7"/>
      <c r="M88" s="7"/>
      <c r="N88" s="7"/>
      <c r="O88" s="7"/>
      <c r="P88" s="7"/>
      <c r="Q88" s="7"/>
      <c r="R88" s="7"/>
      <c r="S88" s="7"/>
      <c r="T88" s="7"/>
      <c r="U88" s="7"/>
      <c r="V88" s="7"/>
      <c r="W88" s="7"/>
      <c r="X88" s="7"/>
    </row>
    <row r="89" spans="2:24" ht="15" customHeight="1" x14ac:dyDescent="0.25">
      <c r="B89" s="7"/>
      <c r="C89" s="7"/>
      <c r="D89" s="7"/>
      <c r="E89" s="7"/>
      <c r="F89" s="7"/>
      <c r="G89" s="7"/>
      <c r="H89" s="7"/>
      <c r="I89" s="7"/>
      <c r="J89" s="7"/>
      <c r="K89" s="7"/>
      <c r="L89" s="7"/>
      <c r="M89" s="7"/>
      <c r="N89" s="7"/>
      <c r="O89" s="7"/>
      <c r="P89" s="7"/>
      <c r="Q89" s="7"/>
      <c r="R89" s="7"/>
      <c r="S89" s="7"/>
      <c r="T89" s="7"/>
      <c r="U89" s="7"/>
      <c r="V89" s="7"/>
      <c r="W89" s="7"/>
      <c r="X89" s="7"/>
    </row>
    <row r="90" spans="2:24" ht="15" customHeight="1" x14ac:dyDescent="0.25">
      <c r="B90" s="7"/>
      <c r="C90" s="7"/>
      <c r="D90" s="7"/>
      <c r="E90" s="7"/>
      <c r="F90" s="7"/>
      <c r="G90" s="7"/>
      <c r="H90" s="7"/>
      <c r="I90" s="7"/>
      <c r="J90" s="7"/>
      <c r="K90" s="7"/>
      <c r="L90" s="7"/>
      <c r="M90" s="7"/>
      <c r="N90" s="7"/>
      <c r="O90" s="7"/>
      <c r="P90" s="7"/>
      <c r="Q90" s="7"/>
      <c r="R90" s="7"/>
      <c r="S90" s="7"/>
      <c r="T90" s="7"/>
      <c r="U90" s="7"/>
      <c r="V90" s="7"/>
      <c r="W90" s="7"/>
      <c r="X90" s="7"/>
    </row>
    <row r="91" spans="2:24" ht="15" customHeight="1" x14ac:dyDescent="0.25">
      <c r="B91" s="7"/>
      <c r="C91" s="7"/>
      <c r="D91" s="7"/>
      <c r="E91" s="7"/>
      <c r="F91" s="7"/>
      <c r="G91" s="7"/>
      <c r="H91" s="7"/>
      <c r="I91" s="7"/>
      <c r="J91" s="7"/>
      <c r="K91" s="7"/>
      <c r="L91" s="7"/>
      <c r="M91" s="7"/>
      <c r="N91" s="7"/>
      <c r="O91" s="7"/>
      <c r="P91" s="7"/>
      <c r="Q91" s="7"/>
      <c r="R91" s="7"/>
      <c r="S91" s="7"/>
      <c r="T91" s="7"/>
      <c r="U91" s="7"/>
      <c r="V91" s="7"/>
      <c r="W91" s="7"/>
      <c r="X91" s="7"/>
    </row>
    <row r="92" spans="2:24" ht="15" customHeight="1" x14ac:dyDescent="0.25">
      <c r="B92" s="7"/>
      <c r="C92" s="7"/>
      <c r="D92" s="7"/>
      <c r="E92" s="7"/>
      <c r="F92" s="7"/>
      <c r="G92" s="7"/>
      <c r="H92" s="7"/>
      <c r="I92" s="7"/>
      <c r="J92" s="7"/>
      <c r="K92" s="7"/>
      <c r="L92" s="7"/>
      <c r="M92" s="7"/>
      <c r="N92" s="7"/>
      <c r="O92" s="7"/>
      <c r="P92" s="7"/>
      <c r="Q92" s="7"/>
      <c r="R92" s="7"/>
      <c r="S92" s="7"/>
      <c r="T92" s="7"/>
      <c r="U92" s="7"/>
      <c r="V92" s="7"/>
      <c r="W92" s="7"/>
      <c r="X92" s="7"/>
    </row>
    <row r="93" spans="2:24" ht="15" customHeight="1" x14ac:dyDescent="0.25">
      <c r="B93" s="7"/>
      <c r="C93" s="7"/>
      <c r="D93" s="7"/>
      <c r="E93" s="7"/>
      <c r="F93" s="7"/>
      <c r="G93" s="7"/>
      <c r="H93" s="7"/>
      <c r="I93" s="7"/>
      <c r="J93" s="7"/>
      <c r="K93" s="7"/>
      <c r="L93" s="7"/>
      <c r="M93" s="7"/>
      <c r="N93" s="7"/>
      <c r="O93" s="7"/>
      <c r="P93" s="7"/>
      <c r="Q93" s="7"/>
      <c r="R93" s="7"/>
      <c r="S93" s="7"/>
      <c r="T93" s="7"/>
      <c r="U93" s="7"/>
      <c r="V93" s="7"/>
      <c r="W93" s="7"/>
      <c r="X93" s="7"/>
    </row>
    <row r="94" spans="2:24" ht="15" customHeight="1" x14ac:dyDescent="0.25">
      <c r="B94" s="7"/>
      <c r="C94" s="7"/>
      <c r="D94" s="7"/>
      <c r="E94" s="7"/>
      <c r="F94" s="7"/>
      <c r="G94" s="7"/>
      <c r="H94" s="7"/>
      <c r="I94" s="7"/>
      <c r="J94" s="7"/>
      <c r="K94" s="7"/>
      <c r="L94" s="7"/>
      <c r="M94" s="7"/>
      <c r="N94" s="7"/>
      <c r="O94" s="7"/>
      <c r="P94" s="7"/>
      <c r="Q94" s="7"/>
      <c r="R94" s="7"/>
      <c r="S94" s="7"/>
      <c r="T94" s="7"/>
      <c r="U94" s="7"/>
      <c r="V94" s="7"/>
      <c r="W94" s="7"/>
      <c r="X94" s="7"/>
    </row>
    <row r="95" spans="2:24" ht="15" customHeight="1" x14ac:dyDescent="0.25">
      <c r="B95" s="7"/>
      <c r="C95" s="7"/>
      <c r="D95" s="7"/>
      <c r="E95" s="7"/>
      <c r="F95" s="7"/>
      <c r="G95" s="7"/>
      <c r="H95" s="7"/>
      <c r="I95" s="7"/>
      <c r="J95" s="7"/>
      <c r="K95" s="7"/>
      <c r="L95" s="7"/>
      <c r="M95" s="7"/>
      <c r="N95" s="7"/>
      <c r="O95" s="7"/>
      <c r="P95" s="7"/>
      <c r="Q95" s="7"/>
      <c r="R95" s="7"/>
      <c r="S95" s="7"/>
      <c r="T95" s="7"/>
      <c r="U95" s="7"/>
      <c r="V95" s="7"/>
      <c r="W95" s="7"/>
      <c r="X95" s="7"/>
    </row>
    <row r="96" spans="2:24" ht="15" customHeight="1" x14ac:dyDescent="0.25">
      <c r="B96" s="7"/>
      <c r="C96" s="7"/>
      <c r="D96" s="7"/>
      <c r="E96" s="7"/>
      <c r="F96" s="7"/>
      <c r="G96" s="7"/>
      <c r="H96" s="7"/>
      <c r="I96" s="7"/>
      <c r="J96" s="7"/>
      <c r="K96" s="7"/>
      <c r="L96" s="7"/>
      <c r="M96" s="7"/>
      <c r="N96" s="7"/>
      <c r="O96" s="7"/>
      <c r="P96" s="7"/>
      <c r="Q96" s="7"/>
      <c r="R96" s="7"/>
      <c r="S96" s="7"/>
      <c r="T96" s="7"/>
      <c r="U96" s="7"/>
      <c r="V96" s="7"/>
      <c r="W96" s="7"/>
      <c r="X96" s="7"/>
    </row>
    <row r="97" spans="2:24" ht="15" customHeight="1" x14ac:dyDescent="0.25">
      <c r="B97" s="7"/>
      <c r="C97" s="7"/>
      <c r="D97" s="7"/>
      <c r="E97" s="7"/>
      <c r="F97" s="7"/>
      <c r="G97" s="7"/>
      <c r="H97" s="7"/>
      <c r="I97" s="7"/>
      <c r="J97" s="7"/>
      <c r="K97" s="7"/>
      <c r="L97" s="7"/>
      <c r="M97" s="7"/>
      <c r="N97" s="7"/>
      <c r="O97" s="7"/>
      <c r="P97" s="7"/>
      <c r="Q97" s="7"/>
      <c r="R97" s="7"/>
      <c r="S97" s="7"/>
      <c r="T97" s="7"/>
      <c r="U97" s="7"/>
      <c r="V97" s="7"/>
      <c r="W97" s="7"/>
      <c r="X97" s="7"/>
    </row>
    <row r="98" spans="2:24" ht="15" customHeight="1" x14ac:dyDescent="0.25">
      <c r="B98" s="7"/>
      <c r="C98" s="7"/>
      <c r="D98" s="7"/>
      <c r="E98" s="7"/>
      <c r="F98" s="7"/>
      <c r="G98" s="7"/>
      <c r="H98" s="7"/>
      <c r="I98" s="7"/>
      <c r="J98" s="7"/>
      <c r="K98" s="7"/>
      <c r="L98" s="7"/>
      <c r="M98" s="7"/>
      <c r="N98" s="7"/>
      <c r="O98" s="7"/>
      <c r="P98" s="7"/>
      <c r="Q98" s="7"/>
      <c r="R98" s="7"/>
      <c r="S98" s="7"/>
      <c r="T98" s="7"/>
      <c r="U98" s="7"/>
      <c r="V98" s="7"/>
      <c r="W98" s="7"/>
      <c r="X98" s="7"/>
    </row>
    <row r="99" spans="2:24" ht="15" customHeight="1" x14ac:dyDescent="0.25">
      <c r="B99" s="7"/>
      <c r="C99" s="7"/>
      <c r="D99" s="7"/>
      <c r="E99" s="7"/>
      <c r="F99" s="7"/>
      <c r="G99" s="7"/>
      <c r="H99" s="7"/>
      <c r="I99" s="7"/>
      <c r="J99" s="7"/>
      <c r="K99" s="7"/>
      <c r="L99" s="7"/>
      <c r="M99" s="7"/>
      <c r="N99" s="7"/>
      <c r="O99" s="7"/>
      <c r="P99" s="7"/>
      <c r="Q99" s="7"/>
      <c r="R99" s="7"/>
      <c r="S99" s="7"/>
      <c r="T99" s="7"/>
      <c r="U99" s="7"/>
      <c r="V99" s="7"/>
      <c r="W99" s="7"/>
      <c r="X99" s="7"/>
    </row>
    <row r="100" spans="2:24" ht="15" customHeight="1" x14ac:dyDescent="0.25">
      <c r="B100" s="7"/>
      <c r="C100" s="7"/>
      <c r="D100" s="7"/>
      <c r="E100" s="7"/>
      <c r="F100" s="7"/>
      <c r="G100" s="7"/>
      <c r="H100" s="7"/>
      <c r="I100" s="7"/>
      <c r="J100" s="7"/>
      <c r="K100" s="7"/>
      <c r="L100" s="7"/>
      <c r="M100" s="7"/>
      <c r="N100" s="7"/>
      <c r="O100" s="7"/>
      <c r="P100" s="7"/>
      <c r="Q100" s="7"/>
      <c r="R100" s="7"/>
      <c r="S100" s="7"/>
      <c r="T100" s="7"/>
      <c r="U100" s="7"/>
      <c r="V100" s="7"/>
      <c r="W100" s="7"/>
      <c r="X100" s="7"/>
    </row>
    <row r="101" spans="2:24" ht="15" customHeight="1" x14ac:dyDescent="0.25">
      <c r="B101" s="7"/>
      <c r="C101" s="7"/>
      <c r="D101" s="7"/>
      <c r="E101" s="7"/>
      <c r="F101" s="7"/>
      <c r="G101" s="7"/>
      <c r="H101" s="7"/>
      <c r="I101" s="7"/>
      <c r="J101" s="7"/>
      <c r="K101" s="7"/>
      <c r="L101" s="7"/>
      <c r="M101" s="7"/>
      <c r="N101" s="7"/>
      <c r="O101" s="7"/>
      <c r="P101" s="7"/>
      <c r="Q101" s="7"/>
      <c r="R101" s="7"/>
      <c r="S101" s="7"/>
      <c r="T101" s="7"/>
      <c r="U101" s="7"/>
      <c r="V101" s="7"/>
      <c r="W101" s="7"/>
      <c r="X101" s="7"/>
    </row>
    <row r="102" spans="2:24" ht="15" customHeight="1" x14ac:dyDescent="0.25">
      <c r="B102" s="7"/>
      <c r="C102" s="7"/>
      <c r="D102" s="7"/>
      <c r="E102" s="7"/>
      <c r="F102" s="7"/>
      <c r="G102" s="7"/>
      <c r="H102" s="7"/>
      <c r="I102" s="7"/>
      <c r="J102" s="7"/>
      <c r="K102" s="7"/>
      <c r="L102" s="7"/>
      <c r="M102" s="7"/>
      <c r="N102" s="7"/>
      <c r="O102" s="7"/>
      <c r="P102" s="7"/>
      <c r="Q102" s="7"/>
      <c r="R102" s="7"/>
      <c r="S102" s="7"/>
      <c r="T102" s="7"/>
      <c r="U102" s="7"/>
      <c r="V102" s="7"/>
      <c r="W102" s="7"/>
      <c r="X102" s="7"/>
    </row>
    <row r="103" spans="2:24" ht="15" customHeight="1" x14ac:dyDescent="0.25">
      <c r="B103" s="7"/>
      <c r="C103" s="7"/>
      <c r="D103" s="7"/>
      <c r="E103" s="7"/>
      <c r="F103" s="7"/>
      <c r="G103" s="7"/>
      <c r="H103" s="7"/>
      <c r="I103" s="7"/>
      <c r="J103" s="7"/>
      <c r="K103" s="7"/>
      <c r="L103" s="7"/>
      <c r="M103" s="7"/>
      <c r="N103" s="7"/>
      <c r="O103" s="7"/>
      <c r="P103" s="7"/>
      <c r="Q103" s="7"/>
      <c r="R103" s="7"/>
      <c r="S103" s="7"/>
      <c r="T103" s="7"/>
      <c r="U103" s="7"/>
      <c r="V103" s="7"/>
      <c r="W103" s="7"/>
      <c r="X103" s="7"/>
    </row>
    <row r="104" spans="2:24" ht="15" customHeight="1" x14ac:dyDescent="0.25">
      <c r="B104" s="7"/>
      <c r="C104" s="7"/>
      <c r="D104" s="7"/>
      <c r="E104" s="7"/>
      <c r="F104" s="7"/>
      <c r="G104" s="7"/>
      <c r="H104" s="7"/>
      <c r="I104" s="7"/>
      <c r="J104" s="7"/>
      <c r="K104" s="7"/>
      <c r="L104" s="7"/>
      <c r="M104" s="7"/>
      <c r="N104" s="7"/>
      <c r="O104" s="7"/>
      <c r="P104" s="7"/>
      <c r="Q104" s="7"/>
      <c r="R104" s="7"/>
      <c r="S104" s="7"/>
      <c r="T104" s="7"/>
      <c r="U104" s="7"/>
      <c r="V104" s="7"/>
      <c r="W104" s="7"/>
      <c r="X104" s="7"/>
    </row>
    <row r="105" spans="2:24" ht="15" customHeight="1" x14ac:dyDescent="0.25">
      <c r="B105" s="7"/>
      <c r="C105" s="7"/>
      <c r="D105" s="7"/>
      <c r="E105" s="7"/>
      <c r="F105" s="7"/>
      <c r="G105" s="7"/>
      <c r="H105" s="7"/>
      <c r="I105" s="7"/>
      <c r="J105" s="7"/>
      <c r="K105" s="7"/>
      <c r="L105" s="7"/>
      <c r="M105" s="7"/>
      <c r="N105" s="7"/>
      <c r="O105" s="7"/>
      <c r="P105" s="7"/>
      <c r="Q105" s="7"/>
      <c r="R105" s="7"/>
      <c r="S105" s="7"/>
      <c r="T105" s="7"/>
      <c r="U105" s="7"/>
      <c r="V105" s="7"/>
      <c r="W105" s="7"/>
      <c r="X105" s="7"/>
    </row>
    <row r="106" spans="2:24" ht="15" customHeight="1" x14ac:dyDescent="0.25">
      <c r="B106" s="7"/>
      <c r="C106" s="7"/>
      <c r="D106" s="7"/>
      <c r="E106" s="7"/>
      <c r="F106" s="7"/>
      <c r="G106" s="7"/>
      <c r="H106" s="7"/>
      <c r="I106" s="7"/>
      <c r="J106" s="7"/>
      <c r="K106" s="7"/>
      <c r="L106" s="7"/>
      <c r="M106" s="7"/>
      <c r="N106" s="7"/>
      <c r="O106" s="7"/>
      <c r="P106" s="7"/>
      <c r="Q106" s="7"/>
      <c r="R106" s="7"/>
      <c r="S106" s="7"/>
      <c r="T106" s="7"/>
      <c r="U106" s="7"/>
      <c r="V106" s="7"/>
      <c r="W106" s="7"/>
      <c r="X106" s="7"/>
    </row>
    <row r="107" spans="2:24" ht="15" customHeight="1" x14ac:dyDescent="0.25">
      <c r="B107" s="7"/>
      <c r="C107" s="7"/>
      <c r="D107" s="7"/>
      <c r="E107" s="7"/>
      <c r="F107" s="7"/>
      <c r="G107" s="7"/>
      <c r="H107" s="7"/>
      <c r="I107" s="7"/>
      <c r="J107" s="7"/>
      <c r="K107" s="7"/>
      <c r="L107" s="7"/>
      <c r="M107" s="7"/>
      <c r="N107" s="7"/>
      <c r="O107" s="7"/>
      <c r="P107" s="7"/>
      <c r="Q107" s="7"/>
      <c r="R107" s="7"/>
      <c r="S107" s="7"/>
      <c r="T107" s="7"/>
      <c r="U107" s="7"/>
      <c r="V107" s="7"/>
      <c r="W107" s="7"/>
      <c r="X107" s="7"/>
    </row>
    <row r="108" spans="2:24" ht="15" customHeight="1" x14ac:dyDescent="0.3">
      <c r="B108"/>
      <c r="C108"/>
      <c r="D108"/>
      <c r="E108"/>
      <c r="F108"/>
      <c r="G108"/>
      <c r="H108"/>
      <c r="I108"/>
      <c r="J108"/>
      <c r="K108"/>
      <c r="L108"/>
      <c r="M108"/>
      <c r="N108"/>
      <c r="O108"/>
      <c r="P108"/>
      <c r="Q108"/>
      <c r="R108"/>
      <c r="S108"/>
      <c r="T108"/>
      <c r="U108"/>
      <c r="V108"/>
      <c r="W108"/>
      <c r="X108"/>
    </row>
    <row r="109" spans="2:24" ht="15" customHeight="1" x14ac:dyDescent="0.25">
      <c r="B109" s="8" t="s">
        <v>773</v>
      </c>
      <c r="C109" s="7"/>
      <c r="D109" s="7"/>
      <c r="E109" s="7"/>
      <c r="F109" s="7"/>
      <c r="G109" s="7"/>
      <c r="H109" s="7"/>
      <c r="I109" s="7"/>
      <c r="J109" s="7"/>
      <c r="K109" s="7"/>
      <c r="L109" s="7"/>
      <c r="M109" s="7"/>
      <c r="N109" s="7"/>
      <c r="O109" s="7"/>
      <c r="P109" s="7"/>
      <c r="Q109" s="7"/>
      <c r="R109" s="7"/>
      <c r="S109" s="7"/>
      <c r="T109" s="7"/>
      <c r="U109" s="7"/>
      <c r="V109" s="7"/>
      <c r="W109" s="7"/>
      <c r="X109" s="7"/>
    </row>
    <row r="110" spans="2:24" ht="15" customHeight="1" x14ac:dyDescent="0.25">
      <c r="B110" s="8" t="s">
        <v>774</v>
      </c>
      <c r="C110" s="7"/>
      <c r="D110" s="7"/>
      <c r="E110" s="7"/>
      <c r="F110" s="7"/>
      <c r="G110" s="7"/>
      <c r="H110" s="7"/>
      <c r="I110" s="7"/>
      <c r="J110" s="7"/>
      <c r="K110" s="7"/>
      <c r="L110" s="7"/>
      <c r="M110" s="7"/>
      <c r="N110" s="7"/>
      <c r="O110" s="7"/>
      <c r="P110" s="7"/>
      <c r="Q110" s="7"/>
      <c r="R110" s="7"/>
      <c r="S110" s="7"/>
      <c r="T110" s="7"/>
      <c r="U110" s="7"/>
      <c r="V110" s="7"/>
      <c r="W110" s="7"/>
      <c r="X110" s="7"/>
    </row>
    <row r="111" spans="2:24" ht="15" customHeight="1" x14ac:dyDescent="0.25">
      <c r="B111" s="8" t="s">
        <v>775</v>
      </c>
      <c r="C111" s="7"/>
      <c r="D111" s="7"/>
      <c r="E111" s="7"/>
      <c r="F111" s="7"/>
      <c r="G111" s="7"/>
      <c r="H111" s="7"/>
      <c r="I111" s="7"/>
      <c r="J111" s="7"/>
      <c r="K111" s="7"/>
      <c r="L111" s="7"/>
      <c r="M111" s="7"/>
      <c r="N111" s="7"/>
      <c r="O111" s="7"/>
      <c r="P111" s="7"/>
      <c r="Q111" s="7"/>
      <c r="R111" s="7"/>
      <c r="S111" s="7"/>
      <c r="T111" s="7"/>
      <c r="U111" s="7"/>
      <c r="V111" s="7"/>
      <c r="W111" s="7"/>
      <c r="X111" s="7"/>
    </row>
    <row r="112" spans="2:24" ht="15" customHeight="1" x14ac:dyDescent="0.25">
      <c r="B112" s="7"/>
      <c r="C112" s="7"/>
      <c r="D112" s="7"/>
      <c r="E112" s="7"/>
      <c r="F112" s="7"/>
      <c r="G112" s="7"/>
      <c r="H112" s="7"/>
      <c r="I112" s="7"/>
      <c r="J112" s="7"/>
      <c r="K112" s="7"/>
      <c r="L112" s="7"/>
      <c r="M112" s="7"/>
      <c r="N112" s="7"/>
      <c r="O112" s="7"/>
      <c r="P112" s="7"/>
      <c r="Q112" s="7"/>
      <c r="R112" s="7"/>
      <c r="S112" s="7"/>
      <c r="T112" s="7"/>
      <c r="U112" s="7"/>
      <c r="V112" s="7"/>
      <c r="W112" s="7"/>
      <c r="X112" s="7"/>
    </row>
    <row r="113" spans="2:24" ht="15" customHeight="1" x14ac:dyDescent="0.25">
      <c r="B113" s="7" t="s">
        <v>770</v>
      </c>
      <c r="C113" s="7"/>
      <c r="D113" s="7"/>
      <c r="E113" s="7"/>
      <c r="F113" s="7"/>
      <c r="G113" s="7"/>
      <c r="H113" s="7"/>
      <c r="I113" s="7"/>
      <c r="J113" s="7"/>
      <c r="K113" s="7"/>
      <c r="L113" s="7"/>
      <c r="M113" s="7"/>
      <c r="N113" s="7"/>
      <c r="O113" s="7"/>
      <c r="P113" s="7"/>
      <c r="Q113" s="7"/>
      <c r="R113" s="7"/>
      <c r="S113" s="7"/>
      <c r="T113" s="7"/>
      <c r="U113" s="7"/>
      <c r="V113" s="7"/>
      <c r="W113" s="7"/>
      <c r="X113" s="7"/>
    </row>
    <row r="114" spans="2:24" ht="15" customHeight="1" x14ac:dyDescent="0.25">
      <c r="B114" s="7"/>
      <c r="C114" s="7"/>
      <c r="D114" s="7"/>
      <c r="E114" s="7"/>
      <c r="F114" s="7"/>
      <c r="G114" s="7"/>
      <c r="H114" s="7"/>
      <c r="I114" s="7"/>
      <c r="J114" s="7"/>
      <c r="K114" s="7"/>
      <c r="L114" s="7"/>
      <c r="M114" s="7"/>
      <c r="N114" s="7"/>
      <c r="O114" s="7"/>
      <c r="P114" s="7"/>
      <c r="Q114" s="7"/>
      <c r="R114" s="7"/>
      <c r="S114" s="7"/>
      <c r="T114" s="7"/>
      <c r="U114" s="7"/>
      <c r="V114" s="7"/>
      <c r="W114" s="7"/>
      <c r="X114" s="7"/>
    </row>
    <row r="115" spans="2:24" ht="15" customHeight="1" x14ac:dyDescent="0.25">
      <c r="B115" s="7"/>
      <c r="C115" s="7"/>
      <c r="D115" s="7"/>
      <c r="E115" s="7"/>
      <c r="F115" s="7"/>
      <c r="G115" s="7"/>
      <c r="H115" s="7"/>
      <c r="I115" s="7"/>
      <c r="J115" s="7"/>
      <c r="K115" s="7"/>
      <c r="L115" s="7"/>
      <c r="M115" s="7"/>
      <c r="N115" s="7"/>
      <c r="O115" s="7"/>
      <c r="P115" s="7"/>
      <c r="Q115" s="7"/>
      <c r="R115" s="7"/>
      <c r="S115" s="7"/>
      <c r="T115" s="7"/>
      <c r="U115" s="7"/>
      <c r="V115" s="7"/>
      <c r="W115" s="7"/>
      <c r="X115" s="7"/>
    </row>
    <row r="116" spans="2:24" ht="15" customHeight="1" x14ac:dyDescent="0.25">
      <c r="B116" s="7"/>
      <c r="C116" s="7"/>
      <c r="D116" s="7"/>
      <c r="E116" s="7"/>
      <c r="F116" s="7"/>
      <c r="G116" s="7"/>
      <c r="H116" s="7"/>
      <c r="I116" s="7"/>
      <c r="J116" s="7"/>
      <c r="K116" s="7"/>
      <c r="L116" s="7"/>
      <c r="M116" s="7"/>
      <c r="N116" s="7"/>
      <c r="O116" s="7"/>
      <c r="P116" s="7"/>
      <c r="Q116" s="7"/>
      <c r="R116" s="7"/>
      <c r="S116" s="7"/>
      <c r="T116" s="7"/>
      <c r="U116" s="7"/>
      <c r="V116" s="7"/>
      <c r="W116" s="7"/>
      <c r="X116" s="7"/>
    </row>
    <row r="117" spans="2:24" ht="15" customHeight="1" x14ac:dyDescent="0.25">
      <c r="B117" s="7"/>
      <c r="C117" s="7"/>
      <c r="D117" s="7"/>
      <c r="E117" s="7"/>
      <c r="F117" s="7"/>
      <c r="G117" s="7"/>
      <c r="H117" s="7"/>
      <c r="I117" s="7"/>
      <c r="J117" s="7"/>
      <c r="K117" s="7"/>
      <c r="L117" s="7"/>
      <c r="M117" s="7"/>
      <c r="N117" s="7"/>
      <c r="O117" s="7"/>
      <c r="P117" s="7"/>
      <c r="Q117" s="7"/>
      <c r="R117" s="7"/>
      <c r="S117" s="7"/>
      <c r="T117" s="7"/>
      <c r="U117" s="7"/>
      <c r="V117" s="7"/>
      <c r="W117" s="7"/>
      <c r="X117" s="7"/>
    </row>
    <row r="118" spans="2:24" ht="15" customHeight="1" x14ac:dyDescent="0.25">
      <c r="B118" s="7"/>
      <c r="C118" s="7"/>
      <c r="D118" s="7"/>
      <c r="E118" s="7"/>
      <c r="F118" s="7"/>
      <c r="G118" s="7"/>
      <c r="H118" s="7"/>
      <c r="I118" s="7"/>
      <c r="J118" s="7"/>
      <c r="K118" s="7"/>
      <c r="L118" s="7"/>
      <c r="M118" s="7"/>
      <c r="N118" s="7"/>
      <c r="O118" s="7"/>
      <c r="P118" s="7"/>
      <c r="Q118" s="7"/>
      <c r="R118" s="7"/>
      <c r="S118" s="7"/>
      <c r="T118" s="7"/>
      <c r="U118" s="7"/>
      <c r="V118" s="7"/>
      <c r="W118" s="7"/>
      <c r="X118" s="7"/>
    </row>
    <row r="119" spans="2:24" ht="15" customHeight="1" x14ac:dyDescent="0.25">
      <c r="B119" s="7"/>
      <c r="C119" s="7"/>
      <c r="D119" s="7"/>
      <c r="E119" s="7"/>
      <c r="F119" s="7"/>
      <c r="G119" s="7"/>
      <c r="H119" s="7"/>
      <c r="I119" s="7"/>
      <c r="J119" s="7"/>
      <c r="K119" s="7"/>
      <c r="L119" s="7"/>
      <c r="M119" s="7"/>
      <c r="N119" s="7"/>
      <c r="O119" s="7"/>
      <c r="P119" s="7"/>
      <c r="Q119" s="7"/>
      <c r="R119" s="7"/>
      <c r="S119" s="7"/>
      <c r="T119" s="7"/>
      <c r="U119" s="7"/>
      <c r="V119" s="7"/>
      <c r="W119" s="7"/>
      <c r="X119" s="7"/>
    </row>
    <row r="120" spans="2:24" ht="15" customHeight="1" x14ac:dyDescent="0.25">
      <c r="B120" s="7"/>
      <c r="C120" s="7"/>
      <c r="D120" s="7"/>
      <c r="E120" s="7"/>
      <c r="F120" s="7"/>
      <c r="G120" s="7"/>
      <c r="H120" s="7"/>
      <c r="I120" s="7"/>
      <c r="J120" s="7"/>
      <c r="K120" s="7"/>
      <c r="L120" s="7"/>
      <c r="M120" s="7"/>
      <c r="N120" s="7"/>
      <c r="O120" s="7"/>
      <c r="P120" s="7"/>
      <c r="Q120" s="7"/>
      <c r="R120" s="7"/>
      <c r="S120" s="7"/>
      <c r="T120" s="7"/>
      <c r="U120" s="7"/>
      <c r="V120" s="7"/>
      <c r="W120" s="7"/>
      <c r="X120" s="7"/>
    </row>
    <row r="121" spans="2:24" ht="15" customHeight="1" x14ac:dyDescent="0.25">
      <c r="B121" s="7"/>
      <c r="C121" s="7"/>
      <c r="D121" s="7"/>
      <c r="E121" s="7"/>
      <c r="F121" s="7"/>
      <c r="G121" s="7"/>
      <c r="H121" s="7"/>
      <c r="I121" s="7"/>
      <c r="J121" s="7"/>
      <c r="K121" s="7"/>
      <c r="L121" s="7"/>
      <c r="M121" s="7"/>
      <c r="N121" s="7"/>
      <c r="O121" s="7"/>
      <c r="P121" s="7"/>
      <c r="Q121" s="7"/>
      <c r="R121" s="7"/>
      <c r="S121" s="7"/>
      <c r="T121" s="7"/>
      <c r="U121" s="7"/>
      <c r="V121" s="7"/>
      <c r="W121" s="7"/>
      <c r="X121" s="7"/>
    </row>
    <row r="122" spans="2:24" ht="15" customHeight="1" x14ac:dyDescent="0.25">
      <c r="B122" s="7"/>
      <c r="C122" s="7"/>
      <c r="D122" s="7"/>
      <c r="E122" s="7"/>
      <c r="F122" s="7"/>
      <c r="G122" s="7"/>
      <c r="H122" s="7"/>
      <c r="I122" s="7"/>
      <c r="J122" s="7"/>
      <c r="K122" s="7"/>
      <c r="L122" s="7"/>
      <c r="M122" s="7"/>
      <c r="N122" s="7"/>
      <c r="O122" s="7"/>
      <c r="P122" s="7"/>
      <c r="Q122" s="7"/>
      <c r="R122" s="7"/>
      <c r="S122" s="7"/>
      <c r="T122" s="7"/>
      <c r="U122" s="7"/>
      <c r="V122" s="7"/>
      <c r="W122" s="7"/>
      <c r="X122" s="7"/>
    </row>
    <row r="123" spans="2:24" ht="15" customHeight="1" x14ac:dyDescent="0.25">
      <c r="B123" s="7"/>
      <c r="C123" s="7"/>
      <c r="D123" s="7"/>
      <c r="E123" s="7"/>
      <c r="F123" s="7"/>
      <c r="G123" s="7"/>
      <c r="H123" s="7"/>
      <c r="I123" s="7"/>
      <c r="J123" s="7"/>
      <c r="K123" s="7"/>
      <c r="L123" s="7"/>
      <c r="M123" s="7"/>
      <c r="N123" s="7"/>
      <c r="O123" s="7"/>
      <c r="P123" s="7"/>
      <c r="Q123" s="7"/>
      <c r="R123" s="7"/>
      <c r="S123" s="7"/>
      <c r="T123" s="7"/>
      <c r="U123" s="7"/>
      <c r="V123" s="7"/>
      <c r="W123" s="7"/>
      <c r="X123" s="7"/>
    </row>
    <row r="124" spans="2:24" ht="15" customHeight="1" x14ac:dyDescent="0.25">
      <c r="B124" s="7"/>
      <c r="C124" s="7"/>
      <c r="D124" s="7"/>
      <c r="E124" s="7"/>
      <c r="F124" s="7"/>
      <c r="G124" s="7"/>
      <c r="H124" s="7"/>
      <c r="I124" s="7"/>
      <c r="J124" s="7"/>
      <c r="K124" s="7"/>
      <c r="L124" s="7"/>
      <c r="M124" s="7"/>
      <c r="N124" s="7"/>
      <c r="O124" s="7"/>
      <c r="P124" s="7"/>
      <c r="Q124" s="7"/>
      <c r="R124" s="7"/>
      <c r="S124" s="7"/>
      <c r="T124" s="7"/>
      <c r="U124" s="7"/>
      <c r="V124" s="7"/>
      <c r="W124" s="7"/>
      <c r="X124" s="7"/>
    </row>
    <row r="125" spans="2:24" ht="15" customHeight="1" x14ac:dyDescent="0.25">
      <c r="B125" s="7"/>
      <c r="C125" s="7"/>
      <c r="D125" s="7"/>
      <c r="E125" s="7"/>
      <c r="F125" s="7"/>
      <c r="G125" s="7"/>
      <c r="H125" s="7"/>
      <c r="I125" s="7"/>
      <c r="J125" s="7"/>
      <c r="K125" s="7"/>
      <c r="L125" s="7"/>
      <c r="M125" s="7"/>
      <c r="N125" s="7"/>
      <c r="O125" s="7"/>
      <c r="P125" s="7"/>
      <c r="Q125" s="7"/>
      <c r="R125" s="7"/>
      <c r="S125" s="7"/>
      <c r="T125" s="7"/>
      <c r="U125" s="7"/>
      <c r="V125" s="7"/>
      <c r="W125" s="7"/>
      <c r="X125" s="7"/>
    </row>
    <row r="126" spans="2:24" ht="15" customHeight="1" x14ac:dyDescent="0.25">
      <c r="B126" s="7"/>
      <c r="C126" s="7"/>
      <c r="D126" s="7"/>
      <c r="E126" s="7"/>
      <c r="F126" s="7"/>
      <c r="G126" s="7"/>
      <c r="H126" s="7"/>
      <c r="I126" s="7"/>
      <c r="J126" s="7"/>
      <c r="K126" s="7"/>
      <c r="L126" s="7"/>
      <c r="M126" s="7"/>
      <c r="N126" s="7"/>
      <c r="O126" s="7"/>
      <c r="P126" s="7"/>
      <c r="Q126" s="7"/>
      <c r="R126" s="7"/>
      <c r="S126" s="7"/>
      <c r="T126" s="7"/>
      <c r="U126" s="7"/>
      <c r="V126" s="7"/>
      <c r="W126" s="7"/>
      <c r="X126" s="7"/>
    </row>
    <row r="127" spans="2:24" ht="15" customHeight="1" x14ac:dyDescent="0.25">
      <c r="B127" s="7"/>
      <c r="C127" s="7"/>
      <c r="D127" s="7"/>
      <c r="E127" s="7"/>
      <c r="F127" s="7"/>
      <c r="G127" s="7"/>
      <c r="H127" s="7"/>
      <c r="I127" s="7"/>
      <c r="J127" s="7"/>
      <c r="K127" s="7"/>
      <c r="L127" s="7"/>
      <c r="M127" s="7"/>
      <c r="N127" s="7"/>
      <c r="O127" s="7"/>
      <c r="P127" s="7"/>
      <c r="Q127" s="7"/>
      <c r="R127" s="7"/>
      <c r="S127" s="7"/>
      <c r="T127" s="7"/>
      <c r="U127" s="7"/>
      <c r="V127" s="7"/>
      <c r="W127" s="7"/>
      <c r="X127" s="7"/>
    </row>
    <row r="128" spans="2:24" ht="15" customHeight="1" x14ac:dyDescent="0.25">
      <c r="B128" s="7"/>
      <c r="C128" s="7"/>
      <c r="D128" s="7"/>
      <c r="E128" s="7"/>
      <c r="F128" s="7"/>
      <c r="G128" s="7"/>
      <c r="H128" s="7"/>
      <c r="I128" s="7"/>
      <c r="J128" s="7"/>
      <c r="K128" s="7"/>
      <c r="L128" s="7"/>
      <c r="M128" s="7"/>
      <c r="N128" s="7"/>
      <c r="O128" s="7"/>
      <c r="P128" s="7"/>
      <c r="Q128" s="7"/>
      <c r="R128" s="7"/>
      <c r="S128" s="7"/>
      <c r="T128" s="7"/>
      <c r="U128" s="7"/>
      <c r="V128" s="7"/>
      <c r="W128" s="7"/>
      <c r="X128" s="7"/>
    </row>
    <row r="129" spans="2:24" ht="15" customHeight="1" x14ac:dyDescent="0.25">
      <c r="B129" s="7"/>
      <c r="C129" s="7"/>
      <c r="D129" s="7"/>
      <c r="E129" s="7"/>
      <c r="F129" s="7"/>
      <c r="G129" s="7"/>
      <c r="H129" s="7"/>
      <c r="I129" s="7"/>
      <c r="J129" s="7"/>
      <c r="K129" s="7"/>
      <c r="L129" s="7"/>
      <c r="M129" s="7"/>
      <c r="N129" s="7"/>
      <c r="O129" s="7"/>
      <c r="P129" s="7"/>
      <c r="Q129" s="7"/>
      <c r="R129" s="7"/>
      <c r="S129" s="7"/>
      <c r="T129" s="7"/>
      <c r="U129" s="7"/>
      <c r="V129" s="7"/>
      <c r="W129" s="7"/>
      <c r="X129" s="7"/>
    </row>
    <row r="130" spans="2:24" ht="15" customHeight="1" x14ac:dyDescent="0.25">
      <c r="B130" s="7"/>
      <c r="C130" s="7"/>
      <c r="D130" s="7"/>
      <c r="E130" s="7"/>
      <c r="F130" s="7"/>
      <c r="G130" s="7"/>
      <c r="H130" s="7"/>
      <c r="I130" s="7"/>
      <c r="J130" s="7"/>
      <c r="K130" s="7"/>
      <c r="L130" s="7"/>
      <c r="M130" s="7"/>
      <c r="N130" s="7"/>
      <c r="O130" s="7"/>
      <c r="P130" s="7"/>
      <c r="Q130" s="7"/>
      <c r="R130" s="7"/>
      <c r="S130" s="7"/>
      <c r="T130" s="7"/>
      <c r="U130" s="7"/>
      <c r="V130" s="7"/>
      <c r="W130" s="7"/>
      <c r="X130" s="7"/>
    </row>
    <row r="131" spans="2:24" ht="15" customHeight="1" x14ac:dyDescent="0.25">
      <c r="B131" s="7"/>
      <c r="C131" s="7"/>
      <c r="D131" s="7"/>
      <c r="E131" s="7"/>
      <c r="F131" s="7"/>
      <c r="G131" s="7"/>
      <c r="H131" s="7"/>
      <c r="I131" s="7"/>
      <c r="J131" s="7"/>
      <c r="K131" s="7"/>
      <c r="L131" s="7"/>
      <c r="M131" s="7"/>
      <c r="N131" s="7"/>
      <c r="O131" s="7"/>
      <c r="P131" s="7"/>
      <c r="Q131" s="7"/>
      <c r="R131" s="7"/>
      <c r="S131" s="7"/>
      <c r="T131" s="7"/>
      <c r="U131" s="7"/>
      <c r="V131" s="7"/>
      <c r="W131" s="7"/>
      <c r="X131" s="7"/>
    </row>
    <row r="132" spans="2:24" ht="15" customHeight="1" x14ac:dyDescent="0.25">
      <c r="B132" s="7"/>
      <c r="C132" s="7"/>
      <c r="D132" s="7"/>
      <c r="E132" s="7"/>
      <c r="F132" s="7"/>
      <c r="G132" s="7"/>
      <c r="H132" s="7"/>
      <c r="I132" s="7"/>
      <c r="J132" s="7"/>
      <c r="K132" s="7"/>
      <c r="L132" s="7"/>
      <c r="M132" s="7"/>
      <c r="N132" s="7"/>
      <c r="O132" s="7"/>
      <c r="P132" s="7"/>
      <c r="Q132" s="7"/>
      <c r="R132" s="7"/>
      <c r="S132" s="7"/>
      <c r="T132" s="7"/>
      <c r="U132" s="7"/>
      <c r="V132" s="7"/>
      <c r="W132" s="7"/>
      <c r="X132" s="7"/>
    </row>
    <row r="133" spans="2:24" ht="15" customHeight="1" x14ac:dyDescent="0.25">
      <c r="B133" s="7"/>
      <c r="C133" s="7"/>
      <c r="D133" s="7"/>
      <c r="E133" s="7"/>
      <c r="F133" s="7"/>
      <c r="G133" s="7"/>
      <c r="H133" s="7"/>
      <c r="I133" s="7"/>
      <c r="J133" s="7"/>
      <c r="K133" s="7"/>
      <c r="L133" s="7"/>
      <c r="M133" s="7"/>
      <c r="N133" s="7"/>
      <c r="O133" s="7"/>
      <c r="P133" s="7"/>
      <c r="Q133" s="7"/>
      <c r="R133" s="7"/>
      <c r="S133" s="7"/>
      <c r="T133" s="7"/>
      <c r="U133" s="7"/>
      <c r="V133" s="7"/>
      <c r="W133" s="7"/>
      <c r="X133" s="7"/>
    </row>
    <row r="134" spans="2:24" ht="15" customHeight="1" x14ac:dyDescent="0.25">
      <c r="B134" s="7"/>
      <c r="C134" s="7"/>
      <c r="D134" s="7"/>
      <c r="E134" s="7"/>
      <c r="F134" s="7"/>
      <c r="G134" s="7"/>
      <c r="H134" s="7"/>
      <c r="I134" s="7"/>
      <c r="J134" s="7"/>
      <c r="K134" s="7"/>
      <c r="L134" s="7"/>
      <c r="M134" s="7"/>
      <c r="N134" s="7"/>
      <c r="O134" s="7"/>
      <c r="P134" s="7"/>
      <c r="Q134" s="7"/>
      <c r="R134" s="7"/>
      <c r="S134" s="7"/>
      <c r="T134" s="7"/>
      <c r="U134" s="7"/>
      <c r="V134" s="7"/>
      <c r="W134" s="7"/>
      <c r="X134" s="7"/>
    </row>
    <row r="135" spans="2:24" ht="15" customHeight="1" x14ac:dyDescent="0.25">
      <c r="B135" s="7"/>
      <c r="C135" s="7"/>
      <c r="D135" s="7"/>
      <c r="E135" s="7"/>
      <c r="F135" s="7"/>
      <c r="G135" s="7"/>
      <c r="H135" s="7"/>
      <c r="I135" s="7"/>
      <c r="J135" s="7"/>
      <c r="K135" s="7"/>
      <c r="L135" s="7"/>
      <c r="M135" s="7"/>
      <c r="N135" s="7"/>
      <c r="O135" s="7"/>
      <c r="P135" s="7"/>
      <c r="Q135" s="7"/>
      <c r="R135" s="7"/>
      <c r="S135" s="7"/>
      <c r="T135" s="7"/>
      <c r="U135" s="7"/>
      <c r="V135" s="7"/>
      <c r="W135" s="7"/>
      <c r="X135" s="7"/>
    </row>
    <row r="136" spans="2:24" ht="15" customHeight="1" x14ac:dyDescent="0.25">
      <c r="B136" s="7"/>
      <c r="C136" s="7"/>
      <c r="D136" s="7"/>
      <c r="E136" s="7"/>
      <c r="F136" s="7"/>
      <c r="G136" s="7"/>
      <c r="H136" s="7"/>
      <c r="I136" s="7"/>
      <c r="J136" s="7"/>
      <c r="K136" s="7"/>
      <c r="L136" s="7"/>
      <c r="M136" s="7"/>
      <c r="N136" s="7"/>
      <c r="O136" s="7"/>
      <c r="P136" s="7"/>
      <c r="Q136" s="7"/>
      <c r="R136" s="7"/>
      <c r="S136" s="7"/>
      <c r="T136" s="7"/>
      <c r="U136" s="7"/>
      <c r="V136" s="7"/>
      <c r="W136" s="7"/>
      <c r="X136" s="7"/>
    </row>
    <row r="137" spans="2:24" ht="15" customHeight="1" x14ac:dyDescent="0.25">
      <c r="B137" s="7"/>
      <c r="C137" s="7"/>
      <c r="D137" s="7"/>
      <c r="E137" s="7"/>
      <c r="F137" s="7"/>
      <c r="G137" s="7"/>
      <c r="H137" s="7"/>
      <c r="I137" s="7"/>
      <c r="J137" s="7"/>
      <c r="K137" s="7"/>
      <c r="L137" s="7"/>
      <c r="M137" s="7"/>
      <c r="N137" s="7"/>
      <c r="O137" s="7"/>
      <c r="P137" s="7"/>
      <c r="Q137" s="7"/>
      <c r="R137" s="7"/>
      <c r="S137" s="7"/>
      <c r="T137" s="7"/>
      <c r="U137" s="7"/>
      <c r="V137" s="7"/>
      <c r="W137" s="7"/>
      <c r="X137" s="7"/>
    </row>
    <row r="138" spans="2:24" ht="15" customHeight="1" x14ac:dyDescent="0.25">
      <c r="B138" s="7"/>
      <c r="C138" s="7"/>
      <c r="D138" s="7"/>
      <c r="E138" s="7"/>
      <c r="F138" s="7"/>
      <c r="G138" s="7"/>
      <c r="H138" s="7"/>
      <c r="I138" s="7"/>
      <c r="J138" s="7"/>
      <c r="K138" s="7"/>
      <c r="L138" s="7"/>
      <c r="M138" s="7"/>
      <c r="N138" s="7"/>
      <c r="O138" s="7"/>
      <c r="P138" s="7"/>
      <c r="Q138" s="7"/>
      <c r="R138" s="7"/>
      <c r="S138" s="7"/>
      <c r="T138" s="7"/>
      <c r="U138" s="7"/>
      <c r="V138" s="7"/>
      <c r="W138" s="7"/>
      <c r="X138" s="7"/>
    </row>
    <row r="139" spans="2:24" ht="15" customHeight="1" x14ac:dyDescent="0.25">
      <c r="B139" s="7"/>
      <c r="C139" s="7"/>
      <c r="D139" s="7"/>
      <c r="E139" s="7"/>
      <c r="F139" s="7"/>
      <c r="G139" s="7"/>
      <c r="H139" s="7"/>
      <c r="I139" s="7"/>
      <c r="J139" s="7"/>
      <c r="K139" s="7"/>
      <c r="L139" s="7"/>
      <c r="M139" s="7"/>
      <c r="N139" s="7"/>
      <c r="O139" s="7"/>
      <c r="P139" s="7"/>
      <c r="Q139" s="7"/>
      <c r="R139" s="7"/>
      <c r="S139" s="7"/>
      <c r="T139" s="7"/>
      <c r="U139" s="7"/>
      <c r="V139" s="7"/>
      <c r="W139" s="7"/>
      <c r="X139" s="7"/>
    </row>
    <row r="140" spans="2:24" ht="15" customHeight="1" x14ac:dyDescent="0.25">
      <c r="B140" s="7"/>
      <c r="C140" s="7"/>
      <c r="D140" s="7"/>
      <c r="E140" s="7"/>
      <c r="F140" s="7"/>
      <c r="G140" s="7"/>
      <c r="H140" s="7"/>
      <c r="I140" s="7"/>
      <c r="J140" s="7"/>
      <c r="K140" s="7"/>
      <c r="L140" s="7"/>
      <c r="M140" s="7"/>
      <c r="N140" s="7"/>
      <c r="O140" s="7"/>
      <c r="P140" s="7"/>
      <c r="Q140" s="7"/>
      <c r="R140" s="7"/>
      <c r="S140" s="7"/>
      <c r="T140" s="7"/>
      <c r="U140" s="7"/>
      <c r="V140" s="7"/>
      <c r="W140" s="7"/>
      <c r="X140" s="7"/>
    </row>
    <row r="141" spans="2:24" ht="15" customHeight="1" x14ac:dyDescent="0.25">
      <c r="B141" s="7"/>
      <c r="C141" s="7"/>
      <c r="D141" s="7"/>
      <c r="E141" s="7"/>
      <c r="F141" s="7"/>
      <c r="G141" s="7"/>
      <c r="H141" s="7"/>
      <c r="I141" s="7"/>
      <c r="J141" s="7"/>
      <c r="K141" s="7"/>
      <c r="L141" s="7"/>
      <c r="M141" s="7"/>
      <c r="N141" s="7"/>
      <c r="O141" s="7"/>
      <c r="P141" s="7"/>
      <c r="Q141" s="7"/>
      <c r="R141" s="7"/>
      <c r="S141" s="7"/>
      <c r="T141" s="7"/>
      <c r="U141" s="7"/>
      <c r="V141" s="7"/>
      <c r="W141" s="7"/>
      <c r="X141" s="7"/>
    </row>
    <row r="142" spans="2:24" ht="15" customHeight="1" x14ac:dyDescent="0.25">
      <c r="B142" s="7"/>
      <c r="C142" s="7"/>
      <c r="D142" s="7"/>
      <c r="E142" s="7"/>
      <c r="F142" s="7"/>
      <c r="G142" s="7"/>
      <c r="H142" s="7"/>
      <c r="I142" s="7"/>
      <c r="J142" s="7"/>
      <c r="K142" s="7"/>
      <c r="L142" s="7"/>
      <c r="M142" s="7"/>
      <c r="N142" s="7"/>
      <c r="O142" s="7"/>
      <c r="P142" s="7"/>
      <c r="Q142" s="7"/>
      <c r="R142" s="7"/>
      <c r="S142" s="7"/>
      <c r="T142" s="7"/>
      <c r="U142" s="7"/>
      <c r="V142" s="7"/>
      <c r="W142" s="7"/>
      <c r="X142" s="7"/>
    </row>
    <row r="143" spans="2:24" ht="15" customHeight="1" x14ac:dyDescent="0.25">
      <c r="B143" s="7"/>
      <c r="C143" s="7"/>
      <c r="D143" s="7"/>
      <c r="E143" s="7"/>
      <c r="F143" s="7"/>
      <c r="G143" s="7"/>
      <c r="H143" s="7"/>
      <c r="I143" s="7"/>
      <c r="J143" s="7"/>
      <c r="K143" s="7"/>
      <c r="L143" s="7"/>
      <c r="M143" s="7"/>
      <c r="N143" s="7"/>
      <c r="O143" s="7"/>
      <c r="P143" s="7"/>
      <c r="Q143" s="7"/>
      <c r="R143" s="7"/>
      <c r="S143" s="7"/>
      <c r="T143" s="7"/>
      <c r="U143" s="7"/>
      <c r="V143" s="7"/>
      <c r="W143" s="7"/>
      <c r="X143" s="7"/>
    </row>
    <row r="144" spans="2:24" ht="15" customHeight="1" x14ac:dyDescent="0.25">
      <c r="B144" s="7"/>
      <c r="C144" s="7"/>
      <c r="D144" s="7"/>
      <c r="E144" s="7"/>
      <c r="F144" s="7"/>
      <c r="G144" s="7"/>
      <c r="H144" s="7"/>
      <c r="I144" s="7"/>
      <c r="J144" s="7"/>
      <c r="K144" s="7"/>
      <c r="L144" s="7"/>
      <c r="M144" s="7"/>
      <c r="N144" s="7"/>
      <c r="O144" s="7"/>
      <c r="P144" s="7"/>
      <c r="Q144" s="7"/>
      <c r="R144" s="7"/>
      <c r="S144" s="7"/>
      <c r="T144" s="7"/>
      <c r="U144" s="7"/>
      <c r="V144" s="7"/>
      <c r="W144" s="7"/>
      <c r="X144" s="7"/>
    </row>
    <row r="145" spans="2:24" ht="15" customHeight="1" x14ac:dyDescent="0.25">
      <c r="B145" s="7"/>
      <c r="C145" s="7"/>
      <c r="D145" s="7"/>
      <c r="E145" s="7"/>
      <c r="F145" s="7"/>
      <c r="G145" s="7"/>
      <c r="H145" s="7"/>
      <c r="I145" s="7"/>
      <c r="J145" s="7"/>
      <c r="K145" s="7"/>
      <c r="L145" s="7"/>
      <c r="M145" s="7"/>
      <c r="N145" s="7"/>
      <c r="O145" s="7"/>
      <c r="P145" s="7"/>
      <c r="Q145" s="7"/>
      <c r="R145" s="7"/>
      <c r="S145" s="7"/>
      <c r="T145" s="7"/>
      <c r="U145" s="7"/>
      <c r="V145" s="7"/>
      <c r="W145" s="7"/>
      <c r="X145" s="7"/>
    </row>
    <row r="146" spans="2:24" ht="15" customHeight="1" x14ac:dyDescent="0.25">
      <c r="B146" s="7"/>
      <c r="C146" s="7"/>
      <c r="D146" s="7"/>
      <c r="E146" s="7"/>
      <c r="F146" s="7"/>
      <c r="G146" s="7"/>
      <c r="H146" s="7"/>
      <c r="I146" s="7"/>
      <c r="J146" s="7"/>
      <c r="K146" s="7"/>
      <c r="L146" s="7"/>
      <c r="M146" s="7"/>
      <c r="N146" s="7"/>
      <c r="O146" s="7"/>
      <c r="P146" s="7"/>
      <c r="Q146" s="7"/>
      <c r="R146" s="7"/>
      <c r="S146" s="7"/>
      <c r="T146" s="7"/>
      <c r="U146" s="7"/>
      <c r="V146" s="7"/>
      <c r="W146" s="7"/>
      <c r="X146" s="7"/>
    </row>
    <row r="147" spans="2:24" ht="15" customHeight="1" x14ac:dyDescent="0.25">
      <c r="B147" s="7"/>
      <c r="C147" s="7"/>
      <c r="D147" s="7"/>
      <c r="E147" s="7"/>
      <c r="F147" s="7"/>
      <c r="G147" s="7"/>
      <c r="H147" s="7"/>
      <c r="I147" s="7"/>
      <c r="J147" s="7"/>
      <c r="K147" s="7"/>
      <c r="L147" s="7"/>
      <c r="M147" s="7"/>
      <c r="N147" s="7"/>
      <c r="O147" s="7"/>
      <c r="P147" s="7"/>
      <c r="Q147" s="7"/>
      <c r="R147" s="7"/>
      <c r="S147" s="7"/>
      <c r="T147" s="7"/>
      <c r="U147" s="7"/>
      <c r="V147" s="7"/>
      <c r="W147" s="7"/>
      <c r="X147" s="7"/>
    </row>
    <row r="148" spans="2:24" ht="15" customHeight="1" x14ac:dyDescent="0.25">
      <c r="B148" s="7"/>
      <c r="C148" s="7"/>
      <c r="D148" s="7"/>
      <c r="E148" s="7"/>
      <c r="F148" s="7"/>
      <c r="G148" s="7"/>
      <c r="H148" s="7"/>
      <c r="I148" s="7"/>
      <c r="J148" s="7"/>
      <c r="K148" s="7"/>
      <c r="L148" s="7"/>
      <c r="M148" s="7"/>
      <c r="N148" s="7"/>
      <c r="O148" s="7"/>
      <c r="P148" s="7"/>
      <c r="Q148" s="7"/>
      <c r="R148" s="7"/>
      <c r="S148" s="7"/>
      <c r="T148" s="7"/>
      <c r="U148" s="7"/>
      <c r="V148" s="7"/>
      <c r="W148" s="7"/>
      <c r="X148" s="7"/>
    </row>
    <row r="149" spans="2:24" ht="15" customHeight="1" x14ac:dyDescent="0.25">
      <c r="B149" s="7"/>
      <c r="C149" s="7"/>
      <c r="D149" s="7"/>
      <c r="E149" s="7"/>
      <c r="F149" s="7"/>
      <c r="G149" s="7"/>
      <c r="H149" s="7"/>
      <c r="I149" s="7"/>
      <c r="J149" s="7"/>
      <c r="K149" s="7"/>
      <c r="L149" s="7"/>
      <c r="M149" s="7"/>
      <c r="N149" s="7"/>
      <c r="O149" s="7"/>
      <c r="P149" s="7"/>
      <c r="Q149" s="7"/>
      <c r="R149" s="7"/>
      <c r="S149" s="7"/>
      <c r="T149" s="7"/>
      <c r="U149" s="7"/>
      <c r="V149" s="7"/>
      <c r="W149" s="7"/>
      <c r="X149" s="7"/>
    </row>
    <row r="150" spans="2:24" ht="15" customHeight="1" x14ac:dyDescent="0.25">
      <c r="B150" s="7"/>
      <c r="C150" s="7"/>
      <c r="D150" s="7"/>
      <c r="E150" s="7"/>
      <c r="F150" s="7"/>
      <c r="G150" s="7"/>
      <c r="H150" s="7"/>
      <c r="I150" s="7"/>
      <c r="J150" s="7"/>
      <c r="K150" s="7"/>
      <c r="L150" s="7"/>
      <c r="M150" s="7"/>
      <c r="N150" s="7"/>
      <c r="O150" s="7"/>
      <c r="P150" s="7"/>
      <c r="Q150" s="7"/>
      <c r="R150" s="7"/>
      <c r="S150" s="7"/>
      <c r="T150" s="7"/>
      <c r="U150" s="7"/>
      <c r="V150" s="7"/>
      <c r="W150" s="7"/>
      <c r="X150" s="7"/>
    </row>
    <row r="151" spans="2:24" ht="15" customHeight="1" x14ac:dyDescent="0.25">
      <c r="B151" s="7"/>
      <c r="C151" s="7"/>
      <c r="D151" s="7"/>
      <c r="E151" s="7"/>
      <c r="F151" s="7"/>
      <c r="G151" s="7"/>
      <c r="H151" s="7"/>
      <c r="I151" s="7"/>
      <c r="J151" s="7"/>
      <c r="K151" s="7"/>
      <c r="L151" s="7"/>
      <c r="M151" s="7"/>
      <c r="N151" s="7"/>
      <c r="O151" s="7"/>
      <c r="P151" s="7"/>
      <c r="Q151" s="7"/>
      <c r="R151" s="7"/>
      <c r="S151" s="7"/>
      <c r="T151" s="7"/>
      <c r="U151" s="7"/>
      <c r="V151" s="7"/>
      <c r="W151" s="7"/>
      <c r="X151" s="7"/>
    </row>
    <row r="154" spans="2:24" ht="15" customHeight="1" x14ac:dyDescent="0.3">
      <c r="B154" s="6" t="s">
        <v>786</v>
      </c>
      <c r="C154" s="7"/>
      <c r="D154" s="7"/>
      <c r="E154" s="7"/>
      <c r="F154" s="7"/>
      <c r="G154" s="7"/>
      <c r="H154" s="7"/>
      <c r="I154" s="7"/>
      <c r="J154" s="7"/>
      <c r="K154" s="7"/>
      <c r="L154" s="7"/>
      <c r="M154" s="7"/>
      <c r="N154" s="7"/>
      <c r="O154" s="7"/>
      <c r="P154" s="7"/>
      <c r="Q154" s="7"/>
      <c r="R154" s="7"/>
      <c r="S154" s="7"/>
      <c r="T154" s="7"/>
      <c r="U154" s="7"/>
      <c r="V154" s="7"/>
      <c r="W154" s="7"/>
      <c r="X154" s="7"/>
    </row>
    <row r="155" spans="2:24" ht="15" customHeight="1" x14ac:dyDescent="0.25">
      <c r="B155" s="8" t="s">
        <v>776</v>
      </c>
      <c r="C155" s="7"/>
      <c r="D155" s="7"/>
      <c r="E155" s="7"/>
      <c r="F155" s="7"/>
      <c r="G155" s="7"/>
      <c r="H155" s="7"/>
      <c r="I155" s="7"/>
      <c r="J155" s="7"/>
      <c r="K155" s="7"/>
      <c r="L155" s="7"/>
      <c r="M155" s="7"/>
      <c r="N155" s="7"/>
      <c r="O155" s="7"/>
      <c r="P155" s="7"/>
      <c r="Q155" s="7"/>
      <c r="R155" s="7"/>
      <c r="S155" s="7"/>
      <c r="T155" s="7"/>
      <c r="U155" s="7"/>
      <c r="V155" s="7"/>
      <c r="W155" s="7"/>
      <c r="X155" s="7"/>
    </row>
    <row r="156" spans="2:24" ht="15" customHeight="1" x14ac:dyDescent="0.25">
      <c r="B156" s="8" t="s">
        <v>777</v>
      </c>
      <c r="C156" s="7"/>
      <c r="D156" s="7"/>
      <c r="E156" s="7"/>
      <c r="F156" s="7"/>
      <c r="G156" s="7"/>
      <c r="H156" s="7"/>
      <c r="I156" s="7"/>
      <c r="J156" s="7"/>
      <c r="K156" s="7"/>
      <c r="L156" s="7"/>
      <c r="M156" s="7"/>
      <c r="N156" s="7"/>
      <c r="O156" s="7"/>
      <c r="P156" s="7"/>
      <c r="Q156" s="7"/>
      <c r="R156" s="7"/>
      <c r="S156" s="7"/>
      <c r="T156" s="7"/>
      <c r="U156" s="7"/>
      <c r="V156" s="7"/>
      <c r="W156" s="7"/>
      <c r="X156" s="7"/>
    </row>
    <row r="157" spans="2:24" ht="15" customHeight="1" x14ac:dyDescent="0.25">
      <c r="B157" s="8" t="s">
        <v>778</v>
      </c>
      <c r="C157" s="7"/>
      <c r="D157" s="7"/>
      <c r="E157" s="7"/>
      <c r="F157" s="7"/>
      <c r="G157" s="7"/>
      <c r="H157" s="7"/>
      <c r="I157" s="7"/>
      <c r="J157" s="7"/>
      <c r="K157" s="7"/>
      <c r="L157" s="7"/>
      <c r="M157" s="7"/>
      <c r="N157" s="7"/>
      <c r="O157" s="7"/>
      <c r="P157" s="7"/>
      <c r="Q157" s="7"/>
      <c r="R157" s="7"/>
      <c r="S157" s="7"/>
      <c r="T157" s="7"/>
      <c r="U157" s="7"/>
      <c r="V157" s="7"/>
      <c r="W157" s="7"/>
      <c r="X157" s="7"/>
    </row>
    <row r="158" spans="2:24" ht="15" customHeight="1" x14ac:dyDescent="0.25">
      <c r="B158" s="8" t="s">
        <v>779</v>
      </c>
      <c r="C158" s="7"/>
      <c r="D158" s="7"/>
      <c r="E158" s="7"/>
      <c r="F158" s="7"/>
      <c r="G158" s="7"/>
      <c r="H158" s="7"/>
      <c r="I158" s="7"/>
      <c r="J158" s="7"/>
      <c r="K158" s="7"/>
      <c r="L158" s="7"/>
      <c r="M158" s="7"/>
      <c r="N158" s="7"/>
      <c r="O158" s="7"/>
      <c r="P158" s="7"/>
      <c r="Q158" s="7"/>
      <c r="R158" s="7"/>
      <c r="S158" s="7"/>
      <c r="T158" s="7"/>
      <c r="U158" s="7"/>
      <c r="V158" s="7"/>
      <c r="W158" s="7"/>
      <c r="X158" s="7"/>
    </row>
    <row r="159" spans="2:24" ht="15" customHeight="1" x14ac:dyDescent="0.25">
      <c r="B159" s="8" t="s">
        <v>780</v>
      </c>
      <c r="C159" s="7"/>
      <c r="D159" s="7"/>
      <c r="E159" s="7"/>
      <c r="F159" s="7"/>
      <c r="G159" s="7"/>
      <c r="H159" s="7"/>
      <c r="I159" s="7"/>
      <c r="J159" s="7"/>
      <c r="K159" s="7"/>
      <c r="L159" s="7"/>
      <c r="M159" s="7"/>
      <c r="N159" s="7"/>
      <c r="O159" s="7"/>
      <c r="P159" s="7"/>
      <c r="Q159" s="7"/>
      <c r="R159" s="7"/>
      <c r="S159" s="7"/>
      <c r="T159" s="7"/>
      <c r="U159" s="7"/>
      <c r="V159" s="7"/>
      <c r="W159" s="7"/>
      <c r="X159" s="7"/>
    </row>
    <row r="160" spans="2:24" ht="15" customHeight="1" x14ac:dyDescent="0.25">
      <c r="B160" s="8" t="s">
        <v>781</v>
      </c>
      <c r="C160" s="7"/>
      <c r="D160" s="7"/>
      <c r="E160" s="7"/>
      <c r="F160" s="7"/>
      <c r="G160" s="7"/>
      <c r="H160" s="7"/>
      <c r="I160" s="7"/>
      <c r="J160" s="7"/>
      <c r="K160" s="7"/>
      <c r="L160" s="7"/>
      <c r="M160" s="7"/>
      <c r="N160" s="7"/>
      <c r="O160" s="7"/>
      <c r="P160" s="7"/>
      <c r="Q160" s="7"/>
      <c r="R160" s="7"/>
      <c r="S160" s="7"/>
      <c r="T160" s="7"/>
      <c r="U160" s="7"/>
      <c r="V160" s="7"/>
      <c r="W160" s="7"/>
      <c r="X160" s="7"/>
    </row>
    <row r="161" spans="2:24" ht="15" customHeight="1" x14ac:dyDescent="0.25">
      <c r="B161" s="8" t="s">
        <v>783</v>
      </c>
      <c r="C161" s="7"/>
      <c r="D161" s="7"/>
      <c r="E161" s="7"/>
      <c r="F161" s="7"/>
      <c r="G161" s="7"/>
      <c r="H161" s="7"/>
      <c r="I161" s="7"/>
      <c r="J161" s="7"/>
      <c r="K161" s="7"/>
      <c r="L161" s="7"/>
      <c r="M161" s="7"/>
      <c r="N161" s="7"/>
      <c r="O161" s="7"/>
      <c r="P161" s="7"/>
      <c r="Q161" s="7"/>
      <c r="R161" s="7"/>
      <c r="S161" s="7"/>
      <c r="T161" s="7"/>
      <c r="U161" s="7"/>
      <c r="V161" s="7"/>
      <c r="W161" s="7"/>
      <c r="X161" s="7"/>
    </row>
    <row r="162" spans="2:24" ht="15" customHeight="1" x14ac:dyDescent="0.25">
      <c r="B162" s="8" t="s">
        <v>782</v>
      </c>
      <c r="C162" s="7"/>
      <c r="D162" s="7"/>
      <c r="E162" s="7"/>
      <c r="F162" s="7"/>
      <c r="G162" s="7"/>
      <c r="H162" s="7"/>
      <c r="I162" s="7"/>
      <c r="J162" s="7"/>
      <c r="K162" s="7"/>
      <c r="L162" s="7"/>
      <c r="M162" s="7"/>
      <c r="N162" s="7"/>
      <c r="O162" s="7"/>
      <c r="P162" s="7"/>
      <c r="Q162" s="7"/>
      <c r="R162" s="7"/>
      <c r="S162" s="7"/>
      <c r="T162" s="7"/>
      <c r="U162" s="7"/>
      <c r="V162" s="7"/>
      <c r="W162" s="7"/>
      <c r="X162" s="7"/>
    </row>
    <row r="163" spans="2:24" ht="15" customHeight="1" x14ac:dyDescent="0.25">
      <c r="B163" s="7"/>
      <c r="C163" s="7"/>
      <c r="D163" s="7"/>
      <c r="E163" s="7"/>
      <c r="F163" s="7"/>
      <c r="G163" s="7"/>
      <c r="H163" s="7"/>
      <c r="I163" s="7"/>
      <c r="J163" s="7"/>
      <c r="K163" s="7"/>
      <c r="L163" s="7"/>
      <c r="M163" s="7"/>
      <c r="N163" s="7"/>
      <c r="O163" s="7"/>
      <c r="P163" s="7"/>
      <c r="Q163" s="7"/>
      <c r="R163" s="7"/>
      <c r="S163" s="7"/>
      <c r="T163" s="7"/>
      <c r="U163" s="7"/>
      <c r="V163" s="7"/>
      <c r="W163" s="7"/>
      <c r="X163" s="7"/>
    </row>
    <row r="164" spans="2:24" ht="15" customHeight="1" x14ac:dyDescent="0.25">
      <c r="B164" s="7" t="s">
        <v>770</v>
      </c>
      <c r="C164" s="7"/>
      <c r="D164" s="7"/>
      <c r="E164" s="7"/>
      <c r="F164" s="7"/>
      <c r="G164" s="7"/>
      <c r="H164" s="7"/>
      <c r="I164" s="7"/>
      <c r="J164" s="7"/>
      <c r="K164" s="7"/>
      <c r="L164" s="7"/>
      <c r="M164" s="7"/>
      <c r="N164" s="7"/>
      <c r="O164" s="7"/>
      <c r="P164" s="7"/>
      <c r="Q164" s="7"/>
      <c r="R164" s="7"/>
      <c r="S164" s="7"/>
      <c r="T164" s="7"/>
      <c r="U164" s="7"/>
      <c r="V164" s="7"/>
      <c r="W164" s="7"/>
      <c r="X164" s="7"/>
    </row>
    <row r="165" spans="2:24" ht="15" customHeight="1" x14ac:dyDescent="0.25">
      <c r="B165" s="7"/>
      <c r="C165" s="7"/>
      <c r="D165" s="7"/>
      <c r="E165" s="7"/>
      <c r="F165" s="7"/>
      <c r="G165" s="7"/>
      <c r="H165" s="7"/>
      <c r="I165" s="7"/>
      <c r="J165" s="7"/>
      <c r="K165" s="7"/>
      <c r="L165" s="7"/>
      <c r="M165" s="7"/>
      <c r="N165" s="7"/>
      <c r="O165" s="7"/>
      <c r="P165" s="7"/>
      <c r="Q165" s="7"/>
      <c r="R165" s="7"/>
      <c r="S165" s="7"/>
      <c r="T165" s="7"/>
      <c r="U165" s="7"/>
      <c r="V165" s="7"/>
      <c r="W165" s="7"/>
      <c r="X165" s="7"/>
    </row>
    <row r="166" spans="2:24" ht="15" customHeight="1" x14ac:dyDescent="0.25">
      <c r="B166" s="7"/>
      <c r="C166" s="7"/>
      <c r="D166" s="7"/>
      <c r="E166" s="7"/>
      <c r="F166" s="7"/>
      <c r="G166" s="7"/>
      <c r="H166" s="7"/>
      <c r="I166" s="7"/>
      <c r="J166" s="7"/>
      <c r="K166" s="7"/>
      <c r="L166" s="7"/>
      <c r="M166" s="7"/>
      <c r="N166" s="7"/>
      <c r="O166" s="7"/>
      <c r="P166" s="7"/>
      <c r="Q166" s="7"/>
      <c r="R166" s="7"/>
      <c r="S166" s="7"/>
      <c r="T166" s="7"/>
      <c r="U166" s="7"/>
      <c r="V166" s="7"/>
      <c r="W166" s="7"/>
      <c r="X166" s="7"/>
    </row>
    <row r="167" spans="2:24" ht="15" customHeight="1" x14ac:dyDescent="0.25">
      <c r="B167" s="7"/>
      <c r="C167" s="7"/>
      <c r="D167" s="7"/>
      <c r="E167" s="7"/>
      <c r="F167" s="7"/>
      <c r="G167" s="7"/>
      <c r="H167" s="7"/>
      <c r="I167" s="7"/>
      <c r="J167" s="7"/>
      <c r="K167" s="7"/>
      <c r="L167" s="7"/>
      <c r="M167" s="7"/>
      <c r="N167" s="7"/>
      <c r="O167" s="7"/>
      <c r="P167" s="7"/>
      <c r="Q167" s="7"/>
      <c r="R167" s="7"/>
      <c r="S167" s="7"/>
      <c r="T167" s="7"/>
      <c r="U167" s="7"/>
      <c r="V167" s="7"/>
      <c r="W167" s="7"/>
      <c r="X167" s="7"/>
    </row>
    <row r="168" spans="2:24" ht="15" customHeight="1" x14ac:dyDescent="0.25">
      <c r="B168" s="7"/>
      <c r="C168" s="7"/>
      <c r="D168" s="7"/>
      <c r="E168" s="7"/>
      <c r="F168" s="7"/>
      <c r="G168" s="7"/>
      <c r="H168" s="7"/>
      <c r="I168" s="7"/>
      <c r="J168" s="7"/>
      <c r="K168" s="7"/>
      <c r="L168" s="7"/>
      <c r="M168" s="7"/>
      <c r="N168" s="7"/>
      <c r="O168" s="7"/>
      <c r="P168" s="7"/>
      <c r="Q168" s="7"/>
      <c r="R168" s="7"/>
      <c r="S168" s="7"/>
      <c r="T168" s="7"/>
      <c r="U168" s="7"/>
      <c r="V168" s="7"/>
      <c r="W168" s="7"/>
      <c r="X168" s="7"/>
    </row>
    <row r="169" spans="2:24" ht="15" customHeight="1" x14ac:dyDescent="0.25">
      <c r="B169" s="7"/>
      <c r="C169" s="7"/>
      <c r="D169" s="7"/>
      <c r="E169" s="7"/>
      <c r="F169" s="7"/>
      <c r="G169" s="7"/>
      <c r="H169" s="7"/>
      <c r="I169" s="7"/>
      <c r="J169" s="7"/>
      <c r="K169" s="7"/>
      <c r="L169" s="7"/>
      <c r="M169" s="7"/>
      <c r="N169" s="7"/>
      <c r="O169" s="7"/>
      <c r="P169" s="7"/>
      <c r="Q169" s="7"/>
      <c r="R169" s="7"/>
      <c r="S169" s="7"/>
      <c r="T169" s="7"/>
      <c r="U169" s="7"/>
      <c r="V169" s="7"/>
      <c r="W169" s="7"/>
      <c r="X169" s="7"/>
    </row>
    <row r="170" spans="2:24" ht="15" customHeight="1" x14ac:dyDescent="0.25">
      <c r="B170" s="7"/>
      <c r="C170" s="7"/>
      <c r="D170" s="7"/>
      <c r="E170" s="7"/>
      <c r="F170" s="7"/>
      <c r="G170" s="7"/>
      <c r="H170" s="7"/>
      <c r="I170" s="7"/>
      <c r="J170" s="7"/>
      <c r="K170" s="7"/>
      <c r="L170" s="7"/>
      <c r="M170" s="7"/>
      <c r="N170" s="7"/>
      <c r="O170" s="7"/>
      <c r="P170" s="7"/>
      <c r="Q170" s="7"/>
      <c r="R170" s="7"/>
      <c r="S170" s="7"/>
      <c r="T170" s="7"/>
      <c r="U170" s="7"/>
      <c r="V170" s="7"/>
      <c r="W170" s="7"/>
      <c r="X170" s="7"/>
    </row>
    <row r="171" spans="2:24" ht="15" customHeight="1" x14ac:dyDescent="0.25">
      <c r="B171" s="7"/>
      <c r="C171" s="7"/>
      <c r="D171" s="7"/>
      <c r="E171" s="7"/>
      <c r="F171" s="7"/>
      <c r="G171" s="7"/>
      <c r="H171" s="7"/>
      <c r="I171" s="7"/>
      <c r="J171" s="7"/>
      <c r="K171" s="7"/>
      <c r="L171" s="7"/>
      <c r="M171" s="7"/>
      <c r="N171" s="7"/>
      <c r="O171" s="7"/>
      <c r="P171" s="7"/>
      <c r="Q171" s="7"/>
      <c r="R171" s="7"/>
      <c r="S171" s="7"/>
      <c r="T171" s="7"/>
      <c r="U171" s="7"/>
      <c r="V171" s="7"/>
      <c r="W171" s="7"/>
      <c r="X171" s="7"/>
    </row>
    <row r="172" spans="2:24" ht="15" customHeight="1" x14ac:dyDescent="0.25">
      <c r="B172" s="7"/>
      <c r="C172" s="7"/>
      <c r="D172" s="7"/>
      <c r="E172" s="7"/>
      <c r="F172" s="7"/>
      <c r="G172" s="7"/>
      <c r="H172" s="7"/>
      <c r="I172" s="7"/>
      <c r="J172" s="7"/>
      <c r="K172" s="7"/>
      <c r="L172" s="7"/>
      <c r="M172" s="7"/>
      <c r="N172" s="7"/>
      <c r="O172" s="7"/>
      <c r="P172" s="7"/>
      <c r="Q172" s="7"/>
      <c r="R172" s="7"/>
      <c r="S172" s="7"/>
      <c r="T172" s="7"/>
      <c r="U172" s="7"/>
      <c r="V172" s="7"/>
      <c r="W172" s="7"/>
      <c r="X172" s="7"/>
    </row>
    <row r="173" spans="2:24" ht="15" customHeight="1" x14ac:dyDescent="0.25">
      <c r="B173" s="7"/>
      <c r="C173" s="7"/>
      <c r="D173" s="7"/>
      <c r="E173" s="7"/>
      <c r="F173" s="7"/>
      <c r="G173" s="7"/>
      <c r="H173" s="7"/>
      <c r="I173" s="7"/>
      <c r="J173" s="7"/>
      <c r="K173" s="7"/>
      <c r="L173" s="7"/>
      <c r="M173" s="7"/>
      <c r="N173" s="7"/>
      <c r="O173" s="7"/>
      <c r="P173" s="7"/>
      <c r="Q173" s="7"/>
      <c r="R173" s="7"/>
      <c r="S173" s="7"/>
      <c r="T173" s="7"/>
      <c r="U173" s="7"/>
      <c r="V173" s="7"/>
      <c r="W173" s="7"/>
      <c r="X173" s="7"/>
    </row>
    <row r="174" spans="2:24" ht="15" customHeight="1" x14ac:dyDescent="0.25">
      <c r="B174" s="7"/>
      <c r="C174" s="7"/>
      <c r="D174" s="7"/>
      <c r="E174" s="7"/>
      <c r="F174" s="7"/>
      <c r="G174" s="7"/>
      <c r="H174" s="7"/>
      <c r="I174" s="7"/>
      <c r="J174" s="7"/>
      <c r="K174" s="7"/>
      <c r="L174" s="7"/>
      <c r="M174" s="7"/>
      <c r="N174" s="7"/>
      <c r="O174" s="7"/>
      <c r="P174" s="7"/>
      <c r="Q174" s="7"/>
      <c r="R174" s="7"/>
      <c r="S174" s="7"/>
      <c r="T174" s="7"/>
      <c r="U174" s="7"/>
      <c r="V174" s="7"/>
      <c r="W174" s="7"/>
      <c r="X174" s="7"/>
    </row>
    <row r="175" spans="2:24" ht="15" customHeight="1" x14ac:dyDescent="0.25">
      <c r="B175" s="7"/>
      <c r="C175" s="7"/>
      <c r="D175" s="7"/>
      <c r="E175" s="7"/>
      <c r="F175" s="7"/>
      <c r="G175" s="7"/>
      <c r="H175" s="7"/>
      <c r="I175" s="7"/>
      <c r="J175" s="7"/>
      <c r="K175" s="7"/>
      <c r="L175" s="7"/>
      <c r="M175" s="7"/>
      <c r="N175" s="7"/>
      <c r="O175" s="7"/>
      <c r="P175" s="7"/>
      <c r="Q175" s="7"/>
      <c r="R175" s="7"/>
      <c r="S175" s="7"/>
      <c r="T175" s="7"/>
      <c r="U175" s="7"/>
      <c r="V175" s="7"/>
      <c r="W175" s="7"/>
      <c r="X175" s="7"/>
    </row>
    <row r="176" spans="2:24" ht="15" customHeight="1" x14ac:dyDescent="0.25">
      <c r="B176" s="7"/>
      <c r="C176" s="7"/>
      <c r="D176" s="7"/>
      <c r="E176" s="7"/>
      <c r="F176" s="7"/>
      <c r="G176" s="7"/>
      <c r="H176" s="7"/>
      <c r="I176" s="7"/>
      <c r="J176" s="7"/>
      <c r="K176" s="7"/>
      <c r="L176" s="7"/>
      <c r="M176" s="7"/>
      <c r="N176" s="7"/>
      <c r="O176" s="7"/>
      <c r="P176" s="7"/>
      <c r="Q176" s="7"/>
      <c r="R176" s="7"/>
      <c r="S176" s="7"/>
      <c r="T176" s="7"/>
      <c r="U176" s="7"/>
      <c r="V176" s="7"/>
      <c r="W176" s="7"/>
      <c r="X176" s="7"/>
    </row>
    <row r="177" spans="2:24" ht="15" customHeight="1" x14ac:dyDescent="0.25">
      <c r="B177" s="7"/>
      <c r="C177" s="7"/>
      <c r="D177" s="7"/>
      <c r="E177" s="7"/>
      <c r="F177" s="7"/>
      <c r="G177" s="7"/>
      <c r="H177" s="7"/>
      <c r="I177" s="7"/>
      <c r="J177" s="7"/>
      <c r="K177" s="7"/>
      <c r="L177" s="7"/>
      <c r="M177" s="7"/>
      <c r="N177" s="7"/>
      <c r="O177" s="7"/>
      <c r="P177" s="7"/>
      <c r="Q177" s="7"/>
      <c r="R177" s="7"/>
      <c r="S177" s="7"/>
      <c r="T177" s="7"/>
      <c r="U177" s="7"/>
      <c r="V177" s="7"/>
      <c r="W177" s="7"/>
      <c r="X177" s="7"/>
    </row>
    <row r="178" spans="2:24" ht="15" customHeight="1" x14ac:dyDescent="0.25">
      <c r="B178" s="7"/>
      <c r="C178" s="7"/>
      <c r="D178" s="7"/>
      <c r="E178" s="7"/>
      <c r="F178" s="7"/>
      <c r="G178" s="7"/>
      <c r="H178" s="7"/>
      <c r="I178" s="7"/>
      <c r="J178" s="7"/>
      <c r="K178" s="7"/>
      <c r="L178" s="7"/>
      <c r="M178" s="7"/>
      <c r="N178" s="7"/>
      <c r="O178" s="7"/>
      <c r="P178" s="7"/>
      <c r="Q178" s="7"/>
      <c r="R178" s="7"/>
      <c r="S178" s="7"/>
      <c r="T178" s="7"/>
      <c r="U178" s="7"/>
      <c r="V178" s="7"/>
      <c r="W178" s="7"/>
      <c r="X178" s="7"/>
    </row>
    <row r="179" spans="2:24" ht="15" customHeight="1" x14ac:dyDescent="0.25">
      <c r="B179" s="7"/>
      <c r="C179" s="7"/>
      <c r="D179" s="7"/>
      <c r="E179" s="7"/>
      <c r="F179" s="7"/>
      <c r="G179" s="7"/>
      <c r="H179" s="7"/>
      <c r="I179" s="7"/>
      <c r="J179" s="7"/>
      <c r="K179" s="7"/>
      <c r="L179" s="7"/>
      <c r="M179" s="7"/>
      <c r="N179" s="7"/>
      <c r="O179" s="7"/>
      <c r="P179" s="7"/>
      <c r="Q179" s="7"/>
      <c r="R179" s="7"/>
      <c r="S179" s="7"/>
      <c r="T179" s="7"/>
      <c r="U179" s="7"/>
      <c r="V179" s="7"/>
      <c r="W179" s="7"/>
      <c r="X179" s="7"/>
    </row>
    <row r="180" spans="2:24" ht="15" customHeight="1" x14ac:dyDescent="0.25">
      <c r="B180" s="7"/>
      <c r="C180" s="7"/>
      <c r="D180" s="7"/>
      <c r="E180" s="7"/>
      <c r="F180" s="7"/>
      <c r="G180" s="7"/>
      <c r="H180" s="7"/>
      <c r="I180" s="7"/>
      <c r="J180" s="7"/>
      <c r="K180" s="7"/>
      <c r="L180" s="7"/>
      <c r="M180" s="7"/>
      <c r="N180" s="7"/>
      <c r="O180" s="7"/>
      <c r="P180" s="7"/>
      <c r="Q180" s="7"/>
      <c r="R180" s="7"/>
      <c r="S180" s="7"/>
      <c r="T180" s="7"/>
      <c r="U180" s="7"/>
      <c r="V180" s="7"/>
      <c r="W180" s="7"/>
      <c r="X180" s="7"/>
    </row>
    <row r="181" spans="2:24" ht="15" customHeight="1" x14ac:dyDescent="0.25">
      <c r="B181" s="7"/>
      <c r="C181" s="7"/>
      <c r="D181" s="7"/>
      <c r="E181" s="7"/>
      <c r="F181" s="7"/>
      <c r="G181" s="7"/>
      <c r="H181" s="7"/>
      <c r="I181" s="7"/>
      <c r="J181" s="7"/>
      <c r="K181" s="7"/>
      <c r="L181" s="7"/>
      <c r="M181" s="7"/>
      <c r="N181" s="7"/>
      <c r="O181" s="7"/>
      <c r="P181" s="7"/>
      <c r="Q181" s="7"/>
      <c r="R181" s="7"/>
      <c r="S181" s="7"/>
      <c r="T181" s="7"/>
      <c r="U181" s="7"/>
      <c r="V181" s="7"/>
      <c r="W181" s="7"/>
      <c r="X181" s="7"/>
    </row>
    <row r="182" spans="2:24" ht="15" customHeight="1" x14ac:dyDescent="0.25">
      <c r="B182" s="7"/>
      <c r="C182" s="7"/>
      <c r="D182" s="7"/>
      <c r="E182" s="7"/>
      <c r="F182" s="7"/>
      <c r="G182" s="7"/>
      <c r="H182" s="7"/>
      <c r="I182" s="7"/>
      <c r="J182" s="7"/>
      <c r="K182" s="7"/>
      <c r="L182" s="7"/>
      <c r="M182" s="7"/>
      <c r="N182" s="7"/>
      <c r="O182" s="7"/>
      <c r="P182" s="7"/>
      <c r="Q182" s="7"/>
      <c r="R182" s="7"/>
      <c r="S182" s="7"/>
      <c r="T182" s="7"/>
      <c r="U182" s="7"/>
      <c r="V182" s="7"/>
      <c r="W182" s="7"/>
      <c r="X182" s="7"/>
    </row>
    <row r="183" spans="2:24" ht="15" customHeight="1" x14ac:dyDescent="0.25">
      <c r="B183" s="7"/>
      <c r="C183" s="7"/>
      <c r="D183" s="7"/>
      <c r="E183" s="7"/>
      <c r="F183" s="7"/>
      <c r="G183" s="7"/>
      <c r="H183" s="7"/>
      <c r="I183" s="7"/>
      <c r="J183" s="7"/>
      <c r="K183" s="7"/>
      <c r="L183" s="7"/>
      <c r="M183" s="7"/>
      <c r="N183" s="7"/>
      <c r="O183" s="7"/>
      <c r="P183" s="7"/>
      <c r="Q183" s="7"/>
      <c r="R183" s="7"/>
      <c r="S183" s="7"/>
      <c r="T183" s="7"/>
      <c r="U183" s="7"/>
      <c r="V183" s="7"/>
      <c r="W183" s="7"/>
      <c r="X183" s="7"/>
    </row>
    <row r="184" spans="2:24" ht="15" customHeight="1" x14ac:dyDescent="0.25">
      <c r="B184" s="7"/>
      <c r="C184" s="7"/>
      <c r="D184" s="7"/>
      <c r="E184" s="7"/>
      <c r="F184" s="7"/>
      <c r="G184" s="7"/>
      <c r="H184" s="7"/>
      <c r="I184" s="7"/>
      <c r="J184" s="7"/>
      <c r="K184" s="7"/>
      <c r="L184" s="7"/>
      <c r="M184" s="7"/>
      <c r="N184" s="7"/>
      <c r="O184" s="7"/>
      <c r="P184" s="7"/>
      <c r="Q184" s="7"/>
      <c r="R184" s="7"/>
      <c r="S184" s="7"/>
      <c r="T184" s="7"/>
      <c r="U184" s="7"/>
      <c r="V184" s="7"/>
      <c r="W184" s="7"/>
      <c r="X184" s="7"/>
    </row>
    <row r="185" spans="2:24" ht="15" customHeight="1" x14ac:dyDescent="0.25">
      <c r="B185" s="7"/>
      <c r="C185" s="7"/>
      <c r="D185" s="7"/>
      <c r="E185" s="7"/>
      <c r="F185" s="7"/>
      <c r="G185" s="7"/>
      <c r="H185" s="7"/>
      <c r="I185" s="7"/>
      <c r="J185" s="7"/>
      <c r="K185" s="7"/>
      <c r="L185" s="7"/>
      <c r="M185" s="7"/>
      <c r="N185" s="7"/>
      <c r="O185" s="7"/>
      <c r="P185" s="7"/>
      <c r="Q185" s="7"/>
      <c r="R185" s="7"/>
      <c r="S185" s="7"/>
      <c r="T185" s="7"/>
      <c r="U185" s="7"/>
      <c r="V185" s="7"/>
      <c r="W185" s="7"/>
      <c r="X185" s="7"/>
    </row>
    <row r="186" spans="2:24" ht="15" customHeight="1" x14ac:dyDescent="0.25">
      <c r="B186" s="7"/>
      <c r="C186" s="7"/>
      <c r="D186" s="7"/>
      <c r="E186" s="7"/>
      <c r="F186" s="7"/>
      <c r="G186" s="7"/>
      <c r="H186" s="7"/>
      <c r="I186" s="7"/>
      <c r="J186" s="7"/>
      <c r="K186" s="7"/>
      <c r="L186" s="7"/>
      <c r="M186" s="7"/>
      <c r="N186" s="7"/>
      <c r="O186" s="7"/>
      <c r="P186" s="7"/>
      <c r="Q186" s="7"/>
      <c r="R186" s="7"/>
      <c r="S186" s="7"/>
      <c r="T186" s="7"/>
      <c r="U186" s="7"/>
      <c r="V186" s="7"/>
      <c r="W186" s="7"/>
      <c r="X186" s="7"/>
    </row>
    <row r="187" spans="2:24" ht="15" customHeight="1" x14ac:dyDescent="0.25">
      <c r="B187" s="7"/>
      <c r="C187" s="7"/>
      <c r="D187" s="7"/>
      <c r="E187" s="7"/>
      <c r="F187" s="7"/>
      <c r="G187" s="7"/>
      <c r="H187" s="7"/>
      <c r="I187" s="7"/>
      <c r="J187" s="7"/>
      <c r="K187" s="7"/>
      <c r="L187" s="7"/>
      <c r="M187" s="7"/>
      <c r="N187" s="7"/>
      <c r="O187" s="7"/>
      <c r="P187" s="7"/>
      <c r="Q187" s="7"/>
      <c r="R187" s="7"/>
      <c r="S187" s="7"/>
      <c r="T187" s="7"/>
      <c r="U187" s="7"/>
      <c r="V187" s="7"/>
      <c r="W187" s="7"/>
      <c r="X187" s="7"/>
    </row>
    <row r="188" spans="2:24" ht="15" customHeight="1" x14ac:dyDescent="0.25">
      <c r="B188" s="7"/>
      <c r="C188" s="7"/>
      <c r="D188" s="7"/>
      <c r="E188" s="7"/>
      <c r="F188" s="7"/>
      <c r="G188" s="7"/>
      <c r="H188" s="7"/>
      <c r="I188" s="7"/>
      <c r="J188" s="7"/>
      <c r="K188" s="7"/>
      <c r="L188" s="7"/>
      <c r="M188" s="7"/>
      <c r="N188" s="7"/>
      <c r="O188" s="7"/>
      <c r="P188" s="7"/>
      <c r="Q188" s="7"/>
      <c r="R188" s="7"/>
      <c r="S188" s="7"/>
      <c r="T188" s="7"/>
      <c r="U188" s="7"/>
      <c r="V188" s="7"/>
      <c r="W188" s="7"/>
      <c r="X188" s="7"/>
    </row>
    <row r="189" spans="2:24" ht="15" customHeight="1" x14ac:dyDescent="0.25">
      <c r="B189" s="7"/>
      <c r="C189" s="7"/>
      <c r="D189" s="7"/>
      <c r="E189" s="7"/>
      <c r="F189" s="7"/>
      <c r="G189" s="7"/>
      <c r="H189" s="7"/>
      <c r="I189" s="7"/>
      <c r="J189" s="7"/>
      <c r="K189" s="7"/>
      <c r="L189" s="7"/>
      <c r="M189" s="7"/>
      <c r="N189" s="7"/>
      <c r="O189" s="7"/>
      <c r="P189" s="7"/>
      <c r="Q189" s="7"/>
      <c r="R189" s="7"/>
      <c r="S189" s="7"/>
      <c r="T189" s="7"/>
      <c r="U189" s="7"/>
      <c r="V189" s="7"/>
      <c r="W189" s="7"/>
      <c r="X189" s="7"/>
    </row>
    <row r="190" spans="2:24" ht="15" customHeight="1" x14ac:dyDescent="0.25">
      <c r="B190" s="7"/>
      <c r="C190" s="7"/>
      <c r="D190" s="7"/>
      <c r="E190" s="7"/>
      <c r="F190" s="7"/>
      <c r="G190" s="7"/>
      <c r="H190" s="7"/>
      <c r="I190" s="7"/>
      <c r="J190" s="7"/>
      <c r="K190" s="7"/>
      <c r="L190" s="7"/>
      <c r="M190" s="7"/>
      <c r="N190" s="7"/>
      <c r="O190" s="7"/>
      <c r="P190" s="7"/>
      <c r="Q190" s="7"/>
      <c r="R190" s="7"/>
      <c r="S190" s="7"/>
      <c r="T190" s="7"/>
      <c r="U190" s="7"/>
      <c r="V190" s="7"/>
      <c r="W190" s="7"/>
      <c r="X190" s="7"/>
    </row>
    <row r="191" spans="2:24" ht="15" customHeight="1" x14ac:dyDescent="0.25">
      <c r="B191" s="7"/>
      <c r="C191" s="7"/>
      <c r="D191" s="7"/>
      <c r="E191" s="7"/>
      <c r="F191" s="7"/>
      <c r="G191" s="7"/>
      <c r="H191" s="7"/>
      <c r="I191" s="7"/>
      <c r="J191" s="7"/>
      <c r="K191" s="7"/>
      <c r="L191" s="7"/>
      <c r="M191" s="7"/>
      <c r="N191" s="7"/>
      <c r="O191" s="7"/>
      <c r="P191" s="7"/>
      <c r="Q191" s="7"/>
      <c r="R191" s="7"/>
      <c r="S191" s="7"/>
      <c r="T191" s="7"/>
      <c r="U191" s="7"/>
      <c r="V191" s="7"/>
      <c r="W191" s="7"/>
      <c r="X191" s="7"/>
    </row>
    <row r="192" spans="2:24" ht="15" customHeight="1" x14ac:dyDescent="0.25">
      <c r="B192" s="7"/>
      <c r="C192" s="7"/>
      <c r="D192" s="7"/>
      <c r="E192" s="7"/>
      <c r="F192" s="7"/>
      <c r="G192" s="7"/>
      <c r="H192" s="7"/>
      <c r="I192" s="7"/>
      <c r="J192" s="7"/>
      <c r="K192" s="7"/>
      <c r="L192" s="7"/>
      <c r="M192" s="7"/>
      <c r="N192" s="7"/>
      <c r="O192" s="7"/>
      <c r="P192" s="7"/>
      <c r="Q192" s="7"/>
      <c r="R192" s="7"/>
      <c r="S192" s="7"/>
      <c r="T192" s="7"/>
      <c r="U192" s="7"/>
      <c r="V192" s="7"/>
      <c r="W192" s="7"/>
      <c r="X192" s="7"/>
    </row>
    <row r="193" spans="2:24" ht="15" customHeight="1" x14ac:dyDescent="0.25">
      <c r="B193" s="7"/>
      <c r="C193" s="7"/>
      <c r="D193" s="7"/>
      <c r="E193" s="7"/>
      <c r="F193" s="7"/>
      <c r="G193" s="7"/>
      <c r="H193" s="7"/>
      <c r="I193" s="7"/>
      <c r="J193" s="7"/>
      <c r="K193" s="7"/>
      <c r="L193" s="7"/>
      <c r="M193" s="7"/>
      <c r="N193" s="7"/>
      <c r="O193" s="7"/>
      <c r="P193" s="7"/>
      <c r="Q193" s="7"/>
      <c r="R193" s="7"/>
      <c r="S193" s="7"/>
      <c r="T193" s="7"/>
      <c r="U193" s="7"/>
      <c r="V193" s="7"/>
      <c r="W193" s="7"/>
      <c r="X193" s="7"/>
    </row>
    <row r="194" spans="2:24" ht="15" customHeight="1" x14ac:dyDescent="0.25">
      <c r="B194" s="7"/>
      <c r="C194" s="7"/>
      <c r="D194" s="7"/>
      <c r="E194" s="7"/>
      <c r="F194" s="7"/>
      <c r="G194" s="7"/>
      <c r="H194" s="7"/>
      <c r="I194" s="7"/>
      <c r="J194" s="7"/>
      <c r="K194" s="7"/>
      <c r="L194" s="7"/>
      <c r="M194" s="7"/>
      <c r="N194" s="7"/>
      <c r="O194" s="7"/>
      <c r="P194" s="7"/>
      <c r="Q194" s="7"/>
      <c r="R194" s="7"/>
      <c r="S194" s="7"/>
      <c r="T194" s="7"/>
      <c r="U194" s="7"/>
      <c r="V194" s="7"/>
      <c r="W194" s="7"/>
      <c r="X194" s="7"/>
    </row>
    <row r="195" spans="2:24" ht="15" customHeight="1" x14ac:dyDescent="0.25">
      <c r="B195" s="7"/>
      <c r="C195" s="7"/>
      <c r="D195" s="7"/>
      <c r="E195" s="7"/>
      <c r="F195" s="7"/>
      <c r="G195" s="7"/>
      <c r="H195" s="7"/>
      <c r="I195" s="7"/>
      <c r="J195" s="7"/>
      <c r="K195" s="7"/>
      <c r="L195" s="7"/>
      <c r="M195" s="7"/>
      <c r="N195" s="7"/>
      <c r="O195" s="7"/>
      <c r="P195" s="7"/>
      <c r="Q195" s="7"/>
      <c r="R195" s="7"/>
      <c r="S195" s="7"/>
      <c r="T195" s="7"/>
      <c r="U195" s="7"/>
      <c r="V195" s="7"/>
      <c r="W195" s="7"/>
      <c r="X195" s="7"/>
    </row>
    <row r="196" spans="2:24" ht="15" customHeight="1" x14ac:dyDescent="0.25">
      <c r="B196" s="7"/>
      <c r="C196" s="7"/>
      <c r="D196" s="7"/>
      <c r="E196" s="7"/>
      <c r="F196" s="7"/>
      <c r="G196" s="7"/>
      <c r="H196" s="7"/>
      <c r="I196" s="7"/>
      <c r="J196" s="7"/>
      <c r="K196" s="7"/>
      <c r="L196" s="7"/>
      <c r="M196" s="7"/>
      <c r="N196" s="7"/>
      <c r="O196" s="7"/>
      <c r="P196" s="7"/>
      <c r="Q196" s="7"/>
      <c r="R196" s="7"/>
      <c r="S196" s="7"/>
      <c r="T196" s="7"/>
      <c r="U196" s="7"/>
      <c r="V196" s="7"/>
      <c r="W196" s="7"/>
      <c r="X196" s="7"/>
    </row>
    <row r="197" spans="2:24" ht="15" customHeight="1" x14ac:dyDescent="0.25">
      <c r="B197" s="7"/>
      <c r="C197" s="7"/>
      <c r="D197" s="7"/>
      <c r="E197" s="7"/>
      <c r="F197" s="7"/>
      <c r="G197" s="7"/>
      <c r="H197" s="7"/>
      <c r="I197" s="7"/>
      <c r="J197" s="7"/>
      <c r="K197" s="7"/>
      <c r="L197" s="7"/>
      <c r="M197" s="7"/>
      <c r="N197" s="7"/>
      <c r="O197" s="7"/>
      <c r="P197" s="7"/>
      <c r="Q197" s="7"/>
      <c r="R197" s="7"/>
      <c r="S197" s="7"/>
      <c r="T197" s="7"/>
      <c r="U197" s="7"/>
      <c r="V197" s="7"/>
      <c r="W197" s="7"/>
      <c r="X197" s="7"/>
    </row>
    <row r="198" spans="2:24" ht="15" customHeight="1" x14ac:dyDescent="0.25">
      <c r="B198" s="7"/>
      <c r="C198" s="7"/>
      <c r="D198" s="7"/>
      <c r="E198" s="7"/>
      <c r="F198" s="7"/>
      <c r="G198" s="7"/>
      <c r="H198" s="7"/>
      <c r="I198" s="7"/>
      <c r="J198" s="7"/>
      <c r="K198" s="7"/>
      <c r="L198" s="7"/>
      <c r="M198" s="7"/>
      <c r="N198" s="7"/>
      <c r="O198" s="7"/>
      <c r="P198" s="7"/>
      <c r="Q198" s="7"/>
      <c r="R198" s="7"/>
      <c r="S198" s="7"/>
      <c r="T198" s="7"/>
      <c r="U198" s="7"/>
      <c r="V198" s="7"/>
      <c r="W198" s="7"/>
      <c r="X198" s="7"/>
    </row>
    <row r="199" spans="2:24" ht="15" customHeight="1" x14ac:dyDescent="0.25">
      <c r="B199" s="7"/>
      <c r="C199" s="7"/>
      <c r="D199" s="7"/>
      <c r="E199" s="7"/>
      <c r="F199" s="7"/>
      <c r="G199" s="7"/>
      <c r="H199" s="7"/>
      <c r="I199" s="7"/>
      <c r="J199" s="7"/>
      <c r="K199" s="7"/>
      <c r="L199" s="7"/>
      <c r="M199" s="7"/>
      <c r="N199" s="7"/>
      <c r="O199" s="7"/>
      <c r="P199" s="7"/>
      <c r="Q199" s="7"/>
      <c r="R199" s="7"/>
      <c r="S199" s="7"/>
      <c r="T199" s="7"/>
      <c r="U199" s="7"/>
      <c r="V199" s="7"/>
      <c r="W199" s="7"/>
      <c r="X199" s="7"/>
    </row>
    <row r="200" spans="2:24" ht="15" customHeight="1" x14ac:dyDescent="0.25">
      <c r="B200" s="7"/>
      <c r="C200" s="7"/>
      <c r="D200" s="7"/>
      <c r="E200" s="7"/>
      <c r="F200" s="7"/>
      <c r="G200" s="7"/>
      <c r="H200" s="7"/>
      <c r="I200" s="7"/>
      <c r="J200" s="7"/>
      <c r="K200" s="7"/>
      <c r="L200" s="7"/>
      <c r="M200" s="7"/>
      <c r="N200" s="7"/>
      <c r="O200" s="7"/>
      <c r="P200" s="7"/>
      <c r="Q200" s="7"/>
      <c r="R200" s="7"/>
      <c r="S200" s="7"/>
      <c r="T200" s="7"/>
      <c r="U200" s="7"/>
      <c r="V200" s="7"/>
      <c r="W200" s="7"/>
      <c r="X200" s="7"/>
    </row>
    <row r="201" spans="2:24" ht="15" customHeight="1" x14ac:dyDescent="0.25">
      <c r="B201" s="7"/>
      <c r="C201" s="7"/>
      <c r="D201" s="7"/>
      <c r="E201" s="7"/>
      <c r="F201" s="7"/>
      <c r="G201" s="7"/>
      <c r="H201" s="7"/>
      <c r="I201" s="7"/>
      <c r="J201" s="7"/>
      <c r="K201" s="7"/>
      <c r="L201" s="7"/>
      <c r="M201" s="7"/>
      <c r="N201" s="7"/>
      <c r="O201" s="7"/>
      <c r="P201" s="7"/>
      <c r="Q201" s="7"/>
      <c r="R201" s="7"/>
      <c r="S201" s="7"/>
      <c r="T201" s="7"/>
      <c r="U201" s="7"/>
      <c r="V201" s="7"/>
      <c r="W201" s="7"/>
      <c r="X201" s="7"/>
    </row>
    <row r="202" spans="2:24" ht="15" customHeight="1" x14ac:dyDescent="0.25">
      <c r="B202" s="7"/>
      <c r="C202" s="7"/>
      <c r="D202" s="7"/>
      <c r="E202" s="7"/>
      <c r="F202" s="7"/>
      <c r="G202" s="7"/>
      <c r="H202" s="7"/>
      <c r="I202" s="7"/>
      <c r="J202" s="7"/>
      <c r="K202" s="7"/>
      <c r="L202" s="7"/>
      <c r="M202" s="7"/>
      <c r="N202" s="7"/>
      <c r="O202" s="7"/>
      <c r="P202" s="7"/>
      <c r="Q202" s="7"/>
      <c r="R202" s="7"/>
      <c r="S202" s="7"/>
      <c r="T202" s="7"/>
      <c r="U202" s="7"/>
      <c r="V202" s="7"/>
      <c r="W202" s="7"/>
      <c r="X202" s="7"/>
    </row>
    <row r="205" spans="2:24" ht="15" customHeight="1" x14ac:dyDescent="0.3">
      <c r="B205" s="6" t="s">
        <v>795</v>
      </c>
      <c r="C205" s="7"/>
      <c r="D205" s="7"/>
      <c r="E205" s="7"/>
      <c r="F205" s="7"/>
      <c r="G205" s="7"/>
      <c r="H205" s="7"/>
      <c r="I205" s="7"/>
      <c r="J205" s="7"/>
      <c r="K205" s="7"/>
      <c r="L205" s="7"/>
      <c r="M205" s="7"/>
      <c r="N205" s="7"/>
      <c r="O205" s="7"/>
      <c r="P205" s="7"/>
      <c r="Q205" s="7"/>
      <c r="R205" s="7"/>
      <c r="S205" s="7"/>
      <c r="T205" s="7"/>
      <c r="U205" s="7"/>
      <c r="V205" s="7"/>
      <c r="W205" s="7"/>
      <c r="X205" s="7"/>
    </row>
    <row r="206" spans="2:24" ht="15" customHeight="1" x14ac:dyDescent="0.25">
      <c r="B206" s="14" t="s">
        <v>797</v>
      </c>
      <c r="C206" s="7"/>
      <c r="D206" s="7"/>
      <c r="E206" s="7"/>
      <c r="F206" s="7"/>
      <c r="G206" s="7"/>
      <c r="H206" s="7"/>
      <c r="I206" s="7"/>
      <c r="J206" s="7"/>
      <c r="K206" s="7"/>
      <c r="L206" s="7"/>
      <c r="M206" s="7"/>
      <c r="N206" s="7"/>
      <c r="O206" s="7"/>
      <c r="P206" s="7"/>
      <c r="Q206" s="7"/>
      <c r="R206" s="7"/>
      <c r="S206" s="7"/>
      <c r="T206" s="7"/>
      <c r="U206" s="7"/>
      <c r="V206" s="7"/>
      <c r="W206" s="7"/>
      <c r="X206" s="7"/>
    </row>
    <row r="207" spans="2:24" ht="15" customHeight="1" x14ac:dyDescent="0.25">
      <c r="B207" s="8" t="s">
        <v>787</v>
      </c>
      <c r="C207" s="7"/>
      <c r="D207" s="7"/>
      <c r="E207" s="7"/>
      <c r="F207" s="7"/>
      <c r="G207" s="7"/>
      <c r="H207" s="7"/>
      <c r="I207" s="7"/>
      <c r="J207" s="7"/>
      <c r="K207" s="7"/>
      <c r="L207" s="7"/>
      <c r="M207" s="7"/>
      <c r="N207" s="7"/>
      <c r="O207" s="7"/>
      <c r="P207" s="7"/>
      <c r="Q207" s="7"/>
      <c r="R207" s="7"/>
      <c r="S207" s="7"/>
      <c r="T207" s="7"/>
      <c r="U207" s="7"/>
      <c r="V207" s="7"/>
      <c r="W207" s="7"/>
      <c r="X207" s="7"/>
    </row>
    <row r="208" spans="2:24" ht="15" customHeight="1" x14ac:dyDescent="0.25">
      <c r="B208" s="8" t="s">
        <v>788</v>
      </c>
      <c r="C208" s="7"/>
      <c r="D208" s="7"/>
      <c r="E208" s="7"/>
      <c r="F208" s="7"/>
      <c r="G208" s="7"/>
      <c r="H208" s="7"/>
      <c r="I208" s="7"/>
      <c r="J208" s="7"/>
      <c r="K208" s="7"/>
      <c r="L208" s="7"/>
      <c r="M208" s="7"/>
      <c r="N208" s="7"/>
      <c r="O208" s="7"/>
      <c r="P208" s="7"/>
      <c r="Q208" s="7"/>
      <c r="R208" s="7"/>
      <c r="S208" s="7"/>
      <c r="T208" s="7"/>
      <c r="U208" s="7"/>
      <c r="V208" s="7"/>
      <c r="W208" s="7"/>
      <c r="X208" s="7"/>
    </row>
    <row r="209" spans="2:24" ht="15" customHeight="1" x14ac:dyDescent="0.25">
      <c r="B209" s="8" t="s">
        <v>789</v>
      </c>
      <c r="C209" s="7"/>
      <c r="D209" s="7"/>
      <c r="E209" s="7"/>
      <c r="F209" s="7"/>
      <c r="G209" s="7"/>
      <c r="H209" s="7"/>
      <c r="I209" s="7"/>
      <c r="J209" s="7"/>
      <c r="K209" s="7"/>
      <c r="L209" s="7"/>
      <c r="M209" s="7"/>
      <c r="N209" s="7"/>
      <c r="O209" s="7"/>
      <c r="P209" s="7"/>
      <c r="Q209" s="7"/>
      <c r="R209" s="7"/>
      <c r="S209" s="7"/>
      <c r="T209" s="7"/>
      <c r="U209" s="7"/>
      <c r="V209" s="7"/>
      <c r="W209" s="7"/>
      <c r="X209" s="7"/>
    </row>
    <row r="210" spans="2:24" ht="15" customHeight="1" x14ac:dyDescent="0.25">
      <c r="B210" s="8" t="s">
        <v>792</v>
      </c>
      <c r="C210" s="7"/>
      <c r="D210" s="7"/>
      <c r="E210" s="7"/>
      <c r="F210" s="7"/>
      <c r="G210" s="7"/>
      <c r="H210" s="7"/>
      <c r="I210" s="7"/>
      <c r="J210" s="7"/>
      <c r="K210" s="7"/>
      <c r="L210" s="7"/>
      <c r="M210" s="7"/>
      <c r="N210" s="7"/>
      <c r="O210" s="7"/>
      <c r="P210" s="7"/>
      <c r="Q210" s="7"/>
      <c r="R210" s="7"/>
      <c r="S210" s="7"/>
      <c r="T210" s="7"/>
      <c r="U210" s="7"/>
      <c r="V210" s="7"/>
      <c r="W210" s="7"/>
      <c r="X210" s="7"/>
    </row>
    <row r="211" spans="2:24" ht="15" customHeight="1" x14ac:dyDescent="0.25">
      <c r="B211" s="8" t="s">
        <v>790</v>
      </c>
      <c r="C211" s="7"/>
      <c r="D211" s="7"/>
      <c r="E211" s="7"/>
      <c r="F211" s="7"/>
      <c r="G211" s="7"/>
      <c r="H211" s="7"/>
      <c r="I211" s="7"/>
      <c r="J211" s="7"/>
      <c r="K211" s="7"/>
      <c r="L211" s="7"/>
      <c r="M211" s="7"/>
      <c r="N211" s="7"/>
      <c r="O211" s="7"/>
      <c r="P211" s="7"/>
      <c r="Q211" s="7"/>
      <c r="R211" s="7"/>
      <c r="S211" s="7"/>
      <c r="T211" s="7"/>
      <c r="U211" s="7"/>
      <c r="V211" s="7"/>
      <c r="W211" s="7"/>
      <c r="X211" s="7"/>
    </row>
    <row r="212" spans="2:24" ht="15" customHeight="1" x14ac:dyDescent="0.25">
      <c r="B212" s="8" t="s">
        <v>801</v>
      </c>
      <c r="C212" s="7"/>
      <c r="D212" s="7"/>
      <c r="E212" s="7"/>
      <c r="F212" s="7"/>
      <c r="G212" s="7"/>
      <c r="H212" s="7"/>
      <c r="I212" s="7"/>
      <c r="J212" s="7"/>
      <c r="K212" s="7"/>
      <c r="L212" s="7"/>
      <c r="M212" s="7"/>
      <c r="N212" s="7"/>
      <c r="O212" s="7"/>
      <c r="P212" s="7"/>
      <c r="Q212" s="7"/>
      <c r="R212" s="7"/>
      <c r="S212" s="7"/>
      <c r="T212" s="7"/>
      <c r="U212" s="7"/>
      <c r="V212" s="7"/>
      <c r="W212" s="7"/>
      <c r="X212" s="7"/>
    </row>
    <row r="213" spans="2:24" ht="15" customHeight="1" x14ac:dyDescent="0.25">
      <c r="B213" s="8" t="s">
        <v>791</v>
      </c>
      <c r="C213" s="7"/>
      <c r="D213" s="7"/>
      <c r="E213" s="7"/>
      <c r="F213" s="7"/>
      <c r="G213" s="7"/>
      <c r="H213" s="7"/>
      <c r="I213" s="7"/>
      <c r="J213" s="7"/>
      <c r="K213" s="7"/>
      <c r="L213" s="7"/>
      <c r="M213" s="7"/>
      <c r="N213" s="7"/>
      <c r="O213" s="7"/>
      <c r="P213" s="7"/>
      <c r="Q213" s="7"/>
      <c r="R213" s="7"/>
      <c r="S213" s="7"/>
      <c r="T213" s="7"/>
      <c r="U213" s="7"/>
      <c r="V213" s="7"/>
      <c r="W213" s="7"/>
      <c r="X213" s="7"/>
    </row>
    <row r="214" spans="2:24" ht="15" customHeight="1" x14ac:dyDescent="0.25">
      <c r="B214" s="8" t="s">
        <v>793</v>
      </c>
      <c r="C214" s="7"/>
      <c r="D214" s="7"/>
      <c r="E214" s="7"/>
      <c r="F214" s="7"/>
      <c r="G214" s="7"/>
      <c r="H214" s="7"/>
      <c r="I214" s="7"/>
      <c r="J214" s="7"/>
      <c r="K214" s="7"/>
      <c r="L214" s="7"/>
      <c r="M214" s="7"/>
      <c r="N214" s="7"/>
      <c r="O214" s="7"/>
      <c r="P214" s="7"/>
      <c r="Q214" s="7"/>
      <c r="R214" s="7"/>
      <c r="S214" s="7"/>
      <c r="T214" s="7"/>
      <c r="U214" s="7"/>
      <c r="V214" s="7"/>
      <c r="W214" s="7"/>
      <c r="X214" s="7"/>
    </row>
    <row r="215" spans="2:24" ht="15" customHeight="1" x14ac:dyDescent="0.25">
      <c r="B215" s="7"/>
      <c r="C215" s="7"/>
      <c r="D215" s="7"/>
      <c r="E215" s="7"/>
      <c r="F215" s="7"/>
      <c r="G215" s="7"/>
      <c r="H215" s="7"/>
      <c r="I215" s="7"/>
      <c r="J215" s="7"/>
      <c r="K215" s="7"/>
      <c r="L215" s="7"/>
      <c r="M215" s="7"/>
      <c r="N215" s="7"/>
      <c r="O215" s="7"/>
      <c r="P215" s="7"/>
      <c r="Q215" s="7"/>
      <c r="R215" s="7"/>
      <c r="S215" s="7"/>
      <c r="T215" s="7"/>
      <c r="U215" s="7"/>
      <c r="V215" s="7"/>
      <c r="W215" s="7"/>
      <c r="X215" s="7"/>
    </row>
    <row r="216" spans="2:24" ht="15" customHeight="1" x14ac:dyDescent="0.25">
      <c r="B216" s="7" t="s">
        <v>770</v>
      </c>
      <c r="C216" s="7"/>
      <c r="D216" s="7"/>
      <c r="E216" s="7"/>
      <c r="F216" s="7"/>
      <c r="G216" s="7"/>
      <c r="H216" s="7"/>
      <c r="I216" s="7"/>
      <c r="J216" s="7"/>
      <c r="K216" s="7"/>
      <c r="L216" s="7"/>
      <c r="M216" s="7"/>
      <c r="N216" s="7"/>
      <c r="O216" s="7"/>
      <c r="P216" s="7"/>
      <c r="Q216" s="7"/>
      <c r="R216" s="7"/>
      <c r="S216" s="7"/>
      <c r="T216" s="7"/>
      <c r="U216" s="7"/>
      <c r="V216" s="7"/>
      <c r="W216" s="7"/>
      <c r="X216" s="7"/>
    </row>
    <row r="217" spans="2:24" ht="15" customHeight="1" x14ac:dyDescent="0.25">
      <c r="B217" s="7"/>
      <c r="C217" s="7"/>
      <c r="D217" s="7"/>
      <c r="E217" s="7"/>
      <c r="F217" s="7"/>
      <c r="G217" s="7"/>
      <c r="H217" s="7"/>
      <c r="I217" s="7"/>
      <c r="J217" s="7"/>
      <c r="K217" s="7"/>
      <c r="L217" s="7"/>
      <c r="M217" s="7"/>
      <c r="N217" s="7"/>
      <c r="O217" s="7"/>
      <c r="P217" s="7"/>
      <c r="Q217" s="7"/>
      <c r="R217" s="7"/>
      <c r="S217" s="7"/>
      <c r="T217" s="7"/>
      <c r="U217" s="7"/>
      <c r="V217" s="7"/>
      <c r="W217" s="7"/>
      <c r="X217" s="7"/>
    </row>
    <row r="218" spans="2:24" ht="15" customHeight="1" x14ac:dyDescent="0.25">
      <c r="B218" s="7"/>
      <c r="C218" s="7"/>
      <c r="D218" s="7"/>
      <c r="E218" s="7"/>
      <c r="F218" s="7"/>
      <c r="G218" s="7"/>
      <c r="H218" s="7"/>
      <c r="I218" s="7"/>
      <c r="J218" s="7"/>
      <c r="K218" s="7"/>
      <c r="L218" s="7"/>
      <c r="M218" s="7"/>
      <c r="N218" s="7"/>
      <c r="O218" s="7"/>
      <c r="P218" s="7"/>
      <c r="Q218" s="7"/>
      <c r="R218" s="7"/>
      <c r="S218" s="7"/>
      <c r="T218" s="7"/>
      <c r="U218" s="7"/>
      <c r="V218" s="7"/>
      <c r="W218" s="7"/>
      <c r="X218" s="7"/>
    </row>
    <row r="219" spans="2:24" ht="15" customHeight="1" x14ac:dyDescent="0.25">
      <c r="B219" s="7"/>
      <c r="C219" s="7"/>
      <c r="D219" s="7"/>
      <c r="E219" s="7"/>
      <c r="F219" s="7"/>
      <c r="G219" s="7"/>
      <c r="H219" s="7"/>
      <c r="I219" s="7"/>
      <c r="J219" s="7"/>
      <c r="K219" s="7"/>
      <c r="L219" s="7"/>
      <c r="M219" s="7"/>
      <c r="N219" s="7"/>
      <c r="O219" s="7"/>
      <c r="P219" s="7"/>
      <c r="Q219" s="7"/>
      <c r="R219" s="7"/>
      <c r="S219" s="7"/>
      <c r="T219" s="7"/>
      <c r="U219" s="7"/>
      <c r="V219" s="7"/>
      <c r="W219" s="7"/>
      <c r="X219" s="7"/>
    </row>
    <row r="220" spans="2:24" ht="15" customHeight="1" x14ac:dyDescent="0.25">
      <c r="B220" s="7"/>
      <c r="C220" s="7"/>
      <c r="D220" s="7"/>
      <c r="E220" s="7"/>
      <c r="F220" s="7"/>
      <c r="G220" s="7"/>
      <c r="H220" s="7"/>
      <c r="I220" s="7"/>
      <c r="J220" s="7"/>
      <c r="K220" s="7"/>
      <c r="L220" s="7"/>
      <c r="M220" s="7"/>
      <c r="N220" s="7"/>
      <c r="O220" s="7"/>
      <c r="P220" s="7"/>
      <c r="Q220" s="7"/>
      <c r="R220" s="7"/>
      <c r="S220" s="7"/>
      <c r="T220" s="7"/>
      <c r="U220" s="7"/>
      <c r="V220" s="7"/>
      <c r="W220" s="7"/>
      <c r="X220" s="7"/>
    </row>
    <row r="221" spans="2:24" ht="15" customHeight="1" x14ac:dyDescent="0.25">
      <c r="B221" s="7"/>
      <c r="C221" s="7"/>
      <c r="D221" s="7"/>
      <c r="E221" s="7"/>
      <c r="F221" s="7"/>
      <c r="G221" s="7"/>
      <c r="H221" s="7"/>
      <c r="I221" s="7"/>
      <c r="J221" s="7"/>
      <c r="K221" s="7"/>
      <c r="L221" s="7"/>
      <c r="M221" s="7"/>
      <c r="N221" s="7"/>
      <c r="O221" s="7"/>
      <c r="P221" s="7"/>
      <c r="Q221" s="7"/>
      <c r="R221" s="7"/>
      <c r="S221" s="7"/>
      <c r="T221" s="7"/>
      <c r="U221" s="7"/>
      <c r="V221" s="7"/>
      <c r="W221" s="7"/>
      <c r="X221" s="7"/>
    </row>
    <row r="222" spans="2:24" ht="15" customHeight="1" x14ac:dyDescent="0.25">
      <c r="B222" s="7"/>
      <c r="C222" s="7"/>
      <c r="D222" s="7"/>
      <c r="E222" s="7"/>
      <c r="F222" s="7"/>
      <c r="G222" s="7"/>
      <c r="H222" s="7"/>
      <c r="I222" s="7"/>
      <c r="J222" s="7"/>
      <c r="K222" s="7"/>
      <c r="L222" s="7"/>
      <c r="M222" s="7"/>
      <c r="N222" s="7"/>
      <c r="O222" s="7"/>
      <c r="P222" s="7"/>
      <c r="Q222" s="7"/>
      <c r="R222" s="7"/>
      <c r="S222" s="7"/>
      <c r="T222" s="7"/>
      <c r="U222" s="7"/>
      <c r="V222" s="7"/>
      <c r="W222" s="7"/>
      <c r="X222" s="7"/>
    </row>
    <row r="223" spans="2:24" ht="15" customHeight="1" x14ac:dyDescent="0.25">
      <c r="B223" s="7"/>
      <c r="C223" s="7"/>
      <c r="D223" s="7"/>
      <c r="E223" s="7"/>
      <c r="F223" s="7"/>
      <c r="G223" s="7"/>
      <c r="H223" s="7"/>
      <c r="I223" s="7"/>
      <c r="J223" s="7"/>
      <c r="K223" s="7"/>
      <c r="L223" s="7"/>
      <c r="M223" s="7"/>
      <c r="N223" s="7"/>
      <c r="O223" s="7"/>
      <c r="P223" s="7"/>
      <c r="Q223" s="7"/>
      <c r="R223" s="7"/>
      <c r="S223" s="7"/>
      <c r="T223" s="7"/>
      <c r="U223" s="7"/>
      <c r="V223" s="7"/>
      <c r="W223" s="7"/>
      <c r="X223" s="7"/>
    </row>
    <row r="224" spans="2:24" ht="15" customHeight="1" x14ac:dyDescent="0.25">
      <c r="B224" s="7"/>
      <c r="C224" s="7"/>
      <c r="D224" s="7"/>
      <c r="E224" s="7"/>
      <c r="F224" s="7"/>
      <c r="G224" s="7"/>
      <c r="H224" s="7"/>
      <c r="I224" s="7"/>
      <c r="J224" s="7"/>
      <c r="K224" s="7"/>
      <c r="L224" s="7"/>
      <c r="M224" s="7"/>
      <c r="N224" s="7"/>
      <c r="O224" s="7"/>
      <c r="P224" s="7"/>
      <c r="Q224" s="7"/>
      <c r="R224" s="7"/>
      <c r="S224" s="7"/>
      <c r="T224" s="7"/>
      <c r="U224" s="7"/>
      <c r="V224" s="7"/>
      <c r="W224" s="7"/>
      <c r="X224" s="7"/>
    </row>
    <row r="225" spans="2:24" ht="15" customHeight="1" x14ac:dyDescent="0.25">
      <c r="B225" s="7"/>
      <c r="C225" s="7"/>
      <c r="D225" s="7"/>
      <c r="E225" s="7"/>
      <c r="F225" s="7"/>
      <c r="G225" s="7"/>
      <c r="H225" s="7"/>
      <c r="I225" s="7"/>
      <c r="J225" s="7"/>
      <c r="K225" s="7"/>
      <c r="L225" s="7"/>
      <c r="M225" s="7"/>
      <c r="N225" s="7"/>
      <c r="O225" s="7"/>
      <c r="P225" s="7"/>
      <c r="Q225" s="7"/>
      <c r="R225" s="7"/>
      <c r="S225" s="7"/>
      <c r="T225" s="7"/>
      <c r="U225" s="7"/>
      <c r="V225" s="7"/>
      <c r="W225" s="7"/>
      <c r="X225" s="7"/>
    </row>
    <row r="226" spans="2:24" ht="15" customHeight="1" x14ac:dyDescent="0.25">
      <c r="B226" s="7"/>
      <c r="C226" s="7"/>
      <c r="D226" s="7"/>
      <c r="E226" s="7"/>
      <c r="F226" s="7"/>
      <c r="G226" s="7"/>
      <c r="H226" s="7"/>
      <c r="I226" s="7"/>
      <c r="J226" s="7"/>
      <c r="K226" s="7"/>
      <c r="L226" s="7"/>
      <c r="M226" s="7"/>
      <c r="N226" s="7"/>
      <c r="O226" s="7"/>
      <c r="P226" s="7"/>
      <c r="Q226" s="7"/>
      <c r="R226" s="7"/>
      <c r="S226" s="7"/>
      <c r="T226" s="7"/>
      <c r="U226" s="7"/>
      <c r="V226" s="7"/>
      <c r="W226" s="7"/>
      <c r="X226" s="7"/>
    </row>
    <row r="227" spans="2:24" ht="15" customHeight="1" x14ac:dyDescent="0.25">
      <c r="B227" s="7"/>
      <c r="C227" s="7"/>
      <c r="D227" s="7"/>
      <c r="E227" s="7"/>
      <c r="F227" s="7"/>
      <c r="G227" s="7"/>
      <c r="H227" s="7"/>
      <c r="I227" s="7"/>
      <c r="J227" s="7"/>
      <c r="K227" s="7"/>
      <c r="L227" s="7"/>
      <c r="M227" s="7"/>
      <c r="N227" s="7"/>
      <c r="O227" s="7"/>
      <c r="P227" s="7"/>
      <c r="Q227" s="7"/>
      <c r="R227" s="7"/>
      <c r="S227" s="7"/>
      <c r="T227" s="7"/>
      <c r="U227" s="7"/>
      <c r="V227" s="7"/>
      <c r="W227" s="7"/>
      <c r="X227" s="7"/>
    </row>
    <row r="228" spans="2:24" ht="15" customHeight="1" x14ac:dyDescent="0.25">
      <c r="B228" s="7"/>
      <c r="C228" s="7"/>
      <c r="D228" s="7"/>
      <c r="E228" s="7"/>
      <c r="F228" s="7"/>
      <c r="G228" s="7"/>
      <c r="H228" s="7"/>
      <c r="I228" s="7"/>
      <c r="J228" s="7"/>
      <c r="K228" s="7"/>
      <c r="L228" s="7"/>
      <c r="M228" s="7"/>
      <c r="N228" s="7"/>
      <c r="O228" s="7"/>
      <c r="P228" s="7"/>
      <c r="Q228" s="7"/>
      <c r="R228" s="7"/>
      <c r="S228" s="7"/>
      <c r="T228" s="7"/>
      <c r="U228" s="7"/>
      <c r="V228" s="7"/>
      <c r="W228" s="7"/>
      <c r="X228" s="7"/>
    </row>
    <row r="229" spans="2:24" ht="15" customHeight="1" x14ac:dyDescent="0.25">
      <c r="B229" s="7"/>
      <c r="C229" s="7"/>
      <c r="D229" s="7"/>
      <c r="E229" s="7"/>
      <c r="F229" s="7"/>
      <c r="G229" s="7"/>
      <c r="H229" s="7"/>
      <c r="I229" s="7"/>
      <c r="J229" s="7"/>
      <c r="K229" s="7"/>
      <c r="L229" s="7"/>
      <c r="M229" s="7"/>
      <c r="N229" s="7"/>
      <c r="O229" s="7"/>
      <c r="P229" s="7"/>
      <c r="Q229" s="7"/>
      <c r="R229" s="7"/>
      <c r="S229" s="7"/>
      <c r="T229" s="7"/>
      <c r="U229" s="7"/>
      <c r="V229" s="7"/>
      <c r="W229" s="7"/>
      <c r="X229" s="7"/>
    </row>
    <row r="230" spans="2:24" ht="15" customHeight="1" x14ac:dyDescent="0.25">
      <c r="B230" s="7"/>
      <c r="C230" s="7"/>
      <c r="D230" s="7"/>
      <c r="E230" s="7"/>
      <c r="F230" s="7"/>
      <c r="G230" s="7"/>
      <c r="H230" s="7"/>
      <c r="I230" s="7"/>
      <c r="J230" s="7"/>
      <c r="K230" s="7"/>
      <c r="L230" s="7"/>
      <c r="M230" s="7"/>
      <c r="N230" s="7"/>
      <c r="O230" s="7"/>
      <c r="P230" s="7"/>
      <c r="Q230" s="7"/>
      <c r="R230" s="7"/>
      <c r="S230" s="7"/>
      <c r="T230" s="7"/>
      <c r="U230" s="7"/>
      <c r="V230" s="7"/>
      <c r="W230" s="7"/>
      <c r="X230" s="7"/>
    </row>
    <row r="231" spans="2:24" ht="15" customHeight="1" x14ac:dyDescent="0.25">
      <c r="B231" s="7"/>
      <c r="C231" s="7"/>
      <c r="D231" s="7"/>
      <c r="E231" s="7"/>
      <c r="F231" s="7"/>
      <c r="G231" s="7"/>
      <c r="H231" s="7"/>
      <c r="I231" s="7"/>
      <c r="J231" s="7"/>
      <c r="K231" s="7"/>
      <c r="L231" s="7"/>
      <c r="M231" s="7"/>
      <c r="N231" s="7"/>
      <c r="O231" s="7"/>
      <c r="P231" s="7"/>
      <c r="Q231" s="7"/>
      <c r="R231" s="7"/>
      <c r="S231" s="7"/>
      <c r="T231" s="7"/>
      <c r="U231" s="7"/>
      <c r="V231" s="7"/>
      <c r="W231" s="7"/>
      <c r="X231" s="7"/>
    </row>
    <row r="232" spans="2:24" ht="15" customHeight="1" x14ac:dyDescent="0.25">
      <c r="B232" s="7"/>
      <c r="C232" s="7"/>
      <c r="D232" s="7"/>
      <c r="E232" s="7"/>
      <c r="F232" s="7"/>
      <c r="G232" s="7"/>
      <c r="H232" s="7"/>
      <c r="I232" s="7"/>
      <c r="J232" s="7"/>
      <c r="K232" s="7"/>
      <c r="L232" s="7"/>
      <c r="M232" s="7"/>
      <c r="N232" s="7"/>
      <c r="O232" s="7"/>
      <c r="P232" s="7"/>
      <c r="Q232" s="7"/>
      <c r="R232" s="7"/>
      <c r="S232" s="7"/>
      <c r="T232" s="7"/>
      <c r="U232" s="7"/>
      <c r="V232" s="7"/>
      <c r="W232" s="7"/>
      <c r="X232" s="7"/>
    </row>
    <row r="233" spans="2:24" ht="15" customHeight="1" x14ac:dyDescent="0.25">
      <c r="B233" s="7"/>
      <c r="C233" s="7"/>
      <c r="D233" s="7"/>
      <c r="E233" s="7"/>
      <c r="F233" s="7"/>
      <c r="G233" s="7"/>
      <c r="H233" s="7"/>
      <c r="I233" s="7"/>
      <c r="J233" s="7"/>
      <c r="K233" s="7"/>
      <c r="L233" s="7"/>
      <c r="M233" s="7"/>
      <c r="N233" s="7"/>
      <c r="O233" s="7"/>
      <c r="P233" s="7"/>
      <c r="Q233" s="7"/>
      <c r="R233" s="7"/>
      <c r="S233" s="7"/>
      <c r="T233" s="7"/>
      <c r="U233" s="7"/>
      <c r="V233" s="7"/>
      <c r="W233" s="7"/>
      <c r="X233" s="7"/>
    </row>
    <row r="234" spans="2:24" ht="15" customHeight="1" x14ac:dyDescent="0.25">
      <c r="B234" s="7"/>
      <c r="C234" s="7"/>
      <c r="D234" s="7"/>
      <c r="E234" s="7"/>
      <c r="F234" s="7"/>
      <c r="G234" s="7"/>
      <c r="H234" s="7"/>
      <c r="I234" s="7"/>
      <c r="J234" s="7"/>
      <c r="K234" s="7"/>
      <c r="L234" s="7"/>
      <c r="M234" s="7"/>
      <c r="N234" s="7"/>
      <c r="O234" s="7"/>
      <c r="P234" s="7"/>
      <c r="Q234" s="7"/>
      <c r="R234" s="7"/>
      <c r="S234" s="7"/>
      <c r="T234" s="7"/>
      <c r="U234" s="7"/>
      <c r="V234" s="7"/>
      <c r="W234" s="7"/>
      <c r="X234" s="7"/>
    </row>
    <row r="235" spans="2:24" ht="15" customHeight="1" x14ac:dyDescent="0.25">
      <c r="B235" s="7"/>
      <c r="C235" s="7"/>
      <c r="D235" s="7"/>
      <c r="E235" s="7"/>
      <c r="F235" s="7"/>
      <c r="G235" s="7"/>
      <c r="H235" s="7"/>
      <c r="I235" s="7"/>
      <c r="J235" s="7"/>
      <c r="K235" s="7"/>
      <c r="L235" s="7"/>
      <c r="M235" s="7"/>
      <c r="N235" s="7"/>
      <c r="O235" s="7"/>
      <c r="P235" s="7"/>
      <c r="Q235" s="7"/>
      <c r="R235" s="7"/>
      <c r="S235" s="7"/>
      <c r="T235" s="7"/>
      <c r="U235" s="7"/>
      <c r="V235" s="7"/>
      <c r="W235" s="7"/>
      <c r="X235" s="7"/>
    </row>
    <row r="236" spans="2:24" ht="15" customHeight="1" x14ac:dyDescent="0.25">
      <c r="B236" s="7"/>
      <c r="C236" s="7"/>
      <c r="D236" s="7"/>
      <c r="E236" s="7"/>
      <c r="F236" s="7"/>
      <c r="G236" s="7"/>
      <c r="H236" s="7"/>
      <c r="I236" s="7"/>
      <c r="J236" s="7"/>
      <c r="K236" s="7"/>
      <c r="L236" s="7"/>
      <c r="M236" s="7"/>
      <c r="N236" s="7"/>
      <c r="O236" s="7"/>
      <c r="P236" s="7"/>
      <c r="Q236" s="7"/>
      <c r="R236" s="7"/>
      <c r="S236" s="7"/>
      <c r="T236" s="7"/>
      <c r="U236" s="7"/>
      <c r="V236" s="7"/>
      <c r="W236" s="7"/>
      <c r="X236" s="7"/>
    </row>
    <row r="237" spans="2:24" ht="15" customHeight="1" x14ac:dyDescent="0.25">
      <c r="B237" s="7"/>
      <c r="C237" s="7"/>
      <c r="D237" s="7"/>
      <c r="E237" s="7"/>
      <c r="F237" s="7"/>
      <c r="G237" s="7"/>
      <c r="H237" s="7"/>
      <c r="I237" s="7"/>
      <c r="J237" s="7"/>
      <c r="K237" s="7"/>
      <c r="L237" s="7"/>
      <c r="M237" s="7"/>
      <c r="N237" s="7"/>
      <c r="O237" s="7"/>
      <c r="P237" s="7"/>
      <c r="Q237" s="7"/>
      <c r="R237" s="7"/>
      <c r="S237" s="7"/>
      <c r="T237" s="7"/>
      <c r="U237" s="7"/>
      <c r="V237" s="7"/>
      <c r="W237" s="7"/>
      <c r="X237" s="7"/>
    </row>
    <row r="238" spans="2:24" ht="15" customHeight="1" x14ac:dyDescent="0.25">
      <c r="B238" s="7"/>
      <c r="C238" s="7"/>
      <c r="D238" s="7"/>
      <c r="E238" s="7"/>
      <c r="F238" s="7"/>
      <c r="G238" s="7"/>
      <c r="H238" s="7"/>
      <c r="I238" s="7"/>
      <c r="J238" s="7"/>
      <c r="K238" s="7"/>
      <c r="L238" s="7"/>
      <c r="M238" s="7"/>
      <c r="N238" s="7"/>
      <c r="O238" s="7"/>
      <c r="P238" s="7"/>
      <c r="Q238" s="7"/>
      <c r="R238" s="7"/>
      <c r="S238" s="7"/>
      <c r="T238" s="7"/>
      <c r="U238" s="7"/>
      <c r="V238" s="7"/>
      <c r="W238" s="7"/>
      <c r="X238" s="7"/>
    </row>
    <row r="239" spans="2:24" ht="15" customHeight="1" x14ac:dyDescent="0.25">
      <c r="B239" s="7"/>
      <c r="C239" s="7"/>
      <c r="D239" s="7"/>
      <c r="E239" s="7"/>
      <c r="F239" s="7"/>
      <c r="G239" s="7"/>
      <c r="H239" s="7"/>
      <c r="I239" s="7"/>
      <c r="J239" s="7"/>
      <c r="K239" s="7"/>
      <c r="L239" s="7"/>
      <c r="M239" s="7"/>
      <c r="N239" s="7"/>
      <c r="O239" s="7"/>
      <c r="P239" s="7"/>
      <c r="Q239" s="7"/>
      <c r="R239" s="7"/>
      <c r="S239" s="7"/>
      <c r="T239" s="7"/>
      <c r="U239" s="7"/>
      <c r="V239" s="7"/>
      <c r="W239" s="7"/>
      <c r="X239" s="7"/>
    </row>
    <row r="240" spans="2:24" ht="15" customHeight="1" x14ac:dyDescent="0.25">
      <c r="B240" s="7"/>
      <c r="C240" s="7"/>
      <c r="D240" s="7"/>
      <c r="E240" s="7"/>
      <c r="F240" s="7"/>
      <c r="G240" s="7"/>
      <c r="H240" s="7"/>
      <c r="I240" s="7"/>
      <c r="J240" s="7"/>
      <c r="K240" s="7"/>
      <c r="L240" s="7"/>
      <c r="M240" s="7"/>
      <c r="N240" s="7"/>
      <c r="O240" s="7"/>
      <c r="P240" s="7"/>
      <c r="Q240" s="7"/>
      <c r="R240" s="7"/>
      <c r="S240" s="7"/>
      <c r="T240" s="7"/>
      <c r="U240" s="7"/>
      <c r="V240" s="7"/>
      <c r="W240" s="7"/>
      <c r="X240" s="7"/>
    </row>
    <row r="241" spans="2:24" ht="15" customHeight="1" x14ac:dyDescent="0.25">
      <c r="B241" s="7"/>
      <c r="C241" s="7"/>
      <c r="D241" s="7"/>
      <c r="E241" s="7"/>
      <c r="F241" s="7"/>
      <c r="G241" s="7"/>
      <c r="H241" s="7"/>
      <c r="I241" s="7"/>
      <c r="J241" s="7"/>
      <c r="K241" s="7"/>
      <c r="L241" s="7"/>
      <c r="M241" s="7"/>
      <c r="N241" s="7"/>
      <c r="O241" s="7"/>
      <c r="P241" s="7"/>
      <c r="Q241" s="7"/>
      <c r="R241" s="7"/>
      <c r="S241" s="7"/>
      <c r="T241" s="7"/>
      <c r="U241" s="7"/>
      <c r="V241" s="7"/>
      <c r="W241" s="7"/>
      <c r="X241" s="7"/>
    </row>
    <row r="242" spans="2:24" ht="15" customHeight="1" x14ac:dyDescent="0.25">
      <c r="B242" s="7"/>
      <c r="C242" s="7"/>
      <c r="D242" s="7"/>
      <c r="E242" s="7"/>
      <c r="F242" s="7"/>
      <c r="G242" s="7"/>
      <c r="H242" s="7"/>
      <c r="I242" s="7"/>
      <c r="J242" s="7"/>
      <c r="K242" s="7"/>
      <c r="L242" s="7"/>
      <c r="M242" s="7"/>
      <c r="N242" s="7"/>
      <c r="O242" s="7"/>
      <c r="P242" s="7"/>
      <c r="Q242" s="7"/>
      <c r="R242" s="7"/>
      <c r="S242" s="7"/>
      <c r="T242" s="7"/>
      <c r="U242" s="7"/>
      <c r="V242" s="7"/>
      <c r="W242" s="7"/>
      <c r="X242" s="7"/>
    </row>
    <row r="243" spans="2:24" ht="15" customHeight="1" x14ac:dyDescent="0.25">
      <c r="B243" s="7"/>
      <c r="C243" s="7"/>
      <c r="D243" s="7"/>
      <c r="E243" s="7"/>
      <c r="F243" s="7"/>
      <c r="G243" s="7"/>
      <c r="H243" s="7"/>
      <c r="I243" s="7"/>
      <c r="J243" s="7"/>
      <c r="K243" s="7"/>
      <c r="L243" s="7"/>
      <c r="M243" s="7"/>
      <c r="N243" s="7"/>
      <c r="O243" s="7"/>
      <c r="P243" s="7"/>
      <c r="Q243" s="7"/>
      <c r="R243" s="7"/>
      <c r="S243" s="7"/>
      <c r="T243" s="7"/>
      <c r="U243" s="7"/>
      <c r="V243" s="7"/>
      <c r="W243" s="7"/>
      <c r="X243" s="7"/>
    </row>
    <row r="244" spans="2:24" ht="15" customHeight="1" x14ac:dyDescent="0.25">
      <c r="B244" s="7"/>
      <c r="C244" s="7"/>
      <c r="D244" s="7"/>
      <c r="E244" s="7"/>
      <c r="F244" s="7"/>
      <c r="G244" s="7"/>
      <c r="H244" s="7"/>
      <c r="I244" s="7"/>
      <c r="J244" s="7"/>
      <c r="K244" s="7"/>
      <c r="L244" s="7"/>
      <c r="M244" s="7"/>
      <c r="N244" s="7"/>
      <c r="O244" s="7"/>
      <c r="P244" s="7"/>
      <c r="Q244" s="7"/>
      <c r="R244" s="7"/>
      <c r="S244" s="7"/>
      <c r="T244" s="7"/>
      <c r="U244" s="7"/>
      <c r="V244" s="7"/>
      <c r="W244" s="7"/>
      <c r="X244" s="7"/>
    </row>
    <row r="245" spans="2:24" ht="15" customHeight="1" x14ac:dyDescent="0.25">
      <c r="B245" s="7"/>
      <c r="C245" s="7"/>
      <c r="D245" s="7"/>
      <c r="E245" s="7"/>
      <c r="F245" s="7"/>
      <c r="G245" s="7"/>
      <c r="H245" s="7"/>
      <c r="I245" s="7"/>
      <c r="J245" s="7"/>
      <c r="K245" s="7"/>
      <c r="L245" s="7"/>
      <c r="M245" s="7"/>
      <c r="N245" s="7"/>
      <c r="O245" s="7"/>
      <c r="P245" s="7"/>
      <c r="Q245" s="7"/>
      <c r="R245" s="7"/>
      <c r="S245" s="7"/>
      <c r="T245" s="7"/>
      <c r="U245" s="7"/>
      <c r="V245" s="7"/>
      <c r="W245" s="7"/>
      <c r="X245" s="7"/>
    </row>
    <row r="246" spans="2:24" ht="15" customHeight="1" x14ac:dyDescent="0.25">
      <c r="B246" s="7"/>
      <c r="C246" s="7"/>
      <c r="D246" s="7"/>
      <c r="E246" s="7"/>
      <c r="F246" s="7"/>
      <c r="G246" s="7"/>
      <c r="H246" s="7"/>
      <c r="I246" s="7"/>
      <c r="J246" s="7"/>
      <c r="K246" s="7"/>
      <c r="L246" s="7"/>
      <c r="M246" s="7"/>
      <c r="N246" s="7"/>
      <c r="O246" s="7"/>
      <c r="P246" s="7"/>
      <c r="Q246" s="7"/>
      <c r="R246" s="7"/>
      <c r="S246" s="7"/>
      <c r="T246" s="7"/>
      <c r="U246" s="7"/>
      <c r="V246" s="7"/>
      <c r="W246" s="7"/>
      <c r="X246" s="7"/>
    </row>
  </sheetData>
  <hyperlinks>
    <hyperlink ref="B3" location="Help!B10" display="1/3. Update Basic Info (e.g. share code etc)" xr:uid="{DFC6D3E9-2B37-40E8-A076-3CFD21372D8F}"/>
    <hyperlink ref="B4" location="Help!B59" display="2/3. Update Data Sources (i.e. download new AFS data from the database)" xr:uid="{D865B041-BD51-4FDE-9752-AE966E0D0E63}"/>
    <hyperlink ref="B5" location="Help!B154" display="3/3. Update and Save the Valuation Models" xr:uid="{8B2D0C91-6A72-47D3-B789-A0F17701BF5A}"/>
    <hyperlink ref="B6" location="Help!B205" display="Download new BBG Data into Database (for a new company or a company that has released new data)" xr:uid="{2052A9A4-13FD-44C5-BD89-39C5E63D894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61B5E-A8FC-46D0-B9B4-8CB9E6EA6FF0}">
  <sheetPr codeName="Sheet15">
    <tabColor theme="4"/>
  </sheetPr>
  <dimension ref="A1:BZ350"/>
  <sheetViews>
    <sheetView zoomScaleNormal="100" workbookViewId="0">
      <pane ySplit="9" topLeftCell="A31" activePane="bottomLeft" state="frozen"/>
      <selection activeCell="F58" sqref="F58"/>
      <selection pane="bottomLeft" activeCell="E21" sqref="E21"/>
    </sheetView>
  </sheetViews>
  <sheetFormatPr defaultColWidth="9.33203125" defaultRowHeight="13" x14ac:dyDescent="0.3"/>
  <cols>
    <col min="1" max="1" width="5" style="516" customWidth="1"/>
    <col min="2" max="2" width="33.6640625" style="516" bestFit="1" customWidth="1"/>
    <col min="3" max="3" width="21.77734375" style="516" customWidth="1"/>
    <col min="4" max="4" width="17.109375" style="516" bestFit="1" customWidth="1"/>
    <col min="5" max="39" width="9.33203125" style="516"/>
    <col min="40" max="40" width="22" style="516" bestFit="1" customWidth="1"/>
    <col min="41" max="41" width="9.33203125" style="516"/>
    <col min="42" max="42" width="5.6640625" style="516" bestFit="1" customWidth="1"/>
    <col min="43" max="47" width="9.33203125" style="516"/>
    <col min="48" max="48" width="36.33203125" style="516" customWidth="1"/>
    <col min="49" max="49" width="10.77734375" style="516" bestFit="1" customWidth="1"/>
    <col min="50" max="50" width="9.33203125" style="516"/>
    <col min="51" max="51" width="11.33203125" style="516" bestFit="1" customWidth="1"/>
    <col min="52" max="52" width="10.6640625" style="516" bestFit="1" customWidth="1"/>
    <col min="53" max="55" width="9.33203125" style="516"/>
    <col min="56" max="56" width="11.33203125" style="516" bestFit="1" customWidth="1"/>
    <col min="57" max="63" width="9.33203125" style="516"/>
    <col min="64" max="64" width="11.33203125" style="516" bestFit="1" customWidth="1"/>
    <col min="65" max="69" width="30.77734375" style="516" customWidth="1"/>
    <col min="70" max="71" width="40.77734375" style="516" customWidth="1"/>
    <col min="72" max="75" width="9.33203125" style="516"/>
    <col min="78" max="78" width="9.33203125" style="516"/>
  </cols>
  <sheetData>
    <row r="1" spans="1:78" ht="15" customHeight="1" x14ac:dyDescent="0.3">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7"/>
      <c r="BY1" s="17"/>
      <c r="BZ1" s="18"/>
    </row>
    <row r="2" spans="1:78" ht="15" customHeight="1" x14ac:dyDescent="0.3">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419"/>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7"/>
      <c r="BY2" s="17"/>
      <c r="BZ2" s="18"/>
    </row>
    <row r="3" spans="1:78" ht="15" customHeight="1" x14ac:dyDescent="0.3">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9" t="s">
        <v>613</v>
      </c>
      <c r="AO3" s="36" t="str">
        <f>C7</f>
        <v>NTC SJ Equity</v>
      </c>
      <c r="AP3" s="20"/>
      <c r="AQ3" s="20"/>
      <c r="AR3" s="18"/>
      <c r="AS3" s="18"/>
      <c r="AT3" s="18"/>
      <c r="AU3" s="18"/>
      <c r="AV3" s="420" t="s">
        <v>738</v>
      </c>
      <c r="AW3" s="421">
        <f>IF(EXACT(UPPER(AP5),AP5)=FALSE,0.01,1)</f>
        <v>0.01</v>
      </c>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7"/>
      <c r="BY3" s="17"/>
      <c r="BZ3" s="18"/>
    </row>
    <row r="4" spans="1:78" ht="15" customHeight="1" x14ac:dyDescent="0.3">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9" t="s">
        <v>614</v>
      </c>
      <c r="AO4" s="20">
        <v>1</v>
      </c>
      <c r="AP4" s="20"/>
      <c r="AQ4" s="20"/>
      <c r="AR4" s="18"/>
      <c r="AS4" s="18"/>
      <c r="AT4" s="18"/>
      <c r="AU4" s="18"/>
      <c r="AV4" s="420" t="s">
        <v>811</v>
      </c>
      <c r="AW4" s="422">
        <v>366</v>
      </c>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7"/>
      <c r="BY4" s="17"/>
      <c r="BZ4" s="18"/>
    </row>
    <row r="5" spans="1:78" ht="15" customHeight="1" x14ac:dyDescent="0.3">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423" t="s">
        <v>624</v>
      </c>
      <c r="AO5" s="31" t="s">
        <v>625</v>
      </c>
      <c r="AP5" s="31" t="s">
        <v>626</v>
      </c>
      <c r="AQ5" s="31" t="s">
        <v>626</v>
      </c>
      <c r="AR5" s="18"/>
      <c r="AS5" s="18"/>
      <c r="AT5" s="18"/>
      <c r="AU5" s="18"/>
      <c r="AV5" s="18"/>
      <c r="AW5" s="18"/>
      <c r="AX5" s="18"/>
      <c r="AY5" s="18"/>
      <c r="AZ5" s="18"/>
      <c r="BA5" s="18"/>
      <c r="BB5" s="18"/>
      <c r="BC5" s="18"/>
      <c r="BD5" s="18"/>
      <c r="BE5" s="18"/>
      <c r="BF5" s="18"/>
      <c r="BG5" s="18"/>
      <c r="BH5" s="18"/>
      <c r="BI5" s="18"/>
      <c r="BJ5" s="18"/>
      <c r="BK5" s="18"/>
      <c r="BL5" s="18"/>
      <c r="BM5" s="18"/>
      <c r="BN5" s="18"/>
      <c r="BO5" s="424" t="str">
        <f>ROUND(AW4/365,1) &amp; " Yr Return"</f>
        <v>1 Yr Return</v>
      </c>
      <c r="BP5" s="18"/>
      <c r="BQ5" s="18"/>
      <c r="BR5" s="76" t="s">
        <v>812</v>
      </c>
      <c r="BS5" s="18"/>
      <c r="BT5" s="18"/>
      <c r="BU5" s="18"/>
      <c r="BV5" s="18"/>
      <c r="BW5" s="18"/>
      <c r="BX5" s="17"/>
      <c r="BY5" s="17"/>
      <c r="BZ5" s="18"/>
    </row>
    <row r="6" spans="1:78" ht="15" customHeight="1" x14ac:dyDescent="0.3">
      <c r="A6" s="18"/>
      <c r="B6" s="425" t="s">
        <v>746</v>
      </c>
      <c r="C6" s="425"/>
      <c r="D6" s="425"/>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423" t="s">
        <v>627</v>
      </c>
      <c r="AO6" s="31" t="s">
        <v>628</v>
      </c>
      <c r="AP6" s="31" t="s">
        <v>428</v>
      </c>
      <c r="AQ6" s="31" t="s">
        <v>428</v>
      </c>
      <c r="AR6" s="18"/>
      <c r="AS6" s="18"/>
      <c r="AT6" s="18"/>
      <c r="AU6" s="18"/>
      <c r="AV6" s="18"/>
      <c r="AW6" s="18"/>
      <c r="AX6" s="18"/>
      <c r="AY6" s="18"/>
      <c r="AZ6" s="18"/>
      <c r="BA6" s="18"/>
      <c r="BB6" s="18"/>
      <c r="BC6" s="18"/>
      <c r="BD6" s="18"/>
      <c r="BE6" s="18"/>
      <c r="BF6" s="18"/>
      <c r="BG6" s="18"/>
      <c r="BH6" s="18"/>
      <c r="BI6" s="18"/>
      <c r="BJ6" s="18"/>
      <c r="BK6" s="18"/>
      <c r="BL6" s="18"/>
      <c r="BM6" s="18"/>
      <c r="BN6" s="18"/>
      <c r="BO6" s="426">
        <f>$C$21/$BO$10-1</f>
        <v>-1.0409437890353979E-2</v>
      </c>
      <c r="BP6" s="18"/>
      <c r="BQ6" s="18"/>
      <c r="BR6" s="18" t="str">
        <f>C7 &amp; " ("&amp;C18&amp;"): " &amp; TEXT(BL10,"Mmmyy") &amp;" - "&amp;TEXT(D21,"Mmmyy")</f>
        <v>NTC SJ Equity (ZAR): May22 - May23</v>
      </c>
      <c r="BS6" s="18"/>
      <c r="BT6" s="18"/>
      <c r="BU6" s="18"/>
      <c r="BV6" s="18"/>
      <c r="BW6" s="18"/>
      <c r="BX6" s="17"/>
      <c r="BY6" s="17"/>
      <c r="BZ6" s="18"/>
    </row>
    <row r="7" spans="1:78" ht="15" customHeight="1" x14ac:dyDescent="0.3">
      <c r="A7" s="18"/>
      <c r="B7" s="427" t="s">
        <v>630</v>
      </c>
      <c r="C7" s="428" t="s">
        <v>1908</v>
      </c>
      <c r="D7" s="429"/>
      <c r="E7" s="514" t="str">
        <f>'Financials DF (Live)'!B10</f>
        <v>NTC SJ Equity</v>
      </c>
      <c r="F7" s="430"/>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7"/>
      <c r="BY7" s="17"/>
      <c r="BZ7" s="18"/>
    </row>
    <row r="8" spans="1:78" ht="15" customHeight="1" x14ac:dyDescent="0.3">
      <c r="A8" s="18"/>
      <c r="B8" s="427" t="s">
        <v>629</v>
      </c>
      <c r="C8" s="431">
        <v>11</v>
      </c>
      <c r="D8" s="432"/>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t="s">
        <v>139</v>
      </c>
      <c r="AW8" s="18"/>
      <c r="AX8" s="18"/>
      <c r="AY8" s="18" t="s">
        <v>748</v>
      </c>
      <c r="AZ8" s="18" t="str">
        <f>UPPER(C17)</f>
        <v>ZAR</v>
      </c>
      <c r="BA8" s="18"/>
      <c r="BB8" s="18"/>
      <c r="BC8" s="18"/>
      <c r="BD8" s="29" t="str">
        <f>C18&amp;C17 &amp;" Curncy"</f>
        <v>ZARZAR Curncy</v>
      </c>
      <c r="BE8" s="18"/>
      <c r="BF8" s="18"/>
      <c r="BG8" s="18"/>
      <c r="BH8" s="18"/>
      <c r="BI8" s="18"/>
      <c r="BJ8" s="18"/>
      <c r="BK8" s="18"/>
      <c r="BL8" s="18"/>
      <c r="BM8" s="89" t="str">
        <f>B17</f>
        <v>Pricing Currency</v>
      </c>
      <c r="BN8" s="89" t="s">
        <v>813</v>
      </c>
      <c r="BO8" s="89" t="str">
        <f>B18</f>
        <v>Valuation Currency</v>
      </c>
      <c r="BP8" s="89" t="str">
        <f>BO8</f>
        <v>Valuation Currency</v>
      </c>
      <c r="BQ8" s="89" t="str">
        <f>BQ9</f>
        <v>DCF: (Upside)</v>
      </c>
      <c r="BR8" s="18"/>
      <c r="BS8" s="18"/>
      <c r="BT8" s="18"/>
      <c r="BU8" s="18"/>
      <c r="BV8" s="18"/>
      <c r="BW8" s="18"/>
      <c r="BX8" s="17"/>
      <c r="BY8" s="17"/>
      <c r="BZ8" s="18"/>
    </row>
    <row r="9" spans="1:78" ht="15" customHeight="1" x14ac:dyDescent="0.3">
      <c r="A9" s="18"/>
      <c r="B9" s="427" t="s">
        <v>622</v>
      </c>
      <c r="C9" s="432">
        <f ca="1">TODAY()</f>
        <v>45160</v>
      </c>
      <c r="D9" s="432"/>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20" t="str">
        <f ca="1">_xlfn.CONCAT("GET|","PX_Last","|", $C$7, "|START|",TEXT($C$9-1,"yyyymmdd"),"|DAYS|",$AW$4)</f>
        <v>GET|PX_Last|NTC SJ Equity|START|20230821|DAYS|366</v>
      </c>
      <c r="AW9" s="20"/>
      <c r="AX9" s="18"/>
      <c r="AY9" s="20" t="str">
        <f ca="1">_xlfn.CONCAT("GET|","CUR_MKT_CAP","|", $C$7, "|START|",TEXT($C$9-1,"yyyymmdd"),"|DAYS|",$AW$4)</f>
        <v>GET|CUR_MKT_CAP|NTC SJ Equity|START|20230821|DAYS|366</v>
      </c>
      <c r="AZ9" s="20"/>
      <c r="BA9" s="18"/>
      <c r="BB9" s="18"/>
      <c r="BC9" s="18"/>
      <c r="BD9" s="20" t="str">
        <f ca="1">_xlfn.CONCAT("GET|","PX_Last","|", BD8, "|START|",TEXT($C$9-1,"yyyymmdd"),"|DAYS|",$AW$4)</f>
        <v>GET|PX_Last|ZARZAR Curncy|START|20230821|DAYS|366</v>
      </c>
      <c r="BE9" s="20"/>
      <c r="BF9" s="18"/>
      <c r="BG9" s="18"/>
      <c r="BH9" s="18"/>
      <c r="BI9" s="18"/>
      <c r="BJ9" s="18"/>
      <c r="BK9" s="18" t="s">
        <v>300</v>
      </c>
      <c r="BL9" s="433"/>
      <c r="BM9" s="433" t="str">
        <f>"Price" &amp; " ("&amp;UPPER($C$17)&amp;")"</f>
        <v>Price (ZAR)</v>
      </c>
      <c r="BN9" s="433" t="str">
        <f>$BD$8</f>
        <v>ZARZAR Curncy</v>
      </c>
      <c r="BO9" s="433" t="str">
        <f>UPPER($C$18) &amp;" Price" &amp; " ("&amp; BO5&amp;")"</f>
        <v>ZAR Price (1 Yr Return)</v>
      </c>
      <c r="BP9" s="433" t="str">
        <f>"Current Price" &amp; " ("&amp;UPPER($C$18)&amp;")"</f>
        <v>Current Price (ZAR)</v>
      </c>
      <c r="BQ9" s="433" t="str">
        <f>C28 &amp; " (Upside)"</f>
        <v>DCF: (Upside)</v>
      </c>
      <c r="BR9" s="433" t="str">
        <f>BQ8 &amp; ": Labels"</f>
        <v>DCF: (Upside): Labels</v>
      </c>
      <c r="BS9" s="433" t="str">
        <f>BP9 &amp; ": Labels"</f>
        <v>Current Price (ZAR): Labels</v>
      </c>
      <c r="BT9" s="18"/>
      <c r="BU9" s="18"/>
      <c r="BV9" s="18"/>
      <c r="BW9" s="18"/>
      <c r="BX9" s="17"/>
      <c r="BY9" s="17"/>
      <c r="BZ9" s="18"/>
    </row>
    <row r="10" spans="1:78" ht="15" customHeight="1" x14ac:dyDescent="0.3">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434">
        <v>44705</v>
      </c>
      <c r="AW10" s="421">
        <v>1441</v>
      </c>
      <c r="AX10" s="18"/>
      <c r="AY10" s="434">
        <v>44705</v>
      </c>
      <c r="AZ10" s="421">
        <v>20737.29</v>
      </c>
      <c r="BA10" s="18"/>
      <c r="BB10" s="18"/>
      <c r="BC10" s="18"/>
      <c r="BD10" s="434"/>
      <c r="BE10" s="421"/>
      <c r="BF10" s="18"/>
      <c r="BG10" s="18"/>
      <c r="BH10" s="18"/>
      <c r="BI10" s="18"/>
      <c r="BJ10" s="18"/>
      <c r="BK10" s="18"/>
      <c r="BL10" s="435">
        <f t="shared" ref="BL10:BL73" si="0">IF($AV10="",NA(),AV10)</f>
        <v>44705</v>
      </c>
      <c r="BM10" s="436">
        <f t="shared" ref="BM10:BM73" si="1">IF($AV10="","-",AW10*$AW$3)</f>
        <v>14.41</v>
      </c>
      <c r="BN10" s="436">
        <f t="shared" ref="BN10:BN73" si="2">IF($C$17&lt;&gt;$C$18,VLOOKUP(BL10,$BD$10:$BE$301,2,0),1)</f>
        <v>1</v>
      </c>
      <c r="BO10" s="436">
        <f t="shared" ref="BO10:BO73" si="3">IF(BL10="","-",IF($C$17&lt;&gt;$C$18,(BM10)/VLOOKUP(BL10,$BD$10:$BE$301,2,1),BM10))</f>
        <v>14.41</v>
      </c>
      <c r="BP10" s="436" t="e">
        <f t="shared" ref="BP10:BP73" si="4">IF($BL10=$D$20,BO10,NA())</f>
        <v>#N/A</v>
      </c>
      <c r="BQ10" s="436" t="e">
        <f>IF($BL10=$D$20,$C$29,NA())</f>
        <v>#N/A</v>
      </c>
      <c r="BR10" s="436" t="str">
        <f t="shared" ref="BR10:BR73" si="5">IF(ISNA(BQ10),"",TEXT($C$29,"# ##0.00") &amp; " ("&amp;TEXT($C$30,"+0.0%;-0.0%;0%")&amp;")")</f>
        <v/>
      </c>
      <c r="BS10" s="436" t="str">
        <f t="shared" ref="BS10:BS73" si="6">IF(ISNA(BP10),"",TEXT(BP10,"# ##0.00") &amp; " ("&amp;TEXT($BO$6,"+0.0%;-0.0%;0%")&amp;")")</f>
        <v/>
      </c>
      <c r="BT10" s="18"/>
      <c r="BU10" s="18"/>
      <c r="BV10" s="18"/>
      <c r="BW10" s="18"/>
      <c r="BX10" s="17"/>
      <c r="BY10" s="17"/>
      <c r="BZ10" s="18"/>
    </row>
    <row r="11" spans="1:78" ht="15" customHeight="1" x14ac:dyDescent="0.3">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434">
        <v>44705</v>
      </c>
      <c r="AW11" s="421">
        <v>1524</v>
      </c>
      <c r="AX11" s="18"/>
      <c r="AY11" s="434">
        <v>44705</v>
      </c>
      <c r="AZ11" s="421">
        <v>21931.73</v>
      </c>
      <c r="BA11" s="18"/>
      <c r="BB11" s="18"/>
      <c r="BC11" s="18"/>
      <c r="BD11" s="434"/>
      <c r="BE11" s="421"/>
      <c r="BF11" s="18"/>
      <c r="BG11" s="18"/>
      <c r="BH11" s="18"/>
      <c r="BI11" s="18"/>
      <c r="BJ11" s="18"/>
      <c r="BK11" s="18"/>
      <c r="BL11" s="435">
        <f t="shared" si="0"/>
        <v>44705</v>
      </c>
      <c r="BM11" s="436">
        <f t="shared" si="1"/>
        <v>15.24</v>
      </c>
      <c r="BN11" s="436">
        <f t="shared" si="2"/>
        <v>1</v>
      </c>
      <c r="BO11" s="436">
        <f t="shared" si="3"/>
        <v>15.24</v>
      </c>
      <c r="BP11" s="436" t="e">
        <f t="shared" si="4"/>
        <v>#N/A</v>
      </c>
      <c r="BQ11" s="436" t="e">
        <f t="shared" ref="BQ11:BQ74" si="7">IF(BL11=$D$20,$C$29,NA())</f>
        <v>#N/A</v>
      </c>
      <c r="BR11" s="436" t="str">
        <f t="shared" si="5"/>
        <v/>
      </c>
      <c r="BS11" s="436" t="str">
        <f t="shared" si="6"/>
        <v/>
      </c>
      <c r="BT11" s="18"/>
      <c r="BU11" s="18"/>
      <c r="BV11" s="18"/>
      <c r="BW11" s="18"/>
      <c r="BX11" s="17"/>
      <c r="BY11" s="17"/>
      <c r="BZ11" s="18"/>
    </row>
    <row r="12" spans="1:78" ht="15" customHeight="1" x14ac:dyDescent="0.3">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434">
        <v>44706</v>
      </c>
      <c r="AW12" s="421">
        <v>1468</v>
      </c>
      <c r="AX12" s="18"/>
      <c r="AY12" s="434">
        <v>44706</v>
      </c>
      <c r="AZ12" s="421">
        <v>21125.84</v>
      </c>
      <c r="BA12" s="18"/>
      <c r="BB12" s="18"/>
      <c r="BC12" s="18"/>
      <c r="BD12" s="434"/>
      <c r="BE12" s="421"/>
      <c r="BF12" s="18"/>
      <c r="BG12" s="18"/>
      <c r="BH12" s="18"/>
      <c r="BI12" s="18"/>
      <c r="BJ12" s="18"/>
      <c r="BK12" s="18"/>
      <c r="BL12" s="435">
        <f t="shared" si="0"/>
        <v>44706</v>
      </c>
      <c r="BM12" s="436">
        <f t="shared" si="1"/>
        <v>14.68</v>
      </c>
      <c r="BN12" s="436">
        <f t="shared" si="2"/>
        <v>1</v>
      </c>
      <c r="BO12" s="436">
        <f t="shared" si="3"/>
        <v>14.68</v>
      </c>
      <c r="BP12" s="436" t="e">
        <f t="shared" si="4"/>
        <v>#N/A</v>
      </c>
      <c r="BQ12" s="436" t="e">
        <f t="shared" si="7"/>
        <v>#N/A</v>
      </c>
      <c r="BR12" s="436" t="str">
        <f t="shared" si="5"/>
        <v/>
      </c>
      <c r="BS12" s="436" t="str">
        <f t="shared" si="6"/>
        <v/>
      </c>
      <c r="BT12" s="18"/>
      <c r="BU12" s="18"/>
      <c r="BV12" s="18"/>
      <c r="BW12" s="18"/>
      <c r="BX12" s="17"/>
      <c r="BY12" s="17"/>
      <c r="BZ12" s="18"/>
    </row>
    <row r="13" spans="1:78" ht="15" customHeight="1" x14ac:dyDescent="0.3">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434">
        <v>44707</v>
      </c>
      <c r="AW13" s="421">
        <v>1491</v>
      </c>
      <c r="AX13" s="18"/>
      <c r="AY13" s="434">
        <v>44707</v>
      </c>
      <c r="AZ13" s="421">
        <v>21456.83</v>
      </c>
      <c r="BA13" s="18"/>
      <c r="BB13" s="18"/>
      <c r="BC13" s="18"/>
      <c r="BD13" s="434"/>
      <c r="BE13" s="421"/>
      <c r="BF13" s="18"/>
      <c r="BG13" s="18"/>
      <c r="BH13" s="18"/>
      <c r="BI13" s="18"/>
      <c r="BJ13" s="18"/>
      <c r="BK13" s="18"/>
      <c r="BL13" s="435">
        <f t="shared" si="0"/>
        <v>44707</v>
      </c>
      <c r="BM13" s="436">
        <f t="shared" si="1"/>
        <v>14.91</v>
      </c>
      <c r="BN13" s="436">
        <f t="shared" si="2"/>
        <v>1</v>
      </c>
      <c r="BO13" s="436">
        <f t="shared" si="3"/>
        <v>14.91</v>
      </c>
      <c r="BP13" s="436" t="e">
        <f t="shared" si="4"/>
        <v>#N/A</v>
      </c>
      <c r="BQ13" s="436" t="e">
        <f t="shared" si="7"/>
        <v>#N/A</v>
      </c>
      <c r="BR13" s="436" t="str">
        <f t="shared" si="5"/>
        <v/>
      </c>
      <c r="BS13" s="436" t="str">
        <f t="shared" si="6"/>
        <v/>
      </c>
      <c r="BT13" s="18"/>
      <c r="BU13" s="18"/>
      <c r="BV13" s="18"/>
      <c r="BW13" s="18"/>
      <c r="BX13" s="17"/>
      <c r="BY13" s="17"/>
      <c r="BZ13" s="18"/>
    </row>
    <row r="14" spans="1:78" ht="15" customHeight="1" x14ac:dyDescent="0.3">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434">
        <v>44708</v>
      </c>
      <c r="AW14" s="421">
        <v>1535</v>
      </c>
      <c r="AX14" s="18"/>
      <c r="AY14" s="434">
        <v>44708</v>
      </c>
      <c r="AZ14" s="421">
        <v>22090.03</v>
      </c>
      <c r="BA14" s="18"/>
      <c r="BB14" s="18"/>
      <c r="BC14" s="18"/>
      <c r="BD14" s="434"/>
      <c r="BE14" s="421"/>
      <c r="BF14" s="18"/>
      <c r="BG14" s="18"/>
      <c r="BH14" s="18"/>
      <c r="BI14" s="18"/>
      <c r="BJ14" s="18"/>
      <c r="BK14" s="18"/>
      <c r="BL14" s="435">
        <f t="shared" si="0"/>
        <v>44708</v>
      </c>
      <c r="BM14" s="436">
        <f t="shared" si="1"/>
        <v>15.35</v>
      </c>
      <c r="BN14" s="436">
        <f t="shared" si="2"/>
        <v>1</v>
      </c>
      <c r="BO14" s="436">
        <f t="shared" si="3"/>
        <v>15.35</v>
      </c>
      <c r="BP14" s="436" t="e">
        <f t="shared" si="4"/>
        <v>#N/A</v>
      </c>
      <c r="BQ14" s="436" t="e">
        <f t="shared" si="7"/>
        <v>#N/A</v>
      </c>
      <c r="BR14" s="436" t="str">
        <f t="shared" si="5"/>
        <v/>
      </c>
      <c r="BS14" s="436" t="str">
        <f t="shared" si="6"/>
        <v/>
      </c>
      <c r="BT14" s="18"/>
      <c r="BU14" s="18"/>
      <c r="BV14" s="18"/>
      <c r="BW14" s="18"/>
      <c r="BX14" s="17"/>
      <c r="BY14" s="17"/>
      <c r="BZ14" s="18"/>
    </row>
    <row r="15" spans="1:78" ht="15" customHeight="1" x14ac:dyDescent="0.3">
      <c r="A15" s="18"/>
      <c r="B15" s="425" t="s">
        <v>807</v>
      </c>
      <c r="C15" s="425"/>
      <c r="D15" s="425"/>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434">
        <v>44711</v>
      </c>
      <c r="AW15" s="421">
        <v>1523</v>
      </c>
      <c r="AX15" s="18"/>
      <c r="AY15" s="434">
        <v>44711</v>
      </c>
      <c r="AZ15" s="421">
        <v>21917.34</v>
      </c>
      <c r="BA15" s="18"/>
      <c r="BB15" s="18"/>
      <c r="BC15" s="18"/>
      <c r="BD15" s="434"/>
      <c r="BE15" s="421"/>
      <c r="BF15" s="18"/>
      <c r="BG15" s="18"/>
      <c r="BH15" s="18"/>
      <c r="BI15" s="18"/>
      <c r="BJ15" s="18"/>
      <c r="BK15" s="18"/>
      <c r="BL15" s="435">
        <f t="shared" si="0"/>
        <v>44711</v>
      </c>
      <c r="BM15" s="436">
        <f t="shared" si="1"/>
        <v>15.23</v>
      </c>
      <c r="BN15" s="436">
        <f t="shared" si="2"/>
        <v>1</v>
      </c>
      <c r="BO15" s="436">
        <f t="shared" si="3"/>
        <v>15.23</v>
      </c>
      <c r="BP15" s="436" t="e">
        <f t="shared" si="4"/>
        <v>#N/A</v>
      </c>
      <c r="BQ15" s="436" t="e">
        <f t="shared" si="7"/>
        <v>#N/A</v>
      </c>
      <c r="BR15" s="436" t="str">
        <f t="shared" si="5"/>
        <v/>
      </c>
      <c r="BS15" s="436" t="str">
        <f t="shared" si="6"/>
        <v/>
      </c>
      <c r="BT15" s="18"/>
      <c r="BU15" s="18"/>
      <c r="BV15" s="18"/>
      <c r="BW15" s="18"/>
      <c r="BX15" s="17"/>
      <c r="BY15" s="17"/>
      <c r="BZ15" s="18"/>
    </row>
    <row r="16" spans="1:78" ht="15" customHeight="1" x14ac:dyDescent="0.3">
      <c r="A16" s="18"/>
      <c r="B16" s="437" t="s">
        <v>747</v>
      </c>
      <c r="C16" s="438" t="s">
        <v>415</v>
      </c>
      <c r="D16" s="438" t="s">
        <v>622</v>
      </c>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434">
        <v>44712</v>
      </c>
      <c r="AW16" s="421">
        <v>1532</v>
      </c>
      <c r="AX16" s="18"/>
      <c r="AY16" s="434">
        <v>44712</v>
      </c>
      <c r="AZ16" s="421">
        <v>22046.86</v>
      </c>
      <c r="BA16" s="18"/>
      <c r="BB16" s="18"/>
      <c r="BC16" s="18"/>
      <c r="BD16" s="434"/>
      <c r="BE16" s="421"/>
      <c r="BF16" s="18"/>
      <c r="BG16" s="18"/>
      <c r="BH16" s="18"/>
      <c r="BI16" s="18"/>
      <c r="BJ16" s="18"/>
      <c r="BK16" s="18"/>
      <c r="BL16" s="435">
        <f t="shared" si="0"/>
        <v>44712</v>
      </c>
      <c r="BM16" s="436">
        <f t="shared" si="1"/>
        <v>15.32</v>
      </c>
      <c r="BN16" s="436">
        <f t="shared" si="2"/>
        <v>1</v>
      </c>
      <c r="BO16" s="436">
        <f t="shared" si="3"/>
        <v>15.32</v>
      </c>
      <c r="BP16" s="436" t="e">
        <f t="shared" si="4"/>
        <v>#N/A</v>
      </c>
      <c r="BQ16" s="436" t="e">
        <f t="shared" si="7"/>
        <v>#N/A</v>
      </c>
      <c r="BR16" s="436" t="str">
        <f t="shared" si="5"/>
        <v/>
      </c>
      <c r="BS16" s="436" t="str">
        <f t="shared" si="6"/>
        <v/>
      </c>
      <c r="BT16" s="18"/>
      <c r="BU16" s="18"/>
      <c r="BV16" s="18"/>
      <c r="BW16" s="18"/>
      <c r="BX16" s="17"/>
      <c r="BY16" s="17"/>
      <c r="BZ16" s="18"/>
    </row>
    <row r="17" spans="1:78" ht="15" customHeight="1" x14ac:dyDescent="0.3">
      <c r="A17" s="18"/>
      <c r="B17" s="427" t="s">
        <v>805</v>
      </c>
      <c r="C17" s="439" t="str">
        <f>UPPER(AP5)</f>
        <v>ZAR</v>
      </c>
      <c r="D17" s="432"/>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434">
        <v>44713</v>
      </c>
      <c r="AW17" s="421">
        <v>1512</v>
      </c>
      <c r="AX17" s="18"/>
      <c r="AY17" s="434">
        <v>44713</v>
      </c>
      <c r="AZ17" s="421">
        <v>21759.040000000001</v>
      </c>
      <c r="BA17" s="18"/>
      <c r="BB17" s="18"/>
      <c r="BC17" s="18"/>
      <c r="BD17" s="434"/>
      <c r="BE17" s="421"/>
      <c r="BF17" s="18"/>
      <c r="BG17" s="18"/>
      <c r="BH17" s="18"/>
      <c r="BI17" s="18"/>
      <c r="BJ17" s="18"/>
      <c r="BK17" s="18"/>
      <c r="BL17" s="435">
        <f t="shared" si="0"/>
        <v>44713</v>
      </c>
      <c r="BM17" s="436">
        <f t="shared" si="1"/>
        <v>15.120000000000001</v>
      </c>
      <c r="BN17" s="436">
        <f t="shared" si="2"/>
        <v>1</v>
      </c>
      <c r="BO17" s="436">
        <f t="shared" si="3"/>
        <v>15.120000000000001</v>
      </c>
      <c r="BP17" s="436" t="e">
        <f t="shared" si="4"/>
        <v>#N/A</v>
      </c>
      <c r="BQ17" s="436" t="e">
        <f t="shared" si="7"/>
        <v>#N/A</v>
      </c>
      <c r="BR17" s="436" t="str">
        <f t="shared" si="5"/>
        <v/>
      </c>
      <c r="BS17" s="436" t="str">
        <f t="shared" si="6"/>
        <v/>
      </c>
      <c r="BT17" s="18"/>
      <c r="BU17" s="18"/>
      <c r="BV17" s="18"/>
      <c r="BW17" s="18"/>
      <c r="BX17" s="17"/>
      <c r="BY17" s="17"/>
      <c r="BZ17" s="18"/>
    </row>
    <row r="18" spans="1:78" ht="15" customHeight="1" x14ac:dyDescent="0.3">
      <c r="A18" s="18"/>
      <c r="B18" s="427" t="s">
        <v>806</v>
      </c>
      <c r="C18" s="439" t="str">
        <f>UPPER(AP6)</f>
        <v>ZAR</v>
      </c>
      <c r="D18" s="432"/>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434">
        <v>44714</v>
      </c>
      <c r="AW18" s="421">
        <v>1481</v>
      </c>
      <c r="AX18" s="18"/>
      <c r="AY18" s="434">
        <v>44714</v>
      </c>
      <c r="AZ18" s="421">
        <v>21312.92</v>
      </c>
      <c r="BA18" s="18"/>
      <c r="BB18" s="18"/>
      <c r="BC18" s="18"/>
      <c r="BD18" s="434"/>
      <c r="BE18" s="421"/>
      <c r="BF18" s="18"/>
      <c r="BG18" s="18"/>
      <c r="BH18" s="18"/>
      <c r="BI18" s="18"/>
      <c r="BJ18" s="18"/>
      <c r="BK18" s="18"/>
      <c r="BL18" s="435">
        <f t="shared" si="0"/>
        <v>44714</v>
      </c>
      <c r="BM18" s="436">
        <f t="shared" si="1"/>
        <v>14.81</v>
      </c>
      <c r="BN18" s="436">
        <f t="shared" si="2"/>
        <v>1</v>
      </c>
      <c r="BO18" s="436">
        <f t="shared" si="3"/>
        <v>14.81</v>
      </c>
      <c r="BP18" s="436" t="e">
        <f t="shared" si="4"/>
        <v>#N/A</v>
      </c>
      <c r="BQ18" s="436" t="e">
        <f t="shared" si="7"/>
        <v>#N/A</v>
      </c>
      <c r="BR18" s="436" t="str">
        <f t="shared" si="5"/>
        <v/>
      </c>
      <c r="BS18" s="436" t="str">
        <f t="shared" si="6"/>
        <v/>
      </c>
      <c r="BT18" s="18"/>
      <c r="BU18" s="18"/>
      <c r="BV18" s="18"/>
      <c r="BW18" s="18"/>
      <c r="BX18" s="17"/>
      <c r="BY18" s="17"/>
      <c r="BZ18" s="18"/>
    </row>
    <row r="19" spans="1:78" ht="15" customHeight="1" x14ac:dyDescent="0.3">
      <c r="A19" s="18"/>
      <c r="B19" s="427" t="str">
        <f>IF(C17&lt;&gt;C18,"Current FX" &amp; " ("&amp;C18&amp;C17&amp;")","-")</f>
        <v>-</v>
      </c>
      <c r="C19" s="439" t="str">
        <f>IF($C$17&lt;&gt;$C$18,INDEX($BE$10:$BE$400,MATCH(D19,$BD$10:$BD$400,0)),"-")</f>
        <v>-</v>
      </c>
      <c r="D19" s="432" t="str">
        <f>IF(C17&lt;&gt;C18,MAX($BD$10:$BD$400),"-")</f>
        <v>-</v>
      </c>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434">
        <v>44715</v>
      </c>
      <c r="AW19" s="421">
        <v>1532</v>
      </c>
      <c r="AX19" s="18"/>
      <c r="AY19" s="434">
        <v>44715</v>
      </c>
      <c r="AZ19" s="421">
        <v>22046.86</v>
      </c>
      <c r="BA19" s="18"/>
      <c r="BB19" s="18"/>
      <c r="BC19" s="18"/>
      <c r="BD19" s="434"/>
      <c r="BE19" s="421"/>
      <c r="BF19" s="18"/>
      <c r="BG19" s="18"/>
      <c r="BH19" s="18"/>
      <c r="BI19" s="18"/>
      <c r="BJ19" s="18"/>
      <c r="BK19" s="18"/>
      <c r="BL19" s="435">
        <f t="shared" si="0"/>
        <v>44715</v>
      </c>
      <c r="BM19" s="436">
        <f t="shared" si="1"/>
        <v>15.32</v>
      </c>
      <c r="BN19" s="436">
        <f t="shared" si="2"/>
        <v>1</v>
      </c>
      <c r="BO19" s="436">
        <f t="shared" si="3"/>
        <v>15.32</v>
      </c>
      <c r="BP19" s="436" t="e">
        <f t="shared" si="4"/>
        <v>#N/A</v>
      </c>
      <c r="BQ19" s="436" t="e">
        <f t="shared" si="7"/>
        <v>#N/A</v>
      </c>
      <c r="BR19" s="436" t="str">
        <f t="shared" si="5"/>
        <v/>
      </c>
      <c r="BS19" s="436" t="str">
        <f t="shared" si="6"/>
        <v/>
      </c>
      <c r="BT19" s="18"/>
      <c r="BU19" s="18"/>
      <c r="BV19" s="18"/>
      <c r="BW19" s="18"/>
      <c r="BX19" s="17"/>
      <c r="BY19" s="17"/>
      <c r="BZ19" s="18"/>
    </row>
    <row r="20" spans="1:78" ht="15" customHeight="1" x14ac:dyDescent="0.3">
      <c r="A20" s="18"/>
      <c r="B20" s="427" t="str">
        <f>"Current Price" &amp; " ("&amp;C17&amp;")"</f>
        <v>Current Price (ZAR)</v>
      </c>
      <c r="C20" s="439">
        <f>INDEX($AW$10:$AW$400,MATCH(D20,$AV$10:$AV$400,0))*$AW$3</f>
        <v>14.26</v>
      </c>
      <c r="D20" s="432">
        <f>MAX($AV$10:$AV$400)</f>
        <v>45071</v>
      </c>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434">
        <v>44718</v>
      </c>
      <c r="AW20" s="421">
        <v>1498</v>
      </c>
      <c r="AX20" s="18"/>
      <c r="AY20" s="434">
        <v>44718</v>
      </c>
      <c r="AZ20" s="421">
        <v>21557.57</v>
      </c>
      <c r="BA20" s="18"/>
      <c r="BB20" s="18"/>
      <c r="BC20" s="18"/>
      <c r="BD20" s="434"/>
      <c r="BE20" s="421"/>
      <c r="BF20" s="18"/>
      <c r="BG20" s="18"/>
      <c r="BH20" s="18"/>
      <c r="BI20" s="18"/>
      <c r="BJ20" s="18"/>
      <c r="BK20" s="18"/>
      <c r="BL20" s="435">
        <f t="shared" si="0"/>
        <v>44718</v>
      </c>
      <c r="BM20" s="436">
        <f t="shared" si="1"/>
        <v>14.98</v>
      </c>
      <c r="BN20" s="436">
        <f t="shared" si="2"/>
        <v>1</v>
      </c>
      <c r="BO20" s="436">
        <f t="shared" si="3"/>
        <v>14.98</v>
      </c>
      <c r="BP20" s="436" t="e">
        <f t="shared" si="4"/>
        <v>#N/A</v>
      </c>
      <c r="BQ20" s="436" t="e">
        <f t="shared" si="7"/>
        <v>#N/A</v>
      </c>
      <c r="BR20" s="436" t="str">
        <f t="shared" si="5"/>
        <v/>
      </c>
      <c r="BS20" s="436" t="str">
        <f t="shared" si="6"/>
        <v/>
      </c>
      <c r="BT20" s="18"/>
      <c r="BU20" s="18"/>
      <c r="BV20" s="18"/>
      <c r="BW20" s="18"/>
      <c r="BX20" s="17"/>
      <c r="BY20" s="17"/>
      <c r="BZ20" s="18"/>
    </row>
    <row r="21" spans="1:78" ht="15" customHeight="1" x14ac:dyDescent="0.3">
      <c r="A21" s="18"/>
      <c r="B21" s="427" t="str">
        <f>"Current Price" &amp; " ("&amp;C18&amp;")"</f>
        <v>Current Price (ZAR)</v>
      </c>
      <c r="C21" s="439">
        <f>INDEX($BO$10:$BO$400,MATCH(D21,$BL$10:$BL$400,0))</f>
        <v>14.26</v>
      </c>
      <c r="D21" s="432">
        <f>MAX($AV$10:$AV$400)</f>
        <v>45071</v>
      </c>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434">
        <v>44719</v>
      </c>
      <c r="AW21" s="421">
        <v>1500</v>
      </c>
      <c r="AX21" s="18"/>
      <c r="AY21" s="434">
        <v>44719</v>
      </c>
      <c r="AZ21" s="421">
        <v>21586.35</v>
      </c>
      <c r="BA21" s="18"/>
      <c r="BB21" s="18"/>
      <c r="BC21" s="18"/>
      <c r="BD21" s="434"/>
      <c r="BE21" s="421"/>
      <c r="BF21" s="18"/>
      <c r="BG21" s="18"/>
      <c r="BH21" s="18"/>
      <c r="BI21" s="18"/>
      <c r="BJ21" s="18"/>
      <c r="BK21" s="18"/>
      <c r="BL21" s="435">
        <f t="shared" si="0"/>
        <v>44719</v>
      </c>
      <c r="BM21" s="436">
        <f t="shared" si="1"/>
        <v>15</v>
      </c>
      <c r="BN21" s="436">
        <f t="shared" si="2"/>
        <v>1</v>
      </c>
      <c r="BO21" s="436">
        <f t="shared" si="3"/>
        <v>15</v>
      </c>
      <c r="BP21" s="436" t="e">
        <f t="shared" si="4"/>
        <v>#N/A</v>
      </c>
      <c r="BQ21" s="436" t="e">
        <f t="shared" si="7"/>
        <v>#N/A</v>
      </c>
      <c r="BR21" s="436" t="str">
        <f t="shared" si="5"/>
        <v/>
      </c>
      <c r="BS21" s="436" t="str">
        <f t="shared" si="6"/>
        <v/>
      </c>
      <c r="BT21" s="18"/>
      <c r="BU21" s="18"/>
      <c r="BV21" s="18"/>
      <c r="BW21" s="18"/>
      <c r="BX21" s="17"/>
      <c r="BY21" s="17"/>
      <c r="BZ21" s="18"/>
    </row>
    <row r="22" spans="1:78" ht="15" customHeight="1" x14ac:dyDescent="0.3">
      <c r="A22" s="18"/>
      <c r="B22" s="427" t="str">
        <f>"Current Market Cap ("&amp;UPPER(C17)&amp;" m)"</f>
        <v>Current Market Cap (ZAR m)</v>
      </c>
      <c r="C22" s="439">
        <f>INDEX($AZ$10:$AZ$400,MATCH(D22,$AY$10:$AY$400,0))</f>
        <v>20521.419999999998</v>
      </c>
      <c r="D22" s="432">
        <f>MAX($AY$10:$AY$400)</f>
        <v>45071</v>
      </c>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434">
        <v>44720</v>
      </c>
      <c r="AW22" s="421">
        <v>1503</v>
      </c>
      <c r="AX22" s="18"/>
      <c r="AY22" s="434">
        <v>44720</v>
      </c>
      <c r="AZ22" s="421">
        <v>21629.52</v>
      </c>
      <c r="BA22" s="18"/>
      <c r="BB22" s="18"/>
      <c r="BC22" s="18"/>
      <c r="BD22" s="434"/>
      <c r="BE22" s="421"/>
      <c r="BF22" s="18"/>
      <c r="BG22" s="18"/>
      <c r="BH22" s="18"/>
      <c r="BI22" s="18"/>
      <c r="BJ22" s="18"/>
      <c r="BK22" s="18"/>
      <c r="BL22" s="435">
        <f t="shared" si="0"/>
        <v>44720</v>
      </c>
      <c r="BM22" s="436">
        <f t="shared" si="1"/>
        <v>15.030000000000001</v>
      </c>
      <c r="BN22" s="436">
        <f t="shared" si="2"/>
        <v>1</v>
      </c>
      <c r="BO22" s="436">
        <f t="shared" si="3"/>
        <v>15.030000000000001</v>
      </c>
      <c r="BP22" s="436" t="e">
        <f t="shared" si="4"/>
        <v>#N/A</v>
      </c>
      <c r="BQ22" s="436" t="e">
        <f t="shared" si="7"/>
        <v>#N/A</v>
      </c>
      <c r="BR22" s="436" t="str">
        <f t="shared" si="5"/>
        <v/>
      </c>
      <c r="BS22" s="436" t="str">
        <f t="shared" si="6"/>
        <v/>
      </c>
      <c r="BT22" s="18"/>
      <c r="BU22" s="18"/>
      <c r="BV22" s="18"/>
      <c r="BW22" s="18"/>
      <c r="BX22" s="17"/>
      <c r="BY22" s="17"/>
      <c r="BZ22" s="18"/>
    </row>
    <row r="23" spans="1:78" ht="15" customHeight="1" x14ac:dyDescent="0.3">
      <c r="A23" s="18"/>
      <c r="B23" s="427" t="str">
        <f>"Current Market Cap ("&amp;UPPER(C18)&amp;" m)"</f>
        <v>Current Market Cap (ZAR m)</v>
      </c>
      <c r="C23" s="439">
        <f>IF($C$17&lt;&gt;$C$18,C22*(1/$C$19),C22)</f>
        <v>20521.419999999998</v>
      </c>
      <c r="D23" s="432">
        <f>MAX($AY$10:$AY$400)</f>
        <v>45071</v>
      </c>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434">
        <v>44721</v>
      </c>
      <c r="AW23" s="421">
        <v>1489</v>
      </c>
      <c r="AX23" s="18"/>
      <c r="AY23" s="434">
        <v>44721</v>
      </c>
      <c r="AZ23" s="421">
        <v>21428.05</v>
      </c>
      <c r="BA23" s="18"/>
      <c r="BB23" s="18"/>
      <c r="BC23" s="18"/>
      <c r="BD23" s="434"/>
      <c r="BE23" s="421"/>
      <c r="BF23" s="18"/>
      <c r="BG23" s="18"/>
      <c r="BH23" s="18"/>
      <c r="BI23" s="18"/>
      <c r="BJ23" s="18"/>
      <c r="BK23" s="18"/>
      <c r="BL23" s="435">
        <f t="shared" si="0"/>
        <v>44721</v>
      </c>
      <c r="BM23" s="436">
        <f t="shared" si="1"/>
        <v>14.89</v>
      </c>
      <c r="BN23" s="436">
        <f t="shared" si="2"/>
        <v>1</v>
      </c>
      <c r="BO23" s="436">
        <f t="shared" si="3"/>
        <v>14.89</v>
      </c>
      <c r="BP23" s="436" t="e">
        <f t="shared" si="4"/>
        <v>#N/A</v>
      </c>
      <c r="BQ23" s="436" t="e">
        <f t="shared" si="7"/>
        <v>#N/A</v>
      </c>
      <c r="BR23" s="436" t="str">
        <f t="shared" si="5"/>
        <v/>
      </c>
      <c r="BS23" s="436" t="str">
        <f t="shared" si="6"/>
        <v/>
      </c>
      <c r="BT23" s="18"/>
      <c r="BU23" s="18"/>
      <c r="BV23" s="18"/>
      <c r="BW23" s="18"/>
      <c r="BX23" s="17"/>
      <c r="BY23" s="17"/>
      <c r="BZ23" s="18"/>
    </row>
    <row r="24" spans="1:78" ht="15" customHeight="1" x14ac:dyDescent="0.3">
      <c r="A24" s="18"/>
      <c r="B24" s="427"/>
      <c r="C24" s="439"/>
      <c r="D24" s="432"/>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434">
        <v>44722</v>
      </c>
      <c r="AW24" s="421">
        <v>1503</v>
      </c>
      <c r="AX24" s="18"/>
      <c r="AY24" s="434">
        <v>44722</v>
      </c>
      <c r="AZ24" s="421">
        <v>21629.52</v>
      </c>
      <c r="BA24" s="18"/>
      <c r="BB24" s="18"/>
      <c r="BC24" s="18"/>
      <c r="BD24" s="434"/>
      <c r="BE24" s="421"/>
      <c r="BF24" s="18"/>
      <c r="BG24" s="18"/>
      <c r="BH24" s="18"/>
      <c r="BI24" s="18"/>
      <c r="BJ24" s="18"/>
      <c r="BK24" s="18"/>
      <c r="BL24" s="435">
        <f t="shared" si="0"/>
        <v>44722</v>
      </c>
      <c r="BM24" s="436">
        <f t="shared" si="1"/>
        <v>15.030000000000001</v>
      </c>
      <c r="BN24" s="436">
        <f t="shared" si="2"/>
        <v>1</v>
      </c>
      <c r="BO24" s="436">
        <f t="shared" si="3"/>
        <v>15.030000000000001</v>
      </c>
      <c r="BP24" s="436" t="e">
        <f t="shared" si="4"/>
        <v>#N/A</v>
      </c>
      <c r="BQ24" s="436" t="e">
        <f t="shared" si="7"/>
        <v>#N/A</v>
      </c>
      <c r="BR24" s="436" t="str">
        <f t="shared" si="5"/>
        <v/>
      </c>
      <c r="BS24" s="436" t="str">
        <f t="shared" si="6"/>
        <v/>
      </c>
      <c r="BT24" s="18"/>
      <c r="BU24" s="18"/>
      <c r="BV24" s="18"/>
      <c r="BW24" s="18"/>
      <c r="BX24" s="17"/>
      <c r="BY24" s="17"/>
      <c r="BZ24" s="18"/>
    </row>
    <row r="25" spans="1:78" ht="15" customHeight="1" x14ac:dyDescent="0.3">
      <c r="A25" s="18"/>
      <c r="B25" s="427"/>
      <c r="C25" s="439"/>
      <c r="D25" s="432"/>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434">
        <v>44725</v>
      </c>
      <c r="AW25" s="421">
        <v>1498</v>
      </c>
      <c r="AX25" s="18"/>
      <c r="AY25" s="434">
        <v>44725</v>
      </c>
      <c r="AZ25" s="421">
        <v>21557.57</v>
      </c>
      <c r="BA25" s="18"/>
      <c r="BB25" s="18"/>
      <c r="BC25" s="18"/>
      <c r="BD25" s="434"/>
      <c r="BE25" s="421"/>
      <c r="BF25" s="18"/>
      <c r="BG25" s="18"/>
      <c r="BH25" s="18"/>
      <c r="BI25" s="18"/>
      <c r="BJ25" s="18"/>
      <c r="BK25" s="18"/>
      <c r="BL25" s="435">
        <f t="shared" si="0"/>
        <v>44725</v>
      </c>
      <c r="BM25" s="436">
        <f t="shared" si="1"/>
        <v>14.98</v>
      </c>
      <c r="BN25" s="436">
        <f t="shared" si="2"/>
        <v>1</v>
      </c>
      <c r="BO25" s="436">
        <f t="shared" si="3"/>
        <v>14.98</v>
      </c>
      <c r="BP25" s="436" t="e">
        <f t="shared" si="4"/>
        <v>#N/A</v>
      </c>
      <c r="BQ25" s="436" t="e">
        <f t="shared" si="7"/>
        <v>#N/A</v>
      </c>
      <c r="BR25" s="436" t="str">
        <f t="shared" si="5"/>
        <v/>
      </c>
      <c r="BS25" s="436" t="str">
        <f t="shared" si="6"/>
        <v/>
      </c>
      <c r="BT25" s="18"/>
      <c r="BU25" s="18"/>
      <c r="BV25" s="18"/>
      <c r="BW25" s="18"/>
      <c r="BX25" s="17"/>
      <c r="BY25" s="17"/>
      <c r="BZ25" s="18"/>
    </row>
    <row r="26" spans="1:78" ht="15" customHeight="1" x14ac:dyDescent="0.3">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434">
        <v>44726</v>
      </c>
      <c r="AW26" s="421">
        <v>1462</v>
      </c>
      <c r="AX26" s="18"/>
      <c r="AY26" s="434">
        <v>44726</v>
      </c>
      <c r="AZ26" s="421">
        <v>21039.5</v>
      </c>
      <c r="BA26" s="18"/>
      <c r="BB26" s="18"/>
      <c r="BC26" s="18"/>
      <c r="BD26" s="434"/>
      <c r="BE26" s="421"/>
      <c r="BF26" s="18"/>
      <c r="BG26" s="18"/>
      <c r="BH26" s="18"/>
      <c r="BI26" s="18"/>
      <c r="BJ26" s="18"/>
      <c r="BK26" s="18"/>
      <c r="BL26" s="435">
        <f t="shared" si="0"/>
        <v>44726</v>
      </c>
      <c r="BM26" s="436">
        <f t="shared" si="1"/>
        <v>14.620000000000001</v>
      </c>
      <c r="BN26" s="436">
        <f t="shared" si="2"/>
        <v>1</v>
      </c>
      <c r="BO26" s="436">
        <f t="shared" si="3"/>
        <v>14.620000000000001</v>
      </c>
      <c r="BP26" s="436" t="e">
        <f t="shared" si="4"/>
        <v>#N/A</v>
      </c>
      <c r="BQ26" s="436" t="e">
        <f t="shared" si="7"/>
        <v>#N/A</v>
      </c>
      <c r="BR26" s="436" t="str">
        <f t="shared" si="5"/>
        <v/>
      </c>
      <c r="BS26" s="436" t="str">
        <f t="shared" si="6"/>
        <v/>
      </c>
      <c r="BT26" s="18"/>
      <c r="BU26" s="18"/>
      <c r="BV26" s="18"/>
      <c r="BW26" s="18"/>
      <c r="BX26" s="17"/>
      <c r="BY26" s="17"/>
      <c r="BZ26" s="18"/>
    </row>
    <row r="27" spans="1:78" ht="15" customHeight="1" x14ac:dyDescent="0.3">
      <c r="A27" s="18"/>
      <c r="B27" s="437" t="s">
        <v>757</v>
      </c>
      <c r="C27" s="438"/>
      <c r="D27" s="43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434">
        <v>44727</v>
      </c>
      <c r="AW27" s="421">
        <v>1494</v>
      </c>
      <c r="AX27" s="18"/>
      <c r="AY27" s="434">
        <v>44727</v>
      </c>
      <c r="AZ27" s="421">
        <v>21500</v>
      </c>
      <c r="BA27" s="18"/>
      <c r="BB27" s="18"/>
      <c r="BC27" s="18"/>
      <c r="BD27" s="434"/>
      <c r="BE27" s="421"/>
      <c r="BF27" s="18"/>
      <c r="BG27" s="18"/>
      <c r="BH27" s="18"/>
      <c r="BI27" s="18"/>
      <c r="BJ27" s="18"/>
      <c r="BK27" s="18"/>
      <c r="BL27" s="435">
        <f t="shared" si="0"/>
        <v>44727</v>
      </c>
      <c r="BM27" s="436">
        <f t="shared" si="1"/>
        <v>14.94</v>
      </c>
      <c r="BN27" s="436">
        <f t="shared" si="2"/>
        <v>1</v>
      </c>
      <c r="BO27" s="436">
        <f t="shared" si="3"/>
        <v>14.94</v>
      </c>
      <c r="BP27" s="436" t="e">
        <f t="shared" si="4"/>
        <v>#N/A</v>
      </c>
      <c r="BQ27" s="436" t="e">
        <f t="shared" si="7"/>
        <v>#N/A</v>
      </c>
      <c r="BR27" s="436" t="str">
        <f t="shared" si="5"/>
        <v/>
      </c>
      <c r="BS27" s="436" t="str">
        <f t="shared" si="6"/>
        <v/>
      </c>
      <c r="BT27" s="18"/>
      <c r="BU27" s="18"/>
      <c r="BV27" s="18"/>
      <c r="BW27" s="18"/>
      <c r="BX27" s="17"/>
      <c r="BY27" s="17"/>
      <c r="BZ27" s="18"/>
    </row>
    <row r="28" spans="1:78" ht="15" customHeight="1" x14ac:dyDescent="0.3">
      <c r="A28" s="18"/>
      <c r="B28" s="427" t="str">
        <f>Summary!B22</f>
        <v>Choose Model:</v>
      </c>
      <c r="C28" s="439" t="str">
        <f>Summary!C22</f>
        <v>DCF:</v>
      </c>
      <c r="D28" s="439"/>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434">
        <v>44729</v>
      </c>
      <c r="AW28" s="421">
        <v>1474</v>
      </c>
      <c r="AX28" s="18"/>
      <c r="AY28" s="434">
        <v>44729</v>
      </c>
      <c r="AZ28" s="421">
        <v>21212.19</v>
      </c>
      <c r="BA28" s="18"/>
      <c r="BB28" s="18"/>
      <c r="BC28" s="18"/>
      <c r="BD28" s="434"/>
      <c r="BE28" s="421"/>
      <c r="BF28" s="18"/>
      <c r="BG28" s="18"/>
      <c r="BH28" s="18"/>
      <c r="BI28" s="18"/>
      <c r="BJ28" s="18"/>
      <c r="BK28" s="18"/>
      <c r="BL28" s="435">
        <f t="shared" si="0"/>
        <v>44729</v>
      </c>
      <c r="BM28" s="436">
        <f t="shared" si="1"/>
        <v>14.74</v>
      </c>
      <c r="BN28" s="436">
        <f t="shared" si="2"/>
        <v>1</v>
      </c>
      <c r="BO28" s="436">
        <f t="shared" si="3"/>
        <v>14.74</v>
      </c>
      <c r="BP28" s="436" t="e">
        <f t="shared" si="4"/>
        <v>#N/A</v>
      </c>
      <c r="BQ28" s="436" t="e">
        <f t="shared" si="7"/>
        <v>#N/A</v>
      </c>
      <c r="BR28" s="436" t="str">
        <f t="shared" si="5"/>
        <v/>
      </c>
      <c r="BS28" s="436" t="str">
        <f t="shared" si="6"/>
        <v/>
      </c>
      <c r="BT28" s="18"/>
      <c r="BU28" s="18"/>
      <c r="BV28" s="18"/>
      <c r="BW28" s="18"/>
      <c r="BX28" s="17"/>
      <c r="BY28" s="17"/>
      <c r="BZ28" s="18"/>
    </row>
    <row r="29" spans="1:78" ht="15" customHeight="1" x14ac:dyDescent="0.3">
      <c r="A29" s="18"/>
      <c r="B29" s="427" t="str">
        <f>Summary!D21</f>
        <v>Valuation</v>
      </c>
      <c r="C29" s="439">
        <f ca="1">Summary!D22</f>
        <v>20.204677144327977</v>
      </c>
      <c r="D29" s="439"/>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434">
        <v>44732</v>
      </c>
      <c r="AW29" s="421">
        <v>1483</v>
      </c>
      <c r="AX29" s="18"/>
      <c r="AY29" s="434">
        <v>44732</v>
      </c>
      <c r="AZ29" s="421">
        <v>21341.7</v>
      </c>
      <c r="BA29" s="18"/>
      <c r="BB29" s="18"/>
      <c r="BC29" s="18"/>
      <c r="BD29" s="434"/>
      <c r="BE29" s="421"/>
      <c r="BF29" s="18"/>
      <c r="BG29" s="18"/>
      <c r="BH29" s="18"/>
      <c r="BI29" s="18"/>
      <c r="BJ29" s="18"/>
      <c r="BK29" s="18"/>
      <c r="BL29" s="435">
        <f t="shared" si="0"/>
        <v>44732</v>
      </c>
      <c r="BM29" s="436">
        <f t="shared" si="1"/>
        <v>14.83</v>
      </c>
      <c r="BN29" s="436">
        <f t="shared" si="2"/>
        <v>1</v>
      </c>
      <c r="BO29" s="436">
        <f t="shared" si="3"/>
        <v>14.83</v>
      </c>
      <c r="BP29" s="436" t="e">
        <f t="shared" si="4"/>
        <v>#N/A</v>
      </c>
      <c r="BQ29" s="436" t="e">
        <f t="shared" si="7"/>
        <v>#N/A</v>
      </c>
      <c r="BR29" s="436" t="str">
        <f t="shared" si="5"/>
        <v/>
      </c>
      <c r="BS29" s="436" t="str">
        <f t="shared" si="6"/>
        <v/>
      </c>
      <c r="BT29" s="18"/>
      <c r="BU29" s="18"/>
      <c r="BV29" s="18"/>
      <c r="BW29" s="18"/>
      <c r="BX29" s="17"/>
      <c r="BY29" s="17"/>
      <c r="BZ29" s="18"/>
    </row>
    <row r="30" spans="1:78" ht="15" customHeight="1" x14ac:dyDescent="0.3">
      <c r="A30" s="18"/>
      <c r="B30" s="427" t="str">
        <f>Summary!E21</f>
        <v>ER (%)</v>
      </c>
      <c r="C30" s="440">
        <f ca="1">Summary!E22</f>
        <v>0.41687778010715126</v>
      </c>
      <c r="D30" s="440"/>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434">
        <v>44733</v>
      </c>
      <c r="AW30" s="421">
        <v>1483</v>
      </c>
      <c r="AX30" s="18"/>
      <c r="AY30" s="434">
        <v>44733</v>
      </c>
      <c r="AZ30" s="421">
        <v>21341.7</v>
      </c>
      <c r="BA30" s="18"/>
      <c r="BB30" s="18"/>
      <c r="BC30" s="18"/>
      <c r="BD30" s="434"/>
      <c r="BE30" s="421"/>
      <c r="BF30" s="18"/>
      <c r="BG30" s="18"/>
      <c r="BH30" s="18"/>
      <c r="BI30" s="18"/>
      <c r="BJ30" s="18"/>
      <c r="BK30" s="18"/>
      <c r="BL30" s="435">
        <f t="shared" si="0"/>
        <v>44733</v>
      </c>
      <c r="BM30" s="436">
        <f t="shared" si="1"/>
        <v>14.83</v>
      </c>
      <c r="BN30" s="436">
        <f t="shared" si="2"/>
        <v>1</v>
      </c>
      <c r="BO30" s="436">
        <f t="shared" si="3"/>
        <v>14.83</v>
      </c>
      <c r="BP30" s="436" t="e">
        <f t="shared" si="4"/>
        <v>#N/A</v>
      </c>
      <c r="BQ30" s="436" t="e">
        <f t="shared" si="7"/>
        <v>#N/A</v>
      </c>
      <c r="BR30" s="436" t="str">
        <f t="shared" si="5"/>
        <v/>
      </c>
      <c r="BS30" s="436" t="str">
        <f t="shared" si="6"/>
        <v/>
      </c>
      <c r="BT30" s="18"/>
      <c r="BU30" s="18"/>
      <c r="BV30" s="18"/>
      <c r="BW30" s="18"/>
      <c r="BX30" s="17"/>
      <c r="BY30" s="17"/>
      <c r="BZ30" s="18"/>
    </row>
    <row r="31" spans="1:78" ht="15" customHeight="1" x14ac:dyDescent="0.3">
      <c r="A31" s="18"/>
      <c r="B31" s="427"/>
      <c r="C31" s="440"/>
      <c r="D31" s="440"/>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434">
        <v>44734</v>
      </c>
      <c r="AW31" s="421">
        <v>1490</v>
      </c>
      <c r="AX31" s="18"/>
      <c r="AY31" s="434">
        <v>44734</v>
      </c>
      <c r="AZ31" s="421">
        <v>21442.44</v>
      </c>
      <c r="BA31" s="18"/>
      <c r="BB31" s="18"/>
      <c r="BC31" s="18"/>
      <c r="BD31" s="434"/>
      <c r="BE31" s="421"/>
      <c r="BF31" s="18"/>
      <c r="BG31" s="18"/>
      <c r="BH31" s="18"/>
      <c r="BI31" s="18"/>
      <c r="BJ31" s="18"/>
      <c r="BK31" s="18"/>
      <c r="BL31" s="435">
        <f t="shared" si="0"/>
        <v>44734</v>
      </c>
      <c r="BM31" s="436">
        <f t="shared" si="1"/>
        <v>14.9</v>
      </c>
      <c r="BN31" s="436">
        <f t="shared" si="2"/>
        <v>1</v>
      </c>
      <c r="BO31" s="436">
        <f t="shared" si="3"/>
        <v>14.9</v>
      </c>
      <c r="BP31" s="436" t="e">
        <f t="shared" si="4"/>
        <v>#N/A</v>
      </c>
      <c r="BQ31" s="436" t="e">
        <f t="shared" si="7"/>
        <v>#N/A</v>
      </c>
      <c r="BR31" s="436" t="str">
        <f t="shared" si="5"/>
        <v/>
      </c>
      <c r="BS31" s="436" t="str">
        <f t="shared" si="6"/>
        <v/>
      </c>
      <c r="BT31" s="18"/>
      <c r="BU31" s="18"/>
      <c r="BV31" s="18"/>
      <c r="BW31" s="18"/>
      <c r="BX31" s="17"/>
      <c r="BY31" s="17"/>
      <c r="BZ31" s="18"/>
    </row>
    <row r="32" spans="1:78" ht="15" customHeight="1" x14ac:dyDescent="0.3">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434">
        <v>44735</v>
      </c>
      <c r="AW32" s="421">
        <v>1465</v>
      </c>
      <c r="AX32" s="18"/>
      <c r="AY32" s="434">
        <v>44735</v>
      </c>
      <c r="AZ32" s="421">
        <v>21082.67</v>
      </c>
      <c r="BA32" s="18"/>
      <c r="BB32" s="18"/>
      <c r="BC32" s="18"/>
      <c r="BD32" s="434"/>
      <c r="BE32" s="421"/>
      <c r="BF32" s="18"/>
      <c r="BG32" s="18"/>
      <c r="BH32" s="18"/>
      <c r="BI32" s="18"/>
      <c r="BJ32" s="18"/>
      <c r="BK32" s="18"/>
      <c r="BL32" s="435">
        <f t="shared" si="0"/>
        <v>44735</v>
      </c>
      <c r="BM32" s="436">
        <f t="shared" si="1"/>
        <v>14.65</v>
      </c>
      <c r="BN32" s="436">
        <f t="shared" si="2"/>
        <v>1</v>
      </c>
      <c r="BO32" s="436">
        <f t="shared" si="3"/>
        <v>14.65</v>
      </c>
      <c r="BP32" s="436" t="e">
        <f t="shared" si="4"/>
        <v>#N/A</v>
      </c>
      <c r="BQ32" s="436" t="e">
        <f t="shared" si="7"/>
        <v>#N/A</v>
      </c>
      <c r="BR32" s="436" t="str">
        <f t="shared" si="5"/>
        <v/>
      </c>
      <c r="BS32" s="436" t="str">
        <f t="shared" si="6"/>
        <v/>
      </c>
      <c r="BT32" s="18"/>
      <c r="BU32" s="18"/>
      <c r="BV32" s="18"/>
      <c r="BW32" s="18"/>
      <c r="BX32" s="17"/>
      <c r="BY32" s="17"/>
      <c r="BZ32" s="18"/>
    </row>
    <row r="33" spans="1:78" ht="15" customHeight="1" x14ac:dyDescent="0.3">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434">
        <v>44736</v>
      </c>
      <c r="AW33" s="421">
        <v>1480</v>
      </c>
      <c r="AX33" s="18"/>
      <c r="AY33" s="434">
        <v>44736</v>
      </c>
      <c r="AZ33" s="421">
        <v>21298.53</v>
      </c>
      <c r="BA33" s="18"/>
      <c r="BB33" s="18"/>
      <c r="BC33" s="18"/>
      <c r="BD33" s="434"/>
      <c r="BE33" s="421"/>
      <c r="BF33" s="18"/>
      <c r="BG33" s="18"/>
      <c r="BH33" s="18"/>
      <c r="BI33" s="18"/>
      <c r="BJ33" s="18"/>
      <c r="BK33" s="18"/>
      <c r="BL33" s="435">
        <f t="shared" si="0"/>
        <v>44736</v>
      </c>
      <c r="BM33" s="436">
        <f t="shared" si="1"/>
        <v>14.8</v>
      </c>
      <c r="BN33" s="436">
        <f t="shared" si="2"/>
        <v>1</v>
      </c>
      <c r="BO33" s="436">
        <f t="shared" si="3"/>
        <v>14.8</v>
      </c>
      <c r="BP33" s="436" t="e">
        <f t="shared" si="4"/>
        <v>#N/A</v>
      </c>
      <c r="BQ33" s="436" t="e">
        <f t="shared" si="7"/>
        <v>#N/A</v>
      </c>
      <c r="BR33" s="436" t="str">
        <f t="shared" si="5"/>
        <v/>
      </c>
      <c r="BS33" s="436" t="str">
        <f t="shared" si="6"/>
        <v/>
      </c>
      <c r="BT33" s="18"/>
      <c r="BU33" s="18"/>
      <c r="BV33" s="18"/>
      <c r="BW33" s="18"/>
      <c r="BX33" s="17"/>
      <c r="BY33" s="17"/>
      <c r="BZ33" s="18"/>
    </row>
    <row r="34" spans="1:78" ht="15" customHeight="1" x14ac:dyDescent="0.3">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434">
        <v>44739</v>
      </c>
      <c r="AW34" s="421">
        <v>1506</v>
      </c>
      <c r="AX34" s="18"/>
      <c r="AY34" s="434">
        <v>44739</v>
      </c>
      <c r="AZ34" s="421">
        <v>21672.7</v>
      </c>
      <c r="BA34" s="18"/>
      <c r="BB34" s="18"/>
      <c r="BC34" s="18"/>
      <c r="BD34" s="434"/>
      <c r="BE34" s="421"/>
      <c r="BF34" s="18"/>
      <c r="BG34" s="18"/>
      <c r="BH34" s="18"/>
      <c r="BI34" s="18"/>
      <c r="BJ34" s="18"/>
      <c r="BK34" s="18"/>
      <c r="BL34" s="435">
        <f t="shared" si="0"/>
        <v>44739</v>
      </c>
      <c r="BM34" s="436">
        <f t="shared" si="1"/>
        <v>15.06</v>
      </c>
      <c r="BN34" s="436">
        <f t="shared" si="2"/>
        <v>1</v>
      </c>
      <c r="BO34" s="436">
        <f t="shared" si="3"/>
        <v>15.06</v>
      </c>
      <c r="BP34" s="436" t="e">
        <f t="shared" si="4"/>
        <v>#N/A</v>
      </c>
      <c r="BQ34" s="436" t="e">
        <f t="shared" si="7"/>
        <v>#N/A</v>
      </c>
      <c r="BR34" s="436" t="str">
        <f t="shared" si="5"/>
        <v/>
      </c>
      <c r="BS34" s="436" t="str">
        <f t="shared" si="6"/>
        <v/>
      </c>
      <c r="BT34" s="18"/>
      <c r="BU34" s="18"/>
      <c r="BV34" s="18"/>
      <c r="BW34" s="18"/>
      <c r="BX34" s="17"/>
      <c r="BY34" s="17"/>
      <c r="BZ34" s="18"/>
    </row>
    <row r="35" spans="1:78" ht="15" customHeight="1" x14ac:dyDescent="0.3">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434">
        <v>44740</v>
      </c>
      <c r="AW35" s="421">
        <v>1472</v>
      </c>
      <c r="AX35" s="18"/>
      <c r="AY35" s="434">
        <v>44740</v>
      </c>
      <c r="AZ35" s="421">
        <v>21183.4</v>
      </c>
      <c r="BA35" s="18"/>
      <c r="BB35" s="18"/>
      <c r="BC35" s="18"/>
      <c r="BD35" s="434"/>
      <c r="BE35" s="421"/>
      <c r="BF35" s="18"/>
      <c r="BG35" s="18"/>
      <c r="BH35" s="18"/>
      <c r="BI35" s="18"/>
      <c r="BJ35" s="18"/>
      <c r="BK35" s="18"/>
      <c r="BL35" s="435">
        <f t="shared" si="0"/>
        <v>44740</v>
      </c>
      <c r="BM35" s="436">
        <f t="shared" si="1"/>
        <v>14.72</v>
      </c>
      <c r="BN35" s="436">
        <f t="shared" si="2"/>
        <v>1</v>
      </c>
      <c r="BO35" s="436">
        <f t="shared" si="3"/>
        <v>14.72</v>
      </c>
      <c r="BP35" s="436" t="e">
        <f t="shared" si="4"/>
        <v>#N/A</v>
      </c>
      <c r="BQ35" s="436" t="e">
        <f t="shared" si="7"/>
        <v>#N/A</v>
      </c>
      <c r="BR35" s="436" t="str">
        <f t="shared" si="5"/>
        <v/>
      </c>
      <c r="BS35" s="436" t="str">
        <f t="shared" si="6"/>
        <v/>
      </c>
      <c r="BT35" s="18"/>
      <c r="BU35" s="18"/>
      <c r="BV35" s="18"/>
      <c r="BW35" s="18"/>
      <c r="BX35" s="17"/>
      <c r="BY35" s="17"/>
      <c r="BZ35" s="18"/>
    </row>
    <row r="36" spans="1:78" ht="15" customHeight="1" x14ac:dyDescent="0.3">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434">
        <v>44741</v>
      </c>
      <c r="AW36" s="421">
        <v>1457</v>
      </c>
      <c r="AX36" s="18"/>
      <c r="AY36" s="434">
        <v>44741</v>
      </c>
      <c r="AZ36" s="421">
        <v>20967.54</v>
      </c>
      <c r="BA36" s="18"/>
      <c r="BB36" s="18"/>
      <c r="BC36" s="18"/>
      <c r="BD36" s="434"/>
      <c r="BE36" s="421"/>
      <c r="BF36" s="18"/>
      <c r="BG36" s="18"/>
      <c r="BH36" s="18"/>
      <c r="BI36" s="18"/>
      <c r="BJ36" s="18"/>
      <c r="BK36" s="18"/>
      <c r="BL36" s="435">
        <f t="shared" si="0"/>
        <v>44741</v>
      </c>
      <c r="BM36" s="436">
        <f t="shared" si="1"/>
        <v>14.57</v>
      </c>
      <c r="BN36" s="436">
        <f t="shared" si="2"/>
        <v>1</v>
      </c>
      <c r="BO36" s="436">
        <f t="shared" si="3"/>
        <v>14.57</v>
      </c>
      <c r="BP36" s="436" t="e">
        <f t="shared" si="4"/>
        <v>#N/A</v>
      </c>
      <c r="BQ36" s="436" t="e">
        <f t="shared" si="7"/>
        <v>#N/A</v>
      </c>
      <c r="BR36" s="436" t="str">
        <f t="shared" si="5"/>
        <v/>
      </c>
      <c r="BS36" s="436" t="str">
        <f t="shared" si="6"/>
        <v/>
      </c>
      <c r="BT36" s="18"/>
      <c r="BU36" s="18"/>
      <c r="BV36" s="18"/>
      <c r="BW36" s="18"/>
      <c r="BX36" s="17"/>
      <c r="BY36" s="17"/>
      <c r="BZ36" s="18"/>
    </row>
    <row r="37" spans="1:78" ht="15" customHeight="1" x14ac:dyDescent="0.3">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434">
        <v>44742</v>
      </c>
      <c r="AW37" s="421">
        <v>1427</v>
      </c>
      <c r="AX37" s="18"/>
      <c r="AY37" s="434">
        <v>44742</v>
      </c>
      <c r="AZ37" s="421">
        <v>20535.810000000001</v>
      </c>
      <c r="BA37" s="18"/>
      <c r="BB37" s="18"/>
      <c r="BC37" s="18"/>
      <c r="BD37" s="434"/>
      <c r="BE37" s="421"/>
      <c r="BF37" s="18"/>
      <c r="BG37" s="18"/>
      <c r="BH37" s="18"/>
      <c r="BI37" s="18"/>
      <c r="BJ37" s="18"/>
      <c r="BK37" s="18"/>
      <c r="BL37" s="435">
        <f t="shared" si="0"/>
        <v>44742</v>
      </c>
      <c r="BM37" s="436">
        <f t="shared" si="1"/>
        <v>14.27</v>
      </c>
      <c r="BN37" s="436">
        <f t="shared" si="2"/>
        <v>1</v>
      </c>
      <c r="BO37" s="436">
        <f t="shared" si="3"/>
        <v>14.27</v>
      </c>
      <c r="BP37" s="436" t="e">
        <f t="shared" si="4"/>
        <v>#N/A</v>
      </c>
      <c r="BQ37" s="436" t="e">
        <f t="shared" si="7"/>
        <v>#N/A</v>
      </c>
      <c r="BR37" s="436" t="str">
        <f t="shared" si="5"/>
        <v/>
      </c>
      <c r="BS37" s="436" t="str">
        <f t="shared" si="6"/>
        <v/>
      </c>
      <c r="BT37" s="18"/>
      <c r="BU37" s="18"/>
      <c r="BV37" s="18"/>
      <c r="BW37" s="18"/>
      <c r="BX37" s="17"/>
      <c r="BY37" s="17"/>
      <c r="BZ37" s="18"/>
    </row>
    <row r="38" spans="1:78" ht="15" customHeight="1" x14ac:dyDescent="0.3">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434">
        <v>44743</v>
      </c>
      <c r="AW38" s="421">
        <v>1380</v>
      </c>
      <c r="AX38" s="18"/>
      <c r="AY38" s="434">
        <v>44743</v>
      </c>
      <c r="AZ38" s="421">
        <v>19859.439999999999</v>
      </c>
      <c r="BA38" s="18"/>
      <c r="BB38" s="18"/>
      <c r="BC38" s="18"/>
      <c r="BD38" s="434"/>
      <c r="BE38" s="421"/>
      <c r="BF38" s="18"/>
      <c r="BG38" s="18"/>
      <c r="BH38" s="18"/>
      <c r="BI38" s="18"/>
      <c r="BJ38" s="18"/>
      <c r="BK38" s="18"/>
      <c r="BL38" s="435">
        <f t="shared" si="0"/>
        <v>44743</v>
      </c>
      <c r="BM38" s="436">
        <f t="shared" si="1"/>
        <v>13.8</v>
      </c>
      <c r="BN38" s="436">
        <f t="shared" si="2"/>
        <v>1</v>
      </c>
      <c r="BO38" s="436">
        <f t="shared" si="3"/>
        <v>13.8</v>
      </c>
      <c r="BP38" s="436" t="e">
        <f t="shared" si="4"/>
        <v>#N/A</v>
      </c>
      <c r="BQ38" s="436" t="e">
        <f t="shared" si="7"/>
        <v>#N/A</v>
      </c>
      <c r="BR38" s="436" t="str">
        <f t="shared" si="5"/>
        <v/>
      </c>
      <c r="BS38" s="436" t="str">
        <f t="shared" si="6"/>
        <v/>
      </c>
      <c r="BT38" s="18"/>
      <c r="BU38" s="18"/>
      <c r="BV38" s="18"/>
      <c r="BW38" s="18"/>
      <c r="BX38" s="17"/>
      <c r="BY38" s="17"/>
      <c r="BZ38" s="18"/>
    </row>
    <row r="39" spans="1:78" ht="15" customHeight="1" x14ac:dyDescent="0.3">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434">
        <v>44746</v>
      </c>
      <c r="AW39" s="421">
        <v>1390</v>
      </c>
      <c r="AX39" s="18"/>
      <c r="AY39" s="434">
        <v>44746</v>
      </c>
      <c r="AZ39" s="421">
        <v>20003.349999999999</v>
      </c>
      <c r="BA39" s="18"/>
      <c r="BB39" s="18"/>
      <c r="BC39" s="18"/>
      <c r="BD39" s="434"/>
      <c r="BE39" s="421"/>
      <c r="BF39" s="18"/>
      <c r="BG39" s="18"/>
      <c r="BH39" s="18"/>
      <c r="BI39" s="18"/>
      <c r="BJ39" s="18"/>
      <c r="BK39" s="18"/>
      <c r="BL39" s="435">
        <f t="shared" si="0"/>
        <v>44746</v>
      </c>
      <c r="BM39" s="436">
        <f t="shared" si="1"/>
        <v>13.9</v>
      </c>
      <c r="BN39" s="436">
        <f t="shared" si="2"/>
        <v>1</v>
      </c>
      <c r="BO39" s="436">
        <f t="shared" si="3"/>
        <v>13.9</v>
      </c>
      <c r="BP39" s="436" t="e">
        <f t="shared" si="4"/>
        <v>#N/A</v>
      </c>
      <c r="BQ39" s="436" t="e">
        <f t="shared" si="7"/>
        <v>#N/A</v>
      </c>
      <c r="BR39" s="436" t="str">
        <f t="shared" si="5"/>
        <v/>
      </c>
      <c r="BS39" s="436" t="str">
        <f t="shared" si="6"/>
        <v/>
      </c>
      <c r="BT39" s="18"/>
      <c r="BU39" s="18"/>
      <c r="BV39" s="18"/>
      <c r="BW39" s="18"/>
      <c r="BX39" s="17"/>
      <c r="BY39" s="17"/>
      <c r="BZ39" s="18"/>
    </row>
    <row r="40" spans="1:78" ht="15" customHeight="1" x14ac:dyDescent="0.3">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434">
        <v>44747</v>
      </c>
      <c r="AW40" s="421">
        <v>1406</v>
      </c>
      <c r="AX40" s="18"/>
      <c r="AY40" s="434">
        <v>44747</v>
      </c>
      <c r="AZ40" s="421">
        <v>20233.61</v>
      </c>
      <c r="BA40" s="18"/>
      <c r="BB40" s="18"/>
      <c r="BC40" s="18"/>
      <c r="BD40" s="434"/>
      <c r="BE40" s="421"/>
      <c r="BF40" s="18"/>
      <c r="BG40" s="18"/>
      <c r="BH40" s="18"/>
      <c r="BI40" s="18"/>
      <c r="BJ40" s="18"/>
      <c r="BK40" s="18"/>
      <c r="BL40" s="435">
        <f t="shared" si="0"/>
        <v>44747</v>
      </c>
      <c r="BM40" s="436">
        <f t="shared" si="1"/>
        <v>14.06</v>
      </c>
      <c r="BN40" s="436">
        <f t="shared" si="2"/>
        <v>1</v>
      </c>
      <c r="BO40" s="436">
        <f t="shared" si="3"/>
        <v>14.06</v>
      </c>
      <c r="BP40" s="436" t="e">
        <f t="shared" si="4"/>
        <v>#N/A</v>
      </c>
      <c r="BQ40" s="436" t="e">
        <f t="shared" si="7"/>
        <v>#N/A</v>
      </c>
      <c r="BR40" s="436" t="str">
        <f t="shared" si="5"/>
        <v/>
      </c>
      <c r="BS40" s="436" t="str">
        <f t="shared" si="6"/>
        <v/>
      </c>
      <c r="BT40" s="18"/>
      <c r="BU40" s="18"/>
      <c r="BV40" s="18"/>
      <c r="BW40" s="18"/>
      <c r="BX40" s="17"/>
      <c r="BY40" s="17"/>
      <c r="BZ40" s="18"/>
    </row>
    <row r="41" spans="1:78" x14ac:dyDescent="0.3">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434">
        <v>44748</v>
      </c>
      <c r="AW41" s="421">
        <v>1396</v>
      </c>
      <c r="AX41" s="18"/>
      <c r="AY41" s="434">
        <v>44748</v>
      </c>
      <c r="AZ41" s="421">
        <v>20089.7</v>
      </c>
      <c r="BA41" s="18"/>
      <c r="BB41" s="18"/>
      <c r="BC41" s="18"/>
      <c r="BD41" s="434"/>
      <c r="BE41" s="421"/>
      <c r="BF41" s="18"/>
      <c r="BG41" s="18"/>
      <c r="BH41" s="18"/>
      <c r="BI41" s="18"/>
      <c r="BJ41" s="18"/>
      <c r="BK41" s="18"/>
      <c r="BL41" s="435">
        <f t="shared" si="0"/>
        <v>44748</v>
      </c>
      <c r="BM41" s="436">
        <f t="shared" si="1"/>
        <v>13.96</v>
      </c>
      <c r="BN41" s="436">
        <f t="shared" si="2"/>
        <v>1</v>
      </c>
      <c r="BO41" s="436">
        <f t="shared" si="3"/>
        <v>13.96</v>
      </c>
      <c r="BP41" s="436" t="e">
        <f t="shared" si="4"/>
        <v>#N/A</v>
      </c>
      <c r="BQ41" s="436" t="e">
        <f t="shared" si="7"/>
        <v>#N/A</v>
      </c>
      <c r="BR41" s="436" t="str">
        <f t="shared" si="5"/>
        <v/>
      </c>
      <c r="BS41" s="436" t="str">
        <f t="shared" si="6"/>
        <v/>
      </c>
      <c r="BT41" s="18"/>
      <c r="BU41" s="18"/>
      <c r="BV41" s="18"/>
      <c r="BW41" s="18"/>
      <c r="BX41" s="17"/>
      <c r="BY41" s="17"/>
      <c r="BZ41" s="18"/>
    </row>
    <row r="42" spans="1:78" x14ac:dyDescent="0.3">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434">
        <v>44749</v>
      </c>
      <c r="AW42" s="421">
        <v>1420</v>
      </c>
      <c r="AX42" s="18"/>
      <c r="AY42" s="434">
        <v>44749</v>
      </c>
      <c r="AZ42" s="421">
        <v>20435.080000000002</v>
      </c>
      <c r="BA42" s="18"/>
      <c r="BB42" s="18"/>
      <c r="BC42" s="18"/>
      <c r="BD42" s="434"/>
      <c r="BE42" s="421"/>
      <c r="BF42" s="18"/>
      <c r="BG42" s="18"/>
      <c r="BH42" s="18"/>
      <c r="BI42" s="18"/>
      <c r="BJ42" s="18"/>
      <c r="BK42" s="18"/>
      <c r="BL42" s="435">
        <f t="shared" si="0"/>
        <v>44749</v>
      </c>
      <c r="BM42" s="436">
        <f t="shared" si="1"/>
        <v>14.200000000000001</v>
      </c>
      <c r="BN42" s="436">
        <f t="shared" si="2"/>
        <v>1</v>
      </c>
      <c r="BO42" s="436">
        <f t="shared" si="3"/>
        <v>14.200000000000001</v>
      </c>
      <c r="BP42" s="436" t="e">
        <f t="shared" si="4"/>
        <v>#N/A</v>
      </c>
      <c r="BQ42" s="436" t="e">
        <f t="shared" si="7"/>
        <v>#N/A</v>
      </c>
      <c r="BR42" s="436" t="str">
        <f t="shared" si="5"/>
        <v/>
      </c>
      <c r="BS42" s="436" t="str">
        <f t="shared" si="6"/>
        <v/>
      </c>
      <c r="BT42" s="18"/>
      <c r="BU42" s="18"/>
      <c r="BV42" s="18"/>
      <c r="BW42" s="18"/>
      <c r="BX42" s="17"/>
      <c r="BY42" s="17"/>
      <c r="BZ42" s="18"/>
    </row>
    <row r="43" spans="1:78" x14ac:dyDescent="0.3">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434">
        <v>44750</v>
      </c>
      <c r="AW43" s="421">
        <v>1459</v>
      </c>
      <c r="AX43" s="18"/>
      <c r="AY43" s="434">
        <v>44750</v>
      </c>
      <c r="AZ43" s="421">
        <v>20996.32</v>
      </c>
      <c r="BA43" s="18"/>
      <c r="BB43" s="18"/>
      <c r="BC43" s="18"/>
      <c r="BD43" s="434"/>
      <c r="BE43" s="421"/>
      <c r="BF43" s="18"/>
      <c r="BG43" s="18"/>
      <c r="BH43" s="18"/>
      <c r="BI43" s="18"/>
      <c r="BJ43" s="18"/>
      <c r="BK43" s="18"/>
      <c r="BL43" s="435">
        <f t="shared" si="0"/>
        <v>44750</v>
      </c>
      <c r="BM43" s="436">
        <f t="shared" si="1"/>
        <v>14.59</v>
      </c>
      <c r="BN43" s="436">
        <f t="shared" si="2"/>
        <v>1</v>
      </c>
      <c r="BO43" s="436">
        <f t="shared" si="3"/>
        <v>14.59</v>
      </c>
      <c r="BP43" s="436" t="e">
        <f t="shared" si="4"/>
        <v>#N/A</v>
      </c>
      <c r="BQ43" s="436" t="e">
        <f t="shared" si="7"/>
        <v>#N/A</v>
      </c>
      <c r="BR43" s="436" t="str">
        <f t="shared" si="5"/>
        <v/>
      </c>
      <c r="BS43" s="436" t="str">
        <f t="shared" si="6"/>
        <v/>
      </c>
      <c r="BT43" s="18"/>
      <c r="BU43" s="18"/>
      <c r="BV43" s="18"/>
      <c r="BW43" s="18"/>
      <c r="BX43" s="17"/>
      <c r="BY43" s="17"/>
      <c r="BZ43" s="18"/>
    </row>
    <row r="44" spans="1:78" x14ac:dyDescent="0.3">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434">
        <v>44753</v>
      </c>
      <c r="AW44" s="421">
        <v>1469</v>
      </c>
      <c r="AX44" s="18"/>
      <c r="AY44" s="434">
        <v>44753</v>
      </c>
      <c r="AZ44" s="421">
        <v>21140.23</v>
      </c>
      <c r="BA44" s="18"/>
      <c r="BB44" s="18"/>
      <c r="BC44" s="18"/>
      <c r="BD44" s="434"/>
      <c r="BE44" s="421"/>
      <c r="BF44" s="18"/>
      <c r="BG44" s="18"/>
      <c r="BH44" s="18"/>
      <c r="BI44" s="18"/>
      <c r="BJ44" s="18"/>
      <c r="BK44" s="18"/>
      <c r="BL44" s="435">
        <f t="shared" si="0"/>
        <v>44753</v>
      </c>
      <c r="BM44" s="436">
        <f t="shared" si="1"/>
        <v>14.69</v>
      </c>
      <c r="BN44" s="436">
        <f t="shared" si="2"/>
        <v>1</v>
      </c>
      <c r="BO44" s="436">
        <f t="shared" si="3"/>
        <v>14.69</v>
      </c>
      <c r="BP44" s="436" t="e">
        <f t="shared" si="4"/>
        <v>#N/A</v>
      </c>
      <c r="BQ44" s="436" t="e">
        <f t="shared" si="7"/>
        <v>#N/A</v>
      </c>
      <c r="BR44" s="436" t="str">
        <f t="shared" si="5"/>
        <v/>
      </c>
      <c r="BS44" s="436" t="str">
        <f t="shared" si="6"/>
        <v/>
      </c>
      <c r="BT44" s="18"/>
      <c r="BU44" s="18"/>
      <c r="BV44" s="18"/>
      <c r="BW44" s="18"/>
      <c r="BX44" s="17"/>
      <c r="BY44" s="17"/>
      <c r="BZ44" s="18"/>
    </row>
    <row r="45" spans="1:78" x14ac:dyDescent="0.3">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434">
        <v>44754</v>
      </c>
      <c r="AW45" s="421">
        <v>1466</v>
      </c>
      <c r="AX45" s="18"/>
      <c r="AY45" s="434">
        <v>44754</v>
      </c>
      <c r="AZ45" s="421">
        <v>21097.06</v>
      </c>
      <c r="BA45" s="18"/>
      <c r="BB45" s="18"/>
      <c r="BC45" s="18"/>
      <c r="BD45" s="434"/>
      <c r="BE45" s="421"/>
      <c r="BF45" s="18"/>
      <c r="BG45" s="18"/>
      <c r="BH45" s="18"/>
      <c r="BI45" s="18"/>
      <c r="BJ45" s="18"/>
      <c r="BK45" s="18"/>
      <c r="BL45" s="435">
        <f t="shared" si="0"/>
        <v>44754</v>
      </c>
      <c r="BM45" s="436">
        <f t="shared" si="1"/>
        <v>14.66</v>
      </c>
      <c r="BN45" s="436">
        <f t="shared" si="2"/>
        <v>1</v>
      </c>
      <c r="BO45" s="436">
        <f t="shared" si="3"/>
        <v>14.66</v>
      </c>
      <c r="BP45" s="436" t="e">
        <f t="shared" si="4"/>
        <v>#N/A</v>
      </c>
      <c r="BQ45" s="436" t="e">
        <f t="shared" si="7"/>
        <v>#N/A</v>
      </c>
      <c r="BR45" s="436" t="str">
        <f t="shared" si="5"/>
        <v/>
      </c>
      <c r="BS45" s="436" t="str">
        <f t="shared" si="6"/>
        <v/>
      </c>
      <c r="BT45" s="18"/>
      <c r="BU45" s="18"/>
      <c r="BV45" s="18"/>
      <c r="BW45" s="18"/>
      <c r="BX45" s="17"/>
      <c r="BY45" s="17"/>
      <c r="BZ45" s="18"/>
    </row>
    <row r="46" spans="1:78" x14ac:dyDescent="0.3">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434">
        <v>44755</v>
      </c>
      <c r="AW46" s="421">
        <v>1435</v>
      </c>
      <c r="AX46" s="18"/>
      <c r="AY46" s="434">
        <v>44755</v>
      </c>
      <c r="AZ46" s="421">
        <v>20650.939999999999</v>
      </c>
      <c r="BA46" s="18"/>
      <c r="BB46" s="18"/>
      <c r="BC46" s="18"/>
      <c r="BD46" s="434"/>
      <c r="BE46" s="421"/>
      <c r="BF46" s="18"/>
      <c r="BG46" s="18"/>
      <c r="BH46" s="18"/>
      <c r="BI46" s="18"/>
      <c r="BJ46" s="18"/>
      <c r="BK46" s="18"/>
      <c r="BL46" s="435">
        <f t="shared" si="0"/>
        <v>44755</v>
      </c>
      <c r="BM46" s="436">
        <f t="shared" si="1"/>
        <v>14.35</v>
      </c>
      <c r="BN46" s="436">
        <f t="shared" si="2"/>
        <v>1</v>
      </c>
      <c r="BO46" s="436">
        <f t="shared" si="3"/>
        <v>14.35</v>
      </c>
      <c r="BP46" s="436" t="e">
        <f t="shared" si="4"/>
        <v>#N/A</v>
      </c>
      <c r="BQ46" s="436" t="e">
        <f t="shared" si="7"/>
        <v>#N/A</v>
      </c>
      <c r="BR46" s="436" t="str">
        <f t="shared" si="5"/>
        <v/>
      </c>
      <c r="BS46" s="436" t="str">
        <f t="shared" si="6"/>
        <v/>
      </c>
      <c r="BT46" s="18"/>
      <c r="BU46" s="18"/>
      <c r="BV46" s="18"/>
      <c r="BW46" s="18"/>
      <c r="BX46" s="17"/>
      <c r="BY46" s="17"/>
      <c r="BZ46" s="18"/>
    </row>
    <row r="47" spans="1:78" x14ac:dyDescent="0.3">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434">
        <v>44756</v>
      </c>
      <c r="AW47" s="421">
        <v>1439</v>
      </c>
      <c r="AX47" s="18"/>
      <c r="AY47" s="434">
        <v>44756</v>
      </c>
      <c r="AZ47" s="421">
        <v>20708.509999999998</v>
      </c>
      <c r="BA47" s="18"/>
      <c r="BB47" s="18"/>
      <c r="BC47" s="18"/>
      <c r="BD47" s="434"/>
      <c r="BE47" s="421"/>
      <c r="BF47" s="18"/>
      <c r="BG47" s="18"/>
      <c r="BH47" s="18"/>
      <c r="BI47" s="18"/>
      <c r="BJ47" s="18"/>
      <c r="BK47" s="18"/>
      <c r="BL47" s="435">
        <f t="shared" si="0"/>
        <v>44756</v>
      </c>
      <c r="BM47" s="436">
        <f t="shared" si="1"/>
        <v>14.39</v>
      </c>
      <c r="BN47" s="436">
        <f t="shared" si="2"/>
        <v>1</v>
      </c>
      <c r="BO47" s="436">
        <f t="shared" si="3"/>
        <v>14.39</v>
      </c>
      <c r="BP47" s="436" t="e">
        <f t="shared" si="4"/>
        <v>#N/A</v>
      </c>
      <c r="BQ47" s="436" t="e">
        <f t="shared" si="7"/>
        <v>#N/A</v>
      </c>
      <c r="BR47" s="436" t="str">
        <f t="shared" si="5"/>
        <v/>
      </c>
      <c r="BS47" s="436" t="str">
        <f t="shared" si="6"/>
        <v/>
      </c>
      <c r="BT47" s="18"/>
      <c r="BU47" s="18"/>
      <c r="BV47" s="18"/>
      <c r="BW47" s="18"/>
      <c r="BX47" s="17"/>
      <c r="BY47" s="17"/>
      <c r="BZ47" s="18"/>
    </row>
    <row r="48" spans="1:78" x14ac:dyDescent="0.3">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434">
        <v>44757</v>
      </c>
      <c r="AW48" s="421">
        <v>1449</v>
      </c>
      <c r="AX48" s="18"/>
      <c r="AY48" s="434">
        <v>44757</v>
      </c>
      <c r="AZ48" s="421">
        <v>20852.41</v>
      </c>
      <c r="BA48" s="18"/>
      <c r="BB48" s="18"/>
      <c r="BC48" s="18"/>
      <c r="BD48" s="434"/>
      <c r="BE48" s="421"/>
      <c r="BF48" s="18"/>
      <c r="BG48" s="18"/>
      <c r="BH48" s="18"/>
      <c r="BI48" s="18"/>
      <c r="BJ48" s="18"/>
      <c r="BK48" s="18"/>
      <c r="BL48" s="435">
        <f t="shared" si="0"/>
        <v>44757</v>
      </c>
      <c r="BM48" s="436">
        <f t="shared" si="1"/>
        <v>14.49</v>
      </c>
      <c r="BN48" s="436">
        <f t="shared" si="2"/>
        <v>1</v>
      </c>
      <c r="BO48" s="436">
        <f t="shared" si="3"/>
        <v>14.49</v>
      </c>
      <c r="BP48" s="436" t="e">
        <f t="shared" si="4"/>
        <v>#N/A</v>
      </c>
      <c r="BQ48" s="436" t="e">
        <f t="shared" si="7"/>
        <v>#N/A</v>
      </c>
      <c r="BR48" s="436" t="str">
        <f t="shared" si="5"/>
        <v/>
      </c>
      <c r="BS48" s="436" t="str">
        <f t="shared" si="6"/>
        <v/>
      </c>
      <c r="BT48" s="18"/>
      <c r="BU48" s="18"/>
      <c r="BV48" s="18"/>
      <c r="BW48" s="18"/>
      <c r="BX48" s="17"/>
      <c r="BY48" s="17"/>
      <c r="BZ48" s="18"/>
    </row>
    <row r="49" spans="1:78" x14ac:dyDescent="0.3">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434">
        <v>44760</v>
      </c>
      <c r="AW49" s="421">
        <v>1477</v>
      </c>
      <c r="AX49" s="18"/>
      <c r="AY49" s="434">
        <v>44760</v>
      </c>
      <c r="AZ49" s="421">
        <v>21255.360000000001</v>
      </c>
      <c r="BA49" s="18"/>
      <c r="BB49" s="18"/>
      <c r="BC49" s="18"/>
      <c r="BD49" s="434"/>
      <c r="BE49" s="421"/>
      <c r="BF49" s="18"/>
      <c r="BG49" s="18"/>
      <c r="BH49" s="18"/>
      <c r="BI49" s="18"/>
      <c r="BJ49" s="18"/>
      <c r="BK49" s="18"/>
      <c r="BL49" s="435">
        <f t="shared" si="0"/>
        <v>44760</v>
      </c>
      <c r="BM49" s="436">
        <f t="shared" si="1"/>
        <v>14.77</v>
      </c>
      <c r="BN49" s="436">
        <f t="shared" si="2"/>
        <v>1</v>
      </c>
      <c r="BO49" s="436">
        <f t="shared" si="3"/>
        <v>14.77</v>
      </c>
      <c r="BP49" s="436" t="e">
        <f t="shared" si="4"/>
        <v>#N/A</v>
      </c>
      <c r="BQ49" s="436" t="e">
        <f t="shared" si="7"/>
        <v>#N/A</v>
      </c>
      <c r="BR49" s="436" t="str">
        <f t="shared" si="5"/>
        <v/>
      </c>
      <c r="BS49" s="436" t="str">
        <f t="shared" si="6"/>
        <v/>
      </c>
      <c r="BT49" s="18"/>
      <c r="BU49" s="18"/>
      <c r="BV49" s="18"/>
      <c r="BW49" s="18"/>
      <c r="BX49" s="17"/>
      <c r="BY49" s="17"/>
      <c r="BZ49" s="18"/>
    </row>
    <row r="50" spans="1:78" x14ac:dyDescent="0.3">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434">
        <v>44761</v>
      </c>
      <c r="AW50" s="421">
        <v>1492</v>
      </c>
      <c r="AX50" s="18"/>
      <c r="AY50" s="434">
        <v>44761</v>
      </c>
      <c r="AZ50" s="421">
        <v>21471.22</v>
      </c>
      <c r="BA50" s="18"/>
      <c r="BB50" s="18"/>
      <c r="BC50" s="18"/>
      <c r="BD50" s="434"/>
      <c r="BE50" s="421"/>
      <c r="BF50" s="18"/>
      <c r="BG50" s="18"/>
      <c r="BH50" s="18"/>
      <c r="BI50" s="18"/>
      <c r="BJ50" s="18"/>
      <c r="BK50" s="18"/>
      <c r="BL50" s="435">
        <f t="shared" si="0"/>
        <v>44761</v>
      </c>
      <c r="BM50" s="436">
        <f t="shared" si="1"/>
        <v>14.92</v>
      </c>
      <c r="BN50" s="436">
        <f t="shared" si="2"/>
        <v>1</v>
      </c>
      <c r="BO50" s="436">
        <f t="shared" si="3"/>
        <v>14.92</v>
      </c>
      <c r="BP50" s="436" t="e">
        <f t="shared" si="4"/>
        <v>#N/A</v>
      </c>
      <c r="BQ50" s="436" t="e">
        <f t="shared" si="7"/>
        <v>#N/A</v>
      </c>
      <c r="BR50" s="436" t="str">
        <f t="shared" si="5"/>
        <v/>
      </c>
      <c r="BS50" s="436" t="str">
        <f t="shared" si="6"/>
        <v/>
      </c>
      <c r="BT50" s="18"/>
      <c r="BU50" s="18"/>
      <c r="BV50" s="18"/>
      <c r="BW50" s="18"/>
      <c r="BX50" s="17"/>
      <c r="BY50" s="17"/>
      <c r="BZ50" s="18"/>
    </row>
    <row r="51" spans="1:78" x14ac:dyDescent="0.3">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434">
        <v>44762</v>
      </c>
      <c r="AW51" s="421">
        <v>1478</v>
      </c>
      <c r="AX51" s="18"/>
      <c r="AY51" s="434">
        <v>44762</v>
      </c>
      <c r="AZ51" s="421">
        <v>21269.75</v>
      </c>
      <c r="BA51" s="18"/>
      <c r="BB51" s="18"/>
      <c r="BC51" s="18"/>
      <c r="BD51" s="434"/>
      <c r="BE51" s="421"/>
      <c r="BF51" s="18"/>
      <c r="BG51" s="18"/>
      <c r="BH51" s="18"/>
      <c r="BI51" s="18"/>
      <c r="BJ51" s="18"/>
      <c r="BK51" s="18"/>
      <c r="BL51" s="435">
        <f t="shared" si="0"/>
        <v>44762</v>
      </c>
      <c r="BM51" s="436">
        <f t="shared" si="1"/>
        <v>14.780000000000001</v>
      </c>
      <c r="BN51" s="436">
        <f t="shared" si="2"/>
        <v>1</v>
      </c>
      <c r="BO51" s="436">
        <f t="shared" si="3"/>
        <v>14.780000000000001</v>
      </c>
      <c r="BP51" s="436" t="e">
        <f t="shared" si="4"/>
        <v>#N/A</v>
      </c>
      <c r="BQ51" s="436" t="e">
        <f t="shared" si="7"/>
        <v>#N/A</v>
      </c>
      <c r="BR51" s="436" t="str">
        <f t="shared" si="5"/>
        <v/>
      </c>
      <c r="BS51" s="436" t="str">
        <f t="shared" si="6"/>
        <v/>
      </c>
      <c r="BT51" s="18"/>
      <c r="BU51" s="18"/>
      <c r="BV51" s="18"/>
      <c r="BW51" s="18"/>
      <c r="BX51" s="17"/>
      <c r="BY51" s="17"/>
      <c r="BZ51" s="18"/>
    </row>
    <row r="52" spans="1:78" x14ac:dyDescent="0.3">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434">
        <v>44763</v>
      </c>
      <c r="AW52" s="421">
        <v>1453</v>
      </c>
      <c r="AX52" s="18"/>
      <c r="AY52" s="434">
        <v>44763</v>
      </c>
      <c r="AZ52" s="421">
        <v>20909.98</v>
      </c>
      <c r="BA52" s="18"/>
      <c r="BB52" s="18"/>
      <c r="BC52" s="18"/>
      <c r="BD52" s="434"/>
      <c r="BE52" s="421"/>
      <c r="BF52" s="18"/>
      <c r="BG52" s="18"/>
      <c r="BH52" s="18"/>
      <c r="BI52" s="18"/>
      <c r="BJ52" s="18"/>
      <c r="BK52" s="18"/>
      <c r="BL52" s="435">
        <f t="shared" si="0"/>
        <v>44763</v>
      </c>
      <c r="BM52" s="436">
        <f t="shared" si="1"/>
        <v>14.530000000000001</v>
      </c>
      <c r="BN52" s="436">
        <f t="shared" si="2"/>
        <v>1</v>
      </c>
      <c r="BO52" s="436">
        <f t="shared" si="3"/>
        <v>14.530000000000001</v>
      </c>
      <c r="BP52" s="436" t="e">
        <f t="shared" si="4"/>
        <v>#N/A</v>
      </c>
      <c r="BQ52" s="436" t="e">
        <f t="shared" si="7"/>
        <v>#N/A</v>
      </c>
      <c r="BR52" s="436" t="str">
        <f t="shared" si="5"/>
        <v/>
      </c>
      <c r="BS52" s="436" t="str">
        <f t="shared" si="6"/>
        <v/>
      </c>
      <c r="BT52" s="18"/>
      <c r="BU52" s="18"/>
      <c r="BV52" s="18"/>
      <c r="BW52" s="18"/>
      <c r="BX52" s="17"/>
      <c r="BY52" s="17"/>
      <c r="BZ52" s="18"/>
    </row>
    <row r="53" spans="1:78" x14ac:dyDescent="0.3">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434">
        <v>44764</v>
      </c>
      <c r="AW53" s="421">
        <v>1481</v>
      </c>
      <c r="AX53" s="18"/>
      <c r="AY53" s="434">
        <v>44764</v>
      </c>
      <c r="AZ53" s="421">
        <v>21312.92</v>
      </c>
      <c r="BA53" s="18"/>
      <c r="BB53" s="18"/>
      <c r="BC53" s="18"/>
      <c r="BD53" s="434"/>
      <c r="BE53" s="421"/>
      <c r="BF53" s="18"/>
      <c r="BG53" s="18"/>
      <c r="BH53" s="18"/>
      <c r="BI53" s="18"/>
      <c r="BJ53" s="18"/>
      <c r="BK53" s="18"/>
      <c r="BL53" s="435">
        <f t="shared" si="0"/>
        <v>44764</v>
      </c>
      <c r="BM53" s="436">
        <f t="shared" si="1"/>
        <v>14.81</v>
      </c>
      <c r="BN53" s="436">
        <f t="shared" si="2"/>
        <v>1</v>
      </c>
      <c r="BO53" s="436">
        <f t="shared" si="3"/>
        <v>14.81</v>
      </c>
      <c r="BP53" s="436" t="e">
        <f t="shared" si="4"/>
        <v>#N/A</v>
      </c>
      <c r="BQ53" s="436" t="e">
        <f t="shared" si="7"/>
        <v>#N/A</v>
      </c>
      <c r="BR53" s="436" t="str">
        <f t="shared" si="5"/>
        <v/>
      </c>
      <c r="BS53" s="436" t="str">
        <f t="shared" si="6"/>
        <v/>
      </c>
      <c r="BT53" s="18"/>
      <c r="BU53" s="18"/>
      <c r="BV53" s="18"/>
      <c r="BW53" s="18"/>
      <c r="BX53" s="17"/>
      <c r="BY53" s="17"/>
      <c r="BZ53" s="18"/>
    </row>
    <row r="54" spans="1:78" x14ac:dyDescent="0.3">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434">
        <v>44767</v>
      </c>
      <c r="AW54" s="421">
        <v>1488</v>
      </c>
      <c r="AX54" s="18"/>
      <c r="AY54" s="434">
        <v>44767</v>
      </c>
      <c r="AZ54" s="421">
        <v>21413.66</v>
      </c>
      <c r="BA54" s="18"/>
      <c r="BB54" s="18"/>
      <c r="BC54" s="18"/>
      <c r="BD54" s="434"/>
      <c r="BE54" s="421"/>
      <c r="BF54" s="18"/>
      <c r="BG54" s="18"/>
      <c r="BH54" s="18"/>
      <c r="BI54" s="18"/>
      <c r="BJ54" s="18"/>
      <c r="BK54" s="18"/>
      <c r="BL54" s="435">
        <f t="shared" si="0"/>
        <v>44767</v>
      </c>
      <c r="BM54" s="436">
        <f t="shared" si="1"/>
        <v>14.88</v>
      </c>
      <c r="BN54" s="436">
        <f t="shared" si="2"/>
        <v>1</v>
      </c>
      <c r="BO54" s="436">
        <f t="shared" si="3"/>
        <v>14.88</v>
      </c>
      <c r="BP54" s="436" t="e">
        <f t="shared" si="4"/>
        <v>#N/A</v>
      </c>
      <c r="BQ54" s="436" t="e">
        <f t="shared" si="7"/>
        <v>#N/A</v>
      </c>
      <c r="BR54" s="436" t="str">
        <f t="shared" si="5"/>
        <v/>
      </c>
      <c r="BS54" s="436" t="str">
        <f t="shared" si="6"/>
        <v/>
      </c>
      <c r="BT54" s="18"/>
      <c r="BU54" s="18"/>
      <c r="BV54" s="18"/>
      <c r="BW54" s="18"/>
      <c r="BX54" s="17"/>
      <c r="BY54" s="17"/>
      <c r="BZ54" s="18"/>
    </row>
    <row r="55" spans="1:78" x14ac:dyDescent="0.3">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434">
        <v>44768</v>
      </c>
      <c r="AW55" s="421">
        <v>1535</v>
      </c>
      <c r="AX55" s="18"/>
      <c r="AY55" s="434">
        <v>44768</v>
      </c>
      <c r="AZ55" s="421">
        <v>22090.03</v>
      </c>
      <c r="BA55" s="18"/>
      <c r="BB55" s="18"/>
      <c r="BC55" s="18"/>
      <c r="BD55" s="434"/>
      <c r="BE55" s="421"/>
      <c r="BF55" s="18"/>
      <c r="BG55" s="18"/>
      <c r="BH55" s="18"/>
      <c r="BI55" s="18"/>
      <c r="BJ55" s="18"/>
      <c r="BK55" s="18"/>
      <c r="BL55" s="435">
        <f t="shared" si="0"/>
        <v>44768</v>
      </c>
      <c r="BM55" s="436">
        <f t="shared" si="1"/>
        <v>15.35</v>
      </c>
      <c r="BN55" s="436">
        <f t="shared" si="2"/>
        <v>1</v>
      </c>
      <c r="BO55" s="436">
        <f t="shared" si="3"/>
        <v>15.35</v>
      </c>
      <c r="BP55" s="436" t="e">
        <f t="shared" si="4"/>
        <v>#N/A</v>
      </c>
      <c r="BQ55" s="436" t="e">
        <f t="shared" si="7"/>
        <v>#N/A</v>
      </c>
      <c r="BR55" s="436" t="str">
        <f t="shared" si="5"/>
        <v/>
      </c>
      <c r="BS55" s="436" t="str">
        <f t="shared" si="6"/>
        <v/>
      </c>
      <c r="BT55" s="18"/>
      <c r="BU55" s="18"/>
      <c r="BV55" s="18"/>
      <c r="BW55" s="18"/>
      <c r="BX55" s="17"/>
      <c r="BY55" s="17"/>
      <c r="BZ55" s="18"/>
    </row>
    <row r="56" spans="1:78" x14ac:dyDescent="0.3">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434">
        <v>44769</v>
      </c>
      <c r="AW56" s="421">
        <v>1560</v>
      </c>
      <c r="AX56" s="18"/>
      <c r="AY56" s="434">
        <v>44769</v>
      </c>
      <c r="AZ56" s="421">
        <v>22449.8</v>
      </c>
      <c r="BA56" s="18"/>
      <c r="BB56" s="18"/>
      <c r="BC56" s="18"/>
      <c r="BD56" s="434"/>
      <c r="BE56" s="421"/>
      <c r="BF56" s="18"/>
      <c r="BG56" s="18"/>
      <c r="BH56" s="18"/>
      <c r="BI56" s="18"/>
      <c r="BJ56" s="18"/>
      <c r="BK56" s="18"/>
      <c r="BL56" s="435">
        <f t="shared" si="0"/>
        <v>44769</v>
      </c>
      <c r="BM56" s="436">
        <f t="shared" si="1"/>
        <v>15.6</v>
      </c>
      <c r="BN56" s="436">
        <f t="shared" si="2"/>
        <v>1</v>
      </c>
      <c r="BO56" s="436">
        <f t="shared" si="3"/>
        <v>15.6</v>
      </c>
      <c r="BP56" s="436" t="e">
        <f t="shared" si="4"/>
        <v>#N/A</v>
      </c>
      <c r="BQ56" s="436" t="e">
        <f t="shared" si="7"/>
        <v>#N/A</v>
      </c>
      <c r="BR56" s="436" t="str">
        <f t="shared" si="5"/>
        <v/>
      </c>
      <c r="BS56" s="436" t="str">
        <f t="shared" si="6"/>
        <v/>
      </c>
      <c r="BT56" s="18"/>
      <c r="BU56" s="18"/>
      <c r="BV56" s="18"/>
      <c r="BW56" s="18"/>
      <c r="BX56" s="17"/>
      <c r="BY56" s="17"/>
      <c r="BZ56" s="18"/>
    </row>
    <row r="57" spans="1:78" x14ac:dyDescent="0.3">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434">
        <v>44770</v>
      </c>
      <c r="AW57" s="421">
        <v>1535</v>
      </c>
      <c r="AX57" s="18"/>
      <c r="AY57" s="434">
        <v>44770</v>
      </c>
      <c r="AZ57" s="421">
        <v>22090.03</v>
      </c>
      <c r="BA57" s="18"/>
      <c r="BB57" s="18"/>
      <c r="BC57" s="18"/>
      <c r="BD57" s="434"/>
      <c r="BE57" s="421"/>
      <c r="BF57" s="18"/>
      <c r="BG57" s="18"/>
      <c r="BH57" s="18"/>
      <c r="BI57" s="18"/>
      <c r="BJ57" s="18"/>
      <c r="BK57" s="18"/>
      <c r="BL57" s="435">
        <f t="shared" si="0"/>
        <v>44770</v>
      </c>
      <c r="BM57" s="436">
        <f t="shared" si="1"/>
        <v>15.35</v>
      </c>
      <c r="BN57" s="436">
        <f t="shared" si="2"/>
        <v>1</v>
      </c>
      <c r="BO57" s="436">
        <f t="shared" si="3"/>
        <v>15.35</v>
      </c>
      <c r="BP57" s="436" t="e">
        <f t="shared" si="4"/>
        <v>#N/A</v>
      </c>
      <c r="BQ57" s="436" t="e">
        <f t="shared" si="7"/>
        <v>#N/A</v>
      </c>
      <c r="BR57" s="436" t="str">
        <f t="shared" si="5"/>
        <v/>
      </c>
      <c r="BS57" s="436" t="str">
        <f t="shared" si="6"/>
        <v/>
      </c>
      <c r="BT57" s="18"/>
      <c r="BU57" s="18"/>
      <c r="BV57" s="18"/>
      <c r="BW57" s="18"/>
      <c r="BX57" s="17"/>
      <c r="BY57" s="17"/>
      <c r="BZ57" s="18"/>
    </row>
    <row r="58" spans="1:78" x14ac:dyDescent="0.3">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434">
        <v>44771</v>
      </c>
      <c r="AW58" s="421">
        <v>1520</v>
      </c>
      <c r="AX58" s="18"/>
      <c r="AY58" s="434">
        <v>44771</v>
      </c>
      <c r="AZ58" s="421">
        <v>21874.17</v>
      </c>
      <c r="BA58" s="18"/>
      <c r="BB58" s="18"/>
      <c r="BC58" s="18"/>
      <c r="BD58" s="434"/>
      <c r="BE58" s="421"/>
      <c r="BF58" s="18"/>
      <c r="BG58" s="18"/>
      <c r="BH58" s="18"/>
      <c r="BI58" s="18"/>
      <c r="BJ58" s="18"/>
      <c r="BK58" s="18"/>
      <c r="BL58" s="435">
        <f t="shared" si="0"/>
        <v>44771</v>
      </c>
      <c r="BM58" s="436">
        <f t="shared" si="1"/>
        <v>15.200000000000001</v>
      </c>
      <c r="BN58" s="436">
        <f t="shared" si="2"/>
        <v>1</v>
      </c>
      <c r="BO58" s="436">
        <f t="shared" si="3"/>
        <v>15.200000000000001</v>
      </c>
      <c r="BP58" s="436" t="e">
        <f t="shared" si="4"/>
        <v>#N/A</v>
      </c>
      <c r="BQ58" s="436" t="e">
        <f t="shared" si="7"/>
        <v>#N/A</v>
      </c>
      <c r="BR58" s="436" t="str">
        <f t="shared" si="5"/>
        <v/>
      </c>
      <c r="BS58" s="436" t="str">
        <f t="shared" si="6"/>
        <v/>
      </c>
      <c r="BT58" s="18"/>
      <c r="BU58" s="18"/>
      <c r="BV58" s="18"/>
      <c r="BW58" s="18"/>
      <c r="BX58" s="17"/>
      <c r="BY58" s="17"/>
      <c r="BZ58" s="18"/>
    </row>
    <row r="59" spans="1:78" x14ac:dyDescent="0.3">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434">
        <v>44774</v>
      </c>
      <c r="AW59" s="421">
        <v>1532</v>
      </c>
      <c r="AX59" s="18"/>
      <c r="AY59" s="434">
        <v>44774</v>
      </c>
      <c r="AZ59" s="421">
        <v>22046.86</v>
      </c>
      <c r="BA59" s="18"/>
      <c r="BB59" s="18"/>
      <c r="BC59" s="18"/>
      <c r="BD59" s="434"/>
      <c r="BE59" s="421"/>
      <c r="BF59" s="18"/>
      <c r="BG59" s="18"/>
      <c r="BH59" s="18"/>
      <c r="BI59" s="18"/>
      <c r="BJ59" s="18"/>
      <c r="BK59" s="18"/>
      <c r="BL59" s="435">
        <f t="shared" si="0"/>
        <v>44774</v>
      </c>
      <c r="BM59" s="436">
        <f t="shared" si="1"/>
        <v>15.32</v>
      </c>
      <c r="BN59" s="436">
        <f t="shared" si="2"/>
        <v>1</v>
      </c>
      <c r="BO59" s="436">
        <f t="shared" si="3"/>
        <v>15.32</v>
      </c>
      <c r="BP59" s="436" t="e">
        <f t="shared" si="4"/>
        <v>#N/A</v>
      </c>
      <c r="BQ59" s="436" t="e">
        <f t="shared" si="7"/>
        <v>#N/A</v>
      </c>
      <c r="BR59" s="436" t="str">
        <f t="shared" si="5"/>
        <v/>
      </c>
      <c r="BS59" s="436" t="str">
        <f t="shared" si="6"/>
        <v/>
      </c>
      <c r="BT59" s="18"/>
      <c r="BU59" s="18"/>
      <c r="BV59" s="18"/>
      <c r="BW59" s="18"/>
      <c r="BX59" s="17"/>
      <c r="BY59" s="17"/>
      <c r="BZ59" s="18"/>
    </row>
    <row r="60" spans="1:78" x14ac:dyDescent="0.3">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434">
        <v>44775</v>
      </c>
      <c r="AW60" s="421">
        <v>1515</v>
      </c>
      <c r="AX60" s="18"/>
      <c r="AY60" s="434">
        <v>44775</v>
      </c>
      <c r="AZ60" s="421">
        <v>21802.21</v>
      </c>
      <c r="BA60" s="18"/>
      <c r="BB60" s="18"/>
      <c r="BC60" s="18"/>
      <c r="BD60" s="434"/>
      <c r="BE60" s="421"/>
      <c r="BF60" s="18"/>
      <c r="BG60" s="18"/>
      <c r="BH60" s="18"/>
      <c r="BI60" s="18"/>
      <c r="BJ60" s="18"/>
      <c r="BK60" s="18"/>
      <c r="BL60" s="435">
        <f t="shared" si="0"/>
        <v>44775</v>
      </c>
      <c r="BM60" s="436">
        <f t="shared" si="1"/>
        <v>15.15</v>
      </c>
      <c r="BN60" s="436">
        <f t="shared" si="2"/>
        <v>1</v>
      </c>
      <c r="BO60" s="436">
        <f t="shared" si="3"/>
        <v>15.15</v>
      </c>
      <c r="BP60" s="436" t="e">
        <f t="shared" si="4"/>
        <v>#N/A</v>
      </c>
      <c r="BQ60" s="436" t="e">
        <f t="shared" si="7"/>
        <v>#N/A</v>
      </c>
      <c r="BR60" s="436" t="str">
        <f t="shared" si="5"/>
        <v/>
      </c>
      <c r="BS60" s="436" t="str">
        <f t="shared" si="6"/>
        <v/>
      </c>
      <c r="BT60" s="18"/>
      <c r="BU60" s="18"/>
      <c r="BV60" s="18"/>
      <c r="BW60" s="18"/>
      <c r="BX60" s="17"/>
      <c r="BY60" s="17"/>
      <c r="BZ60" s="18"/>
    </row>
    <row r="61" spans="1:78" x14ac:dyDescent="0.3">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434">
        <v>44776</v>
      </c>
      <c r="AW61" s="421">
        <v>1540</v>
      </c>
      <c r="AX61" s="18"/>
      <c r="AY61" s="434">
        <v>44776</v>
      </c>
      <c r="AZ61" s="421">
        <v>22161.99</v>
      </c>
      <c r="BA61" s="18"/>
      <c r="BB61" s="18"/>
      <c r="BC61" s="18"/>
      <c r="BD61" s="434"/>
      <c r="BE61" s="421"/>
      <c r="BF61" s="18"/>
      <c r="BG61" s="18"/>
      <c r="BH61" s="18"/>
      <c r="BI61" s="18"/>
      <c r="BJ61" s="18"/>
      <c r="BK61" s="18"/>
      <c r="BL61" s="435">
        <f t="shared" si="0"/>
        <v>44776</v>
      </c>
      <c r="BM61" s="436">
        <f t="shared" si="1"/>
        <v>15.4</v>
      </c>
      <c r="BN61" s="436">
        <f t="shared" si="2"/>
        <v>1</v>
      </c>
      <c r="BO61" s="436">
        <f t="shared" si="3"/>
        <v>15.4</v>
      </c>
      <c r="BP61" s="436" t="e">
        <f t="shared" si="4"/>
        <v>#N/A</v>
      </c>
      <c r="BQ61" s="436" t="e">
        <f t="shared" si="7"/>
        <v>#N/A</v>
      </c>
      <c r="BR61" s="436" t="str">
        <f t="shared" si="5"/>
        <v/>
      </c>
      <c r="BS61" s="436" t="str">
        <f t="shared" si="6"/>
        <v/>
      </c>
      <c r="BT61" s="18"/>
      <c r="BU61" s="18"/>
      <c r="BV61" s="18"/>
      <c r="BW61" s="18"/>
      <c r="BX61" s="17"/>
      <c r="BY61" s="17"/>
      <c r="BZ61" s="18"/>
    </row>
    <row r="62" spans="1:78" x14ac:dyDescent="0.3">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434">
        <v>44777</v>
      </c>
      <c r="AW62" s="421">
        <v>1541</v>
      </c>
      <c r="AX62" s="18"/>
      <c r="AY62" s="434">
        <v>44777</v>
      </c>
      <c r="AZ62" s="421">
        <v>22176.38</v>
      </c>
      <c r="BA62" s="18"/>
      <c r="BB62" s="18"/>
      <c r="BC62" s="18"/>
      <c r="BD62" s="434"/>
      <c r="BE62" s="421"/>
      <c r="BF62" s="18"/>
      <c r="BG62" s="18"/>
      <c r="BH62" s="18"/>
      <c r="BI62" s="18"/>
      <c r="BJ62" s="18"/>
      <c r="BK62" s="18"/>
      <c r="BL62" s="435">
        <f t="shared" si="0"/>
        <v>44777</v>
      </c>
      <c r="BM62" s="436">
        <f t="shared" si="1"/>
        <v>15.41</v>
      </c>
      <c r="BN62" s="436">
        <f t="shared" si="2"/>
        <v>1</v>
      </c>
      <c r="BO62" s="436">
        <f t="shared" si="3"/>
        <v>15.41</v>
      </c>
      <c r="BP62" s="436" t="e">
        <f t="shared" si="4"/>
        <v>#N/A</v>
      </c>
      <c r="BQ62" s="436" t="e">
        <f t="shared" si="7"/>
        <v>#N/A</v>
      </c>
      <c r="BR62" s="436" t="str">
        <f t="shared" si="5"/>
        <v/>
      </c>
      <c r="BS62" s="436" t="str">
        <f t="shared" si="6"/>
        <v/>
      </c>
      <c r="BT62" s="18"/>
      <c r="BU62" s="18"/>
      <c r="BV62" s="18"/>
      <c r="BW62" s="18"/>
      <c r="BX62" s="17"/>
      <c r="BY62" s="17"/>
      <c r="BZ62" s="18"/>
    </row>
    <row r="63" spans="1:78" x14ac:dyDescent="0.3">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434">
        <v>44778</v>
      </c>
      <c r="AW63" s="421">
        <v>1539</v>
      </c>
      <c r="AX63" s="18"/>
      <c r="AY63" s="434">
        <v>44778</v>
      </c>
      <c r="AZ63" s="421">
        <v>22147.599999999999</v>
      </c>
      <c r="BA63" s="18"/>
      <c r="BB63" s="18"/>
      <c r="BC63" s="18"/>
      <c r="BD63" s="434"/>
      <c r="BE63" s="421"/>
      <c r="BF63" s="18"/>
      <c r="BG63" s="18"/>
      <c r="BH63" s="18"/>
      <c r="BI63" s="18"/>
      <c r="BJ63" s="18"/>
      <c r="BK63" s="18"/>
      <c r="BL63" s="435">
        <f t="shared" si="0"/>
        <v>44778</v>
      </c>
      <c r="BM63" s="436">
        <f t="shared" si="1"/>
        <v>15.39</v>
      </c>
      <c r="BN63" s="436">
        <f t="shared" si="2"/>
        <v>1</v>
      </c>
      <c r="BO63" s="436">
        <f t="shared" si="3"/>
        <v>15.39</v>
      </c>
      <c r="BP63" s="436" t="e">
        <f t="shared" si="4"/>
        <v>#N/A</v>
      </c>
      <c r="BQ63" s="436" t="e">
        <f t="shared" si="7"/>
        <v>#N/A</v>
      </c>
      <c r="BR63" s="436" t="str">
        <f t="shared" si="5"/>
        <v/>
      </c>
      <c r="BS63" s="436" t="str">
        <f t="shared" si="6"/>
        <v/>
      </c>
      <c r="BT63" s="18"/>
      <c r="BU63" s="18"/>
      <c r="BV63" s="18"/>
      <c r="BW63" s="18"/>
      <c r="BX63" s="17"/>
      <c r="BY63" s="17"/>
      <c r="BZ63" s="18"/>
    </row>
    <row r="64" spans="1:78" x14ac:dyDescent="0.3">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434">
        <v>44781</v>
      </c>
      <c r="AW64" s="421">
        <v>1573</v>
      </c>
      <c r="AX64" s="18"/>
      <c r="AY64" s="434">
        <v>44781</v>
      </c>
      <c r="AZ64" s="421">
        <v>22636.89</v>
      </c>
      <c r="BA64" s="18"/>
      <c r="BB64" s="18"/>
      <c r="BC64" s="18"/>
      <c r="BD64" s="434"/>
      <c r="BE64" s="421"/>
      <c r="BF64" s="18"/>
      <c r="BG64" s="18"/>
      <c r="BH64" s="18"/>
      <c r="BI64" s="18"/>
      <c r="BJ64" s="18"/>
      <c r="BK64" s="18"/>
      <c r="BL64" s="435">
        <f t="shared" si="0"/>
        <v>44781</v>
      </c>
      <c r="BM64" s="436">
        <f t="shared" si="1"/>
        <v>15.73</v>
      </c>
      <c r="BN64" s="436">
        <f t="shared" si="2"/>
        <v>1</v>
      </c>
      <c r="BO64" s="436">
        <f t="shared" si="3"/>
        <v>15.73</v>
      </c>
      <c r="BP64" s="436" t="e">
        <f t="shared" si="4"/>
        <v>#N/A</v>
      </c>
      <c r="BQ64" s="436" t="e">
        <f t="shared" si="7"/>
        <v>#N/A</v>
      </c>
      <c r="BR64" s="436" t="str">
        <f t="shared" si="5"/>
        <v/>
      </c>
      <c r="BS64" s="436" t="str">
        <f t="shared" si="6"/>
        <v/>
      </c>
      <c r="BT64" s="18"/>
      <c r="BU64" s="18"/>
      <c r="BV64" s="18"/>
      <c r="BW64" s="18"/>
      <c r="BX64" s="17"/>
      <c r="BY64" s="17"/>
      <c r="BZ64" s="18"/>
    </row>
    <row r="65" spans="1:78" x14ac:dyDescent="0.3">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434">
        <v>44783</v>
      </c>
      <c r="AW65" s="421">
        <v>1563</v>
      </c>
      <c r="AX65" s="18"/>
      <c r="AY65" s="434">
        <v>44783</v>
      </c>
      <c r="AZ65" s="421">
        <v>22492.98</v>
      </c>
      <c r="BA65" s="18"/>
      <c r="BB65" s="18"/>
      <c r="BC65" s="18"/>
      <c r="BD65" s="434"/>
      <c r="BE65" s="421"/>
      <c r="BF65" s="18"/>
      <c r="BG65" s="18"/>
      <c r="BH65" s="18"/>
      <c r="BI65" s="18"/>
      <c r="BJ65" s="18"/>
      <c r="BK65" s="18"/>
      <c r="BL65" s="435">
        <f t="shared" si="0"/>
        <v>44783</v>
      </c>
      <c r="BM65" s="436">
        <f t="shared" si="1"/>
        <v>15.63</v>
      </c>
      <c r="BN65" s="436">
        <f t="shared" si="2"/>
        <v>1</v>
      </c>
      <c r="BO65" s="436">
        <f t="shared" si="3"/>
        <v>15.63</v>
      </c>
      <c r="BP65" s="436" t="e">
        <f t="shared" si="4"/>
        <v>#N/A</v>
      </c>
      <c r="BQ65" s="436" t="e">
        <f t="shared" si="7"/>
        <v>#N/A</v>
      </c>
      <c r="BR65" s="436" t="str">
        <f t="shared" si="5"/>
        <v/>
      </c>
      <c r="BS65" s="436" t="str">
        <f t="shared" si="6"/>
        <v/>
      </c>
      <c r="BT65" s="18"/>
      <c r="BU65" s="18"/>
      <c r="BV65" s="18"/>
      <c r="BW65" s="18"/>
      <c r="BX65" s="17"/>
      <c r="BY65" s="17"/>
      <c r="BZ65" s="18"/>
    </row>
    <row r="66" spans="1:78" x14ac:dyDescent="0.3">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434">
        <v>44784</v>
      </c>
      <c r="AW66" s="421">
        <v>1605</v>
      </c>
      <c r="AX66" s="18"/>
      <c r="AY66" s="434">
        <v>44784</v>
      </c>
      <c r="AZ66" s="421">
        <v>23097.39</v>
      </c>
      <c r="BA66" s="18"/>
      <c r="BB66" s="18"/>
      <c r="BC66" s="18"/>
      <c r="BD66" s="434"/>
      <c r="BE66" s="421"/>
      <c r="BF66" s="18"/>
      <c r="BG66" s="18"/>
      <c r="BH66" s="18"/>
      <c r="BI66" s="18"/>
      <c r="BJ66" s="18"/>
      <c r="BK66" s="18"/>
      <c r="BL66" s="435">
        <f t="shared" si="0"/>
        <v>44784</v>
      </c>
      <c r="BM66" s="436">
        <f t="shared" si="1"/>
        <v>16.05</v>
      </c>
      <c r="BN66" s="436">
        <f t="shared" si="2"/>
        <v>1</v>
      </c>
      <c r="BO66" s="436">
        <f t="shared" si="3"/>
        <v>16.05</v>
      </c>
      <c r="BP66" s="436" t="e">
        <f t="shared" si="4"/>
        <v>#N/A</v>
      </c>
      <c r="BQ66" s="436" t="e">
        <f t="shared" si="7"/>
        <v>#N/A</v>
      </c>
      <c r="BR66" s="436" t="str">
        <f t="shared" si="5"/>
        <v/>
      </c>
      <c r="BS66" s="436" t="str">
        <f t="shared" si="6"/>
        <v/>
      </c>
      <c r="BT66" s="18"/>
      <c r="BU66" s="18"/>
      <c r="BV66" s="18"/>
      <c r="BW66" s="18"/>
      <c r="BX66" s="17"/>
      <c r="BY66" s="17"/>
      <c r="BZ66" s="18"/>
    </row>
    <row r="67" spans="1:78" x14ac:dyDescent="0.3">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434">
        <v>44785</v>
      </c>
      <c r="AW67" s="421">
        <v>1609</v>
      </c>
      <c r="AX67" s="18"/>
      <c r="AY67" s="434">
        <v>44785</v>
      </c>
      <c r="AZ67" s="421">
        <v>23154.959999999999</v>
      </c>
      <c r="BA67" s="18"/>
      <c r="BB67" s="18"/>
      <c r="BC67" s="18"/>
      <c r="BD67" s="434"/>
      <c r="BE67" s="421"/>
      <c r="BF67" s="18"/>
      <c r="BG67" s="18"/>
      <c r="BH67" s="18"/>
      <c r="BI67" s="18"/>
      <c r="BJ67" s="18"/>
      <c r="BK67" s="18"/>
      <c r="BL67" s="435">
        <f t="shared" si="0"/>
        <v>44785</v>
      </c>
      <c r="BM67" s="436">
        <f t="shared" si="1"/>
        <v>16.09</v>
      </c>
      <c r="BN67" s="436">
        <f t="shared" si="2"/>
        <v>1</v>
      </c>
      <c r="BO67" s="436">
        <f t="shared" si="3"/>
        <v>16.09</v>
      </c>
      <c r="BP67" s="436" t="e">
        <f t="shared" si="4"/>
        <v>#N/A</v>
      </c>
      <c r="BQ67" s="436" t="e">
        <f t="shared" si="7"/>
        <v>#N/A</v>
      </c>
      <c r="BR67" s="436" t="str">
        <f t="shared" si="5"/>
        <v/>
      </c>
      <c r="BS67" s="436" t="str">
        <f t="shared" si="6"/>
        <v/>
      </c>
      <c r="BT67" s="18"/>
      <c r="BU67" s="18"/>
      <c r="BV67" s="18"/>
      <c r="BW67" s="18"/>
      <c r="BX67" s="17"/>
      <c r="BY67" s="17"/>
      <c r="BZ67" s="18"/>
    </row>
    <row r="68" spans="1:78" x14ac:dyDescent="0.3">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434">
        <v>44788</v>
      </c>
      <c r="AW68" s="421">
        <v>1624</v>
      </c>
      <c r="AX68" s="18"/>
      <c r="AY68" s="434">
        <v>44788</v>
      </c>
      <c r="AZ68" s="421">
        <v>23370.82</v>
      </c>
      <c r="BA68" s="18"/>
      <c r="BB68" s="18"/>
      <c r="BC68" s="18"/>
      <c r="BD68" s="434"/>
      <c r="BE68" s="421"/>
      <c r="BF68" s="18"/>
      <c r="BG68" s="18"/>
      <c r="BH68" s="18"/>
      <c r="BI68" s="18"/>
      <c r="BJ68" s="18"/>
      <c r="BK68" s="18"/>
      <c r="BL68" s="435">
        <f t="shared" si="0"/>
        <v>44788</v>
      </c>
      <c r="BM68" s="436">
        <f t="shared" si="1"/>
        <v>16.240000000000002</v>
      </c>
      <c r="BN68" s="436">
        <f t="shared" si="2"/>
        <v>1</v>
      </c>
      <c r="BO68" s="436">
        <f t="shared" si="3"/>
        <v>16.240000000000002</v>
      </c>
      <c r="BP68" s="436" t="e">
        <f t="shared" si="4"/>
        <v>#N/A</v>
      </c>
      <c r="BQ68" s="436" t="e">
        <f t="shared" si="7"/>
        <v>#N/A</v>
      </c>
      <c r="BR68" s="436" t="str">
        <f t="shared" si="5"/>
        <v/>
      </c>
      <c r="BS68" s="436" t="str">
        <f t="shared" si="6"/>
        <v/>
      </c>
      <c r="BT68" s="18"/>
      <c r="BU68" s="18"/>
      <c r="BV68" s="18"/>
      <c r="BW68" s="18"/>
      <c r="BX68" s="17"/>
      <c r="BY68" s="17"/>
      <c r="BZ68" s="18"/>
    </row>
    <row r="69" spans="1:78" x14ac:dyDescent="0.3">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434">
        <v>44789</v>
      </c>
      <c r="AW69" s="421">
        <v>1595</v>
      </c>
      <c r="AX69" s="18"/>
      <c r="AY69" s="434">
        <v>44789</v>
      </c>
      <c r="AZ69" s="421">
        <v>22953.49</v>
      </c>
      <c r="BA69" s="18"/>
      <c r="BB69" s="18"/>
      <c r="BC69" s="18"/>
      <c r="BD69" s="434"/>
      <c r="BE69" s="421"/>
      <c r="BF69" s="18"/>
      <c r="BG69" s="18"/>
      <c r="BH69" s="18"/>
      <c r="BI69" s="18"/>
      <c r="BJ69" s="18"/>
      <c r="BK69" s="18"/>
      <c r="BL69" s="435">
        <f t="shared" si="0"/>
        <v>44789</v>
      </c>
      <c r="BM69" s="436">
        <f t="shared" si="1"/>
        <v>15.950000000000001</v>
      </c>
      <c r="BN69" s="436">
        <f t="shared" si="2"/>
        <v>1</v>
      </c>
      <c r="BO69" s="436">
        <f t="shared" si="3"/>
        <v>15.950000000000001</v>
      </c>
      <c r="BP69" s="436" t="e">
        <f t="shared" si="4"/>
        <v>#N/A</v>
      </c>
      <c r="BQ69" s="436" t="e">
        <f t="shared" si="7"/>
        <v>#N/A</v>
      </c>
      <c r="BR69" s="436" t="str">
        <f t="shared" si="5"/>
        <v/>
      </c>
      <c r="BS69" s="436" t="str">
        <f t="shared" si="6"/>
        <v/>
      </c>
      <c r="BT69" s="18"/>
      <c r="BU69" s="18"/>
      <c r="BV69" s="18"/>
      <c r="BW69" s="18"/>
      <c r="BX69" s="17"/>
      <c r="BY69" s="17"/>
      <c r="BZ69" s="18"/>
    </row>
    <row r="70" spans="1:78" x14ac:dyDescent="0.3">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434">
        <v>44790</v>
      </c>
      <c r="AW70" s="421">
        <v>1586</v>
      </c>
      <c r="AX70" s="18"/>
      <c r="AY70" s="434">
        <v>44790</v>
      </c>
      <c r="AZ70" s="421">
        <v>22823.97</v>
      </c>
      <c r="BA70" s="18"/>
      <c r="BB70" s="18"/>
      <c r="BC70" s="18"/>
      <c r="BD70" s="434"/>
      <c r="BE70" s="421"/>
      <c r="BF70" s="18"/>
      <c r="BG70" s="18"/>
      <c r="BH70" s="18"/>
      <c r="BI70" s="18"/>
      <c r="BJ70" s="18"/>
      <c r="BK70" s="18"/>
      <c r="BL70" s="435">
        <f t="shared" si="0"/>
        <v>44790</v>
      </c>
      <c r="BM70" s="436">
        <f t="shared" si="1"/>
        <v>15.860000000000001</v>
      </c>
      <c r="BN70" s="436">
        <f t="shared" si="2"/>
        <v>1</v>
      </c>
      <c r="BO70" s="436">
        <f t="shared" si="3"/>
        <v>15.860000000000001</v>
      </c>
      <c r="BP70" s="436" t="e">
        <f t="shared" si="4"/>
        <v>#N/A</v>
      </c>
      <c r="BQ70" s="436" t="e">
        <f t="shared" si="7"/>
        <v>#N/A</v>
      </c>
      <c r="BR70" s="436" t="str">
        <f t="shared" si="5"/>
        <v/>
      </c>
      <c r="BS70" s="436" t="str">
        <f t="shared" si="6"/>
        <v/>
      </c>
      <c r="BT70" s="441"/>
      <c r="BU70" s="18"/>
      <c r="BV70" s="18"/>
      <c r="BW70" s="18"/>
      <c r="BX70" s="17"/>
      <c r="BY70" s="17"/>
      <c r="BZ70" s="18"/>
    </row>
    <row r="71" spans="1:78" x14ac:dyDescent="0.3">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434">
        <v>44791</v>
      </c>
      <c r="AW71" s="421">
        <v>1575</v>
      </c>
      <c r="AX71" s="18"/>
      <c r="AY71" s="434">
        <v>44791</v>
      </c>
      <c r="AZ71" s="421">
        <v>22665.67</v>
      </c>
      <c r="BA71" s="18"/>
      <c r="BB71" s="18"/>
      <c r="BC71" s="18"/>
      <c r="BD71" s="434"/>
      <c r="BE71" s="421"/>
      <c r="BF71" s="18"/>
      <c r="BG71" s="18"/>
      <c r="BH71" s="18"/>
      <c r="BI71" s="18"/>
      <c r="BJ71" s="18"/>
      <c r="BK71" s="18"/>
      <c r="BL71" s="435">
        <f t="shared" si="0"/>
        <v>44791</v>
      </c>
      <c r="BM71" s="436">
        <f t="shared" si="1"/>
        <v>15.75</v>
      </c>
      <c r="BN71" s="436">
        <f t="shared" si="2"/>
        <v>1</v>
      </c>
      <c r="BO71" s="436">
        <f t="shared" si="3"/>
        <v>15.75</v>
      </c>
      <c r="BP71" s="436" t="e">
        <f t="shared" si="4"/>
        <v>#N/A</v>
      </c>
      <c r="BQ71" s="436" t="e">
        <f t="shared" si="7"/>
        <v>#N/A</v>
      </c>
      <c r="BR71" s="436" t="str">
        <f t="shared" si="5"/>
        <v/>
      </c>
      <c r="BS71" s="436" t="str">
        <f t="shared" si="6"/>
        <v/>
      </c>
      <c r="BT71" s="441"/>
      <c r="BU71" s="18"/>
      <c r="BV71" s="18"/>
      <c r="BW71" s="18"/>
      <c r="BX71" s="17"/>
      <c r="BY71" s="17"/>
      <c r="BZ71" s="18"/>
    </row>
    <row r="72" spans="1:78" x14ac:dyDescent="0.3">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434">
        <v>44792</v>
      </c>
      <c r="AW72" s="421">
        <v>1559</v>
      </c>
      <c r="AX72" s="18"/>
      <c r="AY72" s="434">
        <v>44792</v>
      </c>
      <c r="AZ72" s="421">
        <v>22435.41</v>
      </c>
      <c r="BA72" s="18"/>
      <c r="BB72" s="18"/>
      <c r="BC72" s="18"/>
      <c r="BD72" s="434"/>
      <c r="BE72" s="421"/>
      <c r="BF72" s="18"/>
      <c r="BG72" s="18"/>
      <c r="BH72" s="18"/>
      <c r="BI72" s="18"/>
      <c r="BJ72" s="18"/>
      <c r="BK72" s="18"/>
      <c r="BL72" s="435">
        <f t="shared" si="0"/>
        <v>44792</v>
      </c>
      <c r="BM72" s="436">
        <f t="shared" si="1"/>
        <v>15.59</v>
      </c>
      <c r="BN72" s="436">
        <f t="shared" si="2"/>
        <v>1</v>
      </c>
      <c r="BO72" s="436">
        <f t="shared" si="3"/>
        <v>15.59</v>
      </c>
      <c r="BP72" s="436" t="e">
        <f t="shared" si="4"/>
        <v>#N/A</v>
      </c>
      <c r="BQ72" s="436" t="e">
        <f t="shared" si="7"/>
        <v>#N/A</v>
      </c>
      <c r="BR72" s="436" t="str">
        <f t="shared" si="5"/>
        <v/>
      </c>
      <c r="BS72" s="436" t="str">
        <f t="shared" si="6"/>
        <v/>
      </c>
      <c r="BT72" s="441"/>
      <c r="BU72" s="18"/>
      <c r="BV72" s="18"/>
      <c r="BW72" s="18"/>
      <c r="BX72" s="17"/>
      <c r="BY72" s="17"/>
      <c r="BZ72" s="18"/>
    </row>
    <row r="73" spans="1:78" x14ac:dyDescent="0.3">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434">
        <v>44795</v>
      </c>
      <c r="AW73" s="421">
        <v>1553</v>
      </c>
      <c r="AX73" s="18"/>
      <c r="AY73" s="434">
        <v>44795</v>
      </c>
      <c r="AZ73" s="421">
        <v>22349.07</v>
      </c>
      <c r="BA73" s="18"/>
      <c r="BB73" s="18"/>
      <c r="BC73" s="18"/>
      <c r="BD73" s="434"/>
      <c r="BE73" s="421"/>
      <c r="BF73" s="18"/>
      <c r="BG73" s="18"/>
      <c r="BH73" s="18"/>
      <c r="BI73" s="18"/>
      <c r="BJ73" s="18"/>
      <c r="BK73" s="18"/>
      <c r="BL73" s="435">
        <f t="shared" si="0"/>
        <v>44795</v>
      </c>
      <c r="BM73" s="436">
        <f t="shared" si="1"/>
        <v>15.530000000000001</v>
      </c>
      <c r="BN73" s="436">
        <f t="shared" si="2"/>
        <v>1</v>
      </c>
      <c r="BO73" s="436">
        <f t="shared" si="3"/>
        <v>15.530000000000001</v>
      </c>
      <c r="BP73" s="436" t="e">
        <f t="shared" si="4"/>
        <v>#N/A</v>
      </c>
      <c r="BQ73" s="436" t="e">
        <f t="shared" si="7"/>
        <v>#N/A</v>
      </c>
      <c r="BR73" s="436" t="str">
        <f t="shared" si="5"/>
        <v/>
      </c>
      <c r="BS73" s="436" t="str">
        <f t="shared" si="6"/>
        <v/>
      </c>
      <c r="BT73" s="441"/>
      <c r="BU73" s="18"/>
      <c r="BV73" s="18"/>
      <c r="BW73" s="18"/>
      <c r="BX73" s="17"/>
      <c r="BY73" s="17"/>
      <c r="BZ73" s="18"/>
    </row>
    <row r="74" spans="1:78" x14ac:dyDescent="0.3">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434">
        <v>44796</v>
      </c>
      <c r="AW74" s="421">
        <v>1549</v>
      </c>
      <c r="AX74" s="18"/>
      <c r="AY74" s="434">
        <v>44796</v>
      </c>
      <c r="AZ74" s="421">
        <v>22291.5</v>
      </c>
      <c r="BA74" s="18"/>
      <c r="BB74" s="18"/>
      <c r="BC74" s="18"/>
      <c r="BD74" s="434"/>
      <c r="BE74" s="421"/>
      <c r="BF74" s="18"/>
      <c r="BG74" s="18"/>
      <c r="BH74" s="18"/>
      <c r="BI74" s="18"/>
      <c r="BJ74" s="18"/>
      <c r="BK74" s="18"/>
      <c r="BL74" s="435">
        <f t="shared" ref="BL74:BL137" si="8">IF($AV74="",NA(),AV74)</f>
        <v>44796</v>
      </c>
      <c r="BM74" s="436">
        <f t="shared" ref="BM74:BM137" si="9">IF($AV74="","-",AW74*$AW$3)</f>
        <v>15.49</v>
      </c>
      <c r="BN74" s="436">
        <f t="shared" ref="BN74:BN137" si="10">IF($C$17&lt;&gt;$C$18,VLOOKUP(BL74,$BD$10:$BE$301,2,0),1)</f>
        <v>1</v>
      </c>
      <c r="BO74" s="436">
        <f t="shared" ref="BO74:BO137" si="11">IF(BL74="","-",IF($C$17&lt;&gt;$C$18,(BM74)/VLOOKUP(BL74,$BD$10:$BE$301,2,1),BM74))</f>
        <v>15.49</v>
      </c>
      <c r="BP74" s="436" t="e">
        <f t="shared" ref="BP74:BP137" si="12">IF($BL74=$D$20,BO74,NA())</f>
        <v>#N/A</v>
      </c>
      <c r="BQ74" s="436" t="e">
        <f t="shared" si="7"/>
        <v>#N/A</v>
      </c>
      <c r="BR74" s="436" t="str">
        <f t="shared" ref="BR74:BR137" si="13">IF(ISNA(BQ74),"",TEXT($C$29,"# ##0.00") &amp; " ("&amp;TEXT($C$30,"+0.0%;-0.0%;0%")&amp;")")</f>
        <v/>
      </c>
      <c r="BS74" s="436" t="str">
        <f t="shared" ref="BS74:BS137" si="14">IF(ISNA(BP74),"",TEXT(BP74,"# ##0.00") &amp; " ("&amp;TEXT($BO$6,"+0.0%;-0.0%;0%")&amp;")")</f>
        <v/>
      </c>
      <c r="BT74" s="441"/>
      <c r="BU74" s="18"/>
      <c r="BV74" s="18"/>
      <c r="BW74" s="18"/>
      <c r="BX74" s="17"/>
      <c r="BY74" s="17"/>
      <c r="BZ74" s="18"/>
    </row>
    <row r="75" spans="1:78" x14ac:dyDescent="0.3">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434">
        <v>44797</v>
      </c>
      <c r="AW75" s="421">
        <v>1523</v>
      </c>
      <c r="AX75" s="18"/>
      <c r="AY75" s="434">
        <v>44797</v>
      </c>
      <c r="AZ75" s="421">
        <v>21917.34</v>
      </c>
      <c r="BA75" s="18"/>
      <c r="BB75" s="18"/>
      <c r="BC75" s="18"/>
      <c r="BD75" s="434"/>
      <c r="BE75" s="421"/>
      <c r="BF75" s="18"/>
      <c r="BG75" s="18"/>
      <c r="BH75" s="18"/>
      <c r="BI75" s="18"/>
      <c r="BJ75" s="18"/>
      <c r="BK75" s="18"/>
      <c r="BL75" s="435">
        <f t="shared" si="8"/>
        <v>44797</v>
      </c>
      <c r="BM75" s="436">
        <f t="shared" si="9"/>
        <v>15.23</v>
      </c>
      <c r="BN75" s="436">
        <f t="shared" si="10"/>
        <v>1</v>
      </c>
      <c r="BO75" s="436">
        <f t="shared" si="11"/>
        <v>15.23</v>
      </c>
      <c r="BP75" s="436" t="e">
        <f t="shared" si="12"/>
        <v>#N/A</v>
      </c>
      <c r="BQ75" s="436" t="e">
        <f t="shared" ref="BQ75:BQ138" si="15">IF(BL75=$D$20,$C$29,NA())</f>
        <v>#N/A</v>
      </c>
      <c r="BR75" s="436" t="str">
        <f t="shared" si="13"/>
        <v/>
      </c>
      <c r="BS75" s="436" t="str">
        <f t="shared" si="14"/>
        <v/>
      </c>
      <c r="BT75" s="441"/>
      <c r="BU75" s="18"/>
      <c r="BV75" s="18"/>
      <c r="BW75" s="18"/>
      <c r="BX75" s="17"/>
      <c r="BY75" s="17"/>
      <c r="BZ75" s="18"/>
    </row>
    <row r="76" spans="1:78" x14ac:dyDescent="0.3">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434">
        <v>44798</v>
      </c>
      <c r="AW76" s="421">
        <v>1519</v>
      </c>
      <c r="AX76" s="18"/>
      <c r="AY76" s="434">
        <v>44798</v>
      </c>
      <c r="AZ76" s="421">
        <v>21859.78</v>
      </c>
      <c r="BA76" s="18"/>
      <c r="BB76" s="18"/>
      <c r="BC76" s="18"/>
      <c r="BD76" s="434"/>
      <c r="BE76" s="421"/>
      <c r="BF76" s="18"/>
      <c r="BG76" s="18"/>
      <c r="BH76" s="18"/>
      <c r="BI76" s="18"/>
      <c r="BJ76" s="18"/>
      <c r="BK76" s="18"/>
      <c r="BL76" s="435">
        <f t="shared" si="8"/>
        <v>44798</v>
      </c>
      <c r="BM76" s="436">
        <f t="shared" si="9"/>
        <v>15.19</v>
      </c>
      <c r="BN76" s="436">
        <f t="shared" si="10"/>
        <v>1</v>
      </c>
      <c r="BO76" s="436">
        <f t="shared" si="11"/>
        <v>15.19</v>
      </c>
      <c r="BP76" s="436" t="e">
        <f t="shared" si="12"/>
        <v>#N/A</v>
      </c>
      <c r="BQ76" s="436" t="e">
        <f t="shared" si="15"/>
        <v>#N/A</v>
      </c>
      <c r="BR76" s="436" t="str">
        <f t="shared" si="13"/>
        <v/>
      </c>
      <c r="BS76" s="436" t="str">
        <f t="shared" si="14"/>
        <v/>
      </c>
      <c r="BT76" s="441"/>
      <c r="BU76" s="18"/>
      <c r="BV76" s="18"/>
      <c r="BW76" s="18"/>
      <c r="BX76" s="17"/>
      <c r="BY76" s="17"/>
      <c r="BZ76" s="18"/>
    </row>
    <row r="77" spans="1:78" x14ac:dyDescent="0.3">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434">
        <v>44799</v>
      </c>
      <c r="AW77" s="421">
        <v>1519</v>
      </c>
      <c r="AX77" s="18"/>
      <c r="AY77" s="434">
        <v>44799</v>
      </c>
      <c r="AZ77" s="421">
        <v>21859.78</v>
      </c>
      <c r="BA77" s="18"/>
      <c r="BB77" s="18"/>
      <c r="BC77" s="18"/>
      <c r="BD77" s="434"/>
      <c r="BE77" s="421"/>
      <c r="BF77" s="18"/>
      <c r="BG77" s="18"/>
      <c r="BH77" s="18"/>
      <c r="BI77" s="18"/>
      <c r="BJ77" s="18"/>
      <c r="BK77" s="18"/>
      <c r="BL77" s="435">
        <f t="shared" si="8"/>
        <v>44799</v>
      </c>
      <c r="BM77" s="436">
        <f t="shared" si="9"/>
        <v>15.19</v>
      </c>
      <c r="BN77" s="436">
        <f t="shared" si="10"/>
        <v>1</v>
      </c>
      <c r="BO77" s="436">
        <f t="shared" si="11"/>
        <v>15.19</v>
      </c>
      <c r="BP77" s="436" t="e">
        <f t="shared" si="12"/>
        <v>#N/A</v>
      </c>
      <c r="BQ77" s="436" t="e">
        <f t="shared" si="15"/>
        <v>#N/A</v>
      </c>
      <c r="BR77" s="436" t="str">
        <f t="shared" si="13"/>
        <v/>
      </c>
      <c r="BS77" s="436" t="str">
        <f t="shared" si="14"/>
        <v/>
      </c>
      <c r="BT77" s="441"/>
      <c r="BU77" s="18"/>
      <c r="BV77" s="18"/>
      <c r="BW77" s="18"/>
      <c r="BX77" s="17"/>
      <c r="BY77" s="17"/>
      <c r="BZ77" s="18"/>
    </row>
    <row r="78" spans="1:78" x14ac:dyDescent="0.3">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434">
        <v>44802</v>
      </c>
      <c r="AW78" s="421">
        <v>1493</v>
      </c>
      <c r="AX78" s="18"/>
      <c r="AY78" s="434">
        <v>44802</v>
      </c>
      <c r="AZ78" s="421">
        <v>21485.61</v>
      </c>
      <c r="BA78" s="18"/>
      <c r="BB78" s="18"/>
      <c r="BC78" s="18"/>
      <c r="BD78" s="434"/>
      <c r="BE78" s="421"/>
      <c r="BF78" s="18"/>
      <c r="BG78" s="18"/>
      <c r="BH78" s="18"/>
      <c r="BI78" s="18"/>
      <c r="BJ78" s="18"/>
      <c r="BK78" s="18"/>
      <c r="BL78" s="435">
        <f t="shared" si="8"/>
        <v>44802</v>
      </c>
      <c r="BM78" s="436">
        <f t="shared" si="9"/>
        <v>14.93</v>
      </c>
      <c r="BN78" s="436">
        <f t="shared" si="10"/>
        <v>1</v>
      </c>
      <c r="BO78" s="436">
        <f t="shared" si="11"/>
        <v>14.93</v>
      </c>
      <c r="BP78" s="436" t="e">
        <f t="shared" si="12"/>
        <v>#N/A</v>
      </c>
      <c r="BQ78" s="436" t="e">
        <f t="shared" si="15"/>
        <v>#N/A</v>
      </c>
      <c r="BR78" s="436" t="str">
        <f t="shared" si="13"/>
        <v/>
      </c>
      <c r="BS78" s="436" t="str">
        <f t="shared" si="14"/>
        <v/>
      </c>
      <c r="BT78" s="441"/>
      <c r="BU78" s="18"/>
      <c r="BV78" s="18"/>
      <c r="BW78" s="18"/>
      <c r="BX78" s="17"/>
      <c r="BY78" s="17"/>
      <c r="BZ78" s="18"/>
    </row>
    <row r="79" spans="1:78" x14ac:dyDescent="0.3">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434">
        <v>44803</v>
      </c>
      <c r="AW79" s="421">
        <v>1470</v>
      </c>
      <c r="AX79" s="18"/>
      <c r="AY79" s="434">
        <v>44803</v>
      </c>
      <c r="AZ79" s="421">
        <v>21154.62</v>
      </c>
      <c r="BA79" s="18"/>
      <c r="BB79" s="18"/>
      <c r="BC79" s="18"/>
      <c r="BD79" s="434"/>
      <c r="BE79" s="421"/>
      <c r="BF79" s="18"/>
      <c r="BG79" s="18"/>
      <c r="BH79" s="18"/>
      <c r="BI79" s="18"/>
      <c r="BJ79" s="18"/>
      <c r="BK79" s="18"/>
      <c r="BL79" s="435">
        <f t="shared" si="8"/>
        <v>44803</v>
      </c>
      <c r="BM79" s="436">
        <f t="shared" si="9"/>
        <v>14.700000000000001</v>
      </c>
      <c r="BN79" s="436">
        <f t="shared" si="10"/>
        <v>1</v>
      </c>
      <c r="BO79" s="436">
        <f t="shared" si="11"/>
        <v>14.700000000000001</v>
      </c>
      <c r="BP79" s="436" t="e">
        <f t="shared" si="12"/>
        <v>#N/A</v>
      </c>
      <c r="BQ79" s="436" t="e">
        <f t="shared" si="15"/>
        <v>#N/A</v>
      </c>
      <c r="BR79" s="436" t="str">
        <f t="shared" si="13"/>
        <v/>
      </c>
      <c r="BS79" s="436" t="str">
        <f t="shared" si="14"/>
        <v/>
      </c>
      <c r="BT79" s="441"/>
      <c r="BU79" s="18"/>
      <c r="BV79" s="18"/>
      <c r="BW79" s="18"/>
      <c r="BX79" s="17"/>
      <c r="BY79" s="17"/>
      <c r="BZ79" s="18"/>
    </row>
    <row r="80" spans="1:78" x14ac:dyDescent="0.3">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434">
        <v>44804</v>
      </c>
      <c r="AW80" s="421">
        <v>1474</v>
      </c>
      <c r="AX80" s="18"/>
      <c r="AY80" s="434">
        <v>44804</v>
      </c>
      <c r="AZ80" s="421">
        <v>21212.19</v>
      </c>
      <c r="BA80" s="18"/>
      <c r="BB80" s="18"/>
      <c r="BC80" s="18"/>
      <c r="BD80" s="434"/>
      <c r="BE80" s="421"/>
      <c r="BF80" s="18"/>
      <c r="BG80" s="18"/>
      <c r="BH80" s="18"/>
      <c r="BI80" s="18"/>
      <c r="BJ80" s="18"/>
      <c r="BK80" s="18"/>
      <c r="BL80" s="435">
        <f t="shared" si="8"/>
        <v>44804</v>
      </c>
      <c r="BM80" s="436">
        <f t="shared" si="9"/>
        <v>14.74</v>
      </c>
      <c r="BN80" s="436">
        <f t="shared" si="10"/>
        <v>1</v>
      </c>
      <c r="BO80" s="436">
        <f t="shared" si="11"/>
        <v>14.74</v>
      </c>
      <c r="BP80" s="436" t="e">
        <f t="shared" si="12"/>
        <v>#N/A</v>
      </c>
      <c r="BQ80" s="436" t="e">
        <f t="shared" si="15"/>
        <v>#N/A</v>
      </c>
      <c r="BR80" s="436" t="str">
        <f t="shared" si="13"/>
        <v/>
      </c>
      <c r="BS80" s="436" t="str">
        <f t="shared" si="14"/>
        <v/>
      </c>
      <c r="BT80" s="441"/>
      <c r="BU80" s="18"/>
      <c r="BV80" s="18"/>
      <c r="BW80" s="18"/>
      <c r="BX80" s="17"/>
      <c r="BY80" s="17"/>
      <c r="BZ80" s="18"/>
    </row>
    <row r="81" spans="1:78" x14ac:dyDescent="0.3">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434">
        <v>44805</v>
      </c>
      <c r="AW81" s="421">
        <v>1452</v>
      </c>
      <c r="AX81" s="18"/>
      <c r="AY81" s="434">
        <v>44805</v>
      </c>
      <c r="AZ81" s="421">
        <v>20895.59</v>
      </c>
      <c r="BA81" s="18"/>
      <c r="BB81" s="18"/>
      <c r="BC81" s="18"/>
      <c r="BD81" s="434"/>
      <c r="BE81" s="421"/>
      <c r="BF81" s="18"/>
      <c r="BG81" s="18"/>
      <c r="BH81" s="18"/>
      <c r="BI81" s="18"/>
      <c r="BJ81" s="18"/>
      <c r="BK81" s="18"/>
      <c r="BL81" s="435">
        <f t="shared" si="8"/>
        <v>44805</v>
      </c>
      <c r="BM81" s="436">
        <f t="shared" si="9"/>
        <v>14.52</v>
      </c>
      <c r="BN81" s="436">
        <f t="shared" si="10"/>
        <v>1</v>
      </c>
      <c r="BO81" s="436">
        <f t="shared" si="11"/>
        <v>14.52</v>
      </c>
      <c r="BP81" s="436" t="e">
        <f t="shared" si="12"/>
        <v>#N/A</v>
      </c>
      <c r="BQ81" s="436" t="e">
        <f t="shared" si="15"/>
        <v>#N/A</v>
      </c>
      <c r="BR81" s="436" t="str">
        <f t="shared" si="13"/>
        <v/>
      </c>
      <c r="BS81" s="436" t="str">
        <f t="shared" si="14"/>
        <v/>
      </c>
      <c r="BT81" s="441"/>
      <c r="BU81" s="18"/>
      <c r="BV81" s="18"/>
      <c r="BW81" s="18"/>
      <c r="BX81" s="17"/>
      <c r="BY81" s="17"/>
      <c r="BZ81" s="18"/>
    </row>
    <row r="82" spans="1:78" x14ac:dyDescent="0.3">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434">
        <v>44806</v>
      </c>
      <c r="AW82" s="421">
        <v>1442</v>
      </c>
      <c r="AX82" s="18"/>
      <c r="AY82" s="434">
        <v>44806</v>
      </c>
      <c r="AZ82" s="421">
        <v>20751.68</v>
      </c>
      <c r="BA82" s="18"/>
      <c r="BB82" s="18"/>
      <c r="BC82" s="18"/>
      <c r="BD82" s="434"/>
      <c r="BE82" s="421"/>
      <c r="BF82" s="18"/>
      <c r="BG82" s="18"/>
      <c r="BH82" s="18"/>
      <c r="BI82" s="18"/>
      <c r="BJ82" s="18"/>
      <c r="BK82" s="18"/>
      <c r="BL82" s="435">
        <f t="shared" si="8"/>
        <v>44806</v>
      </c>
      <c r="BM82" s="436">
        <f t="shared" si="9"/>
        <v>14.42</v>
      </c>
      <c r="BN82" s="436">
        <f t="shared" si="10"/>
        <v>1</v>
      </c>
      <c r="BO82" s="436">
        <f t="shared" si="11"/>
        <v>14.42</v>
      </c>
      <c r="BP82" s="436" t="e">
        <f t="shared" si="12"/>
        <v>#N/A</v>
      </c>
      <c r="BQ82" s="436" t="e">
        <f t="shared" si="15"/>
        <v>#N/A</v>
      </c>
      <c r="BR82" s="436" t="str">
        <f t="shared" si="13"/>
        <v/>
      </c>
      <c r="BS82" s="436" t="str">
        <f t="shared" si="14"/>
        <v/>
      </c>
      <c r="BT82" s="441"/>
      <c r="BU82" s="18"/>
      <c r="BV82" s="18"/>
      <c r="BW82" s="18"/>
      <c r="BX82" s="17"/>
      <c r="BY82" s="17"/>
      <c r="BZ82" s="18"/>
    </row>
    <row r="83" spans="1:78" x14ac:dyDescent="0.3">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434">
        <v>44809</v>
      </c>
      <c r="AW83" s="421">
        <v>1436</v>
      </c>
      <c r="AX83" s="18"/>
      <c r="AY83" s="434">
        <v>44809</v>
      </c>
      <c r="AZ83" s="421">
        <v>20665.330000000002</v>
      </c>
      <c r="BA83" s="18"/>
      <c r="BB83" s="18"/>
      <c r="BC83" s="18"/>
      <c r="BD83" s="434"/>
      <c r="BE83" s="421"/>
      <c r="BF83" s="18"/>
      <c r="BG83" s="18"/>
      <c r="BH83" s="18"/>
      <c r="BI83" s="18"/>
      <c r="BJ83" s="18"/>
      <c r="BK83" s="18"/>
      <c r="BL83" s="435">
        <f t="shared" si="8"/>
        <v>44809</v>
      </c>
      <c r="BM83" s="436">
        <f t="shared" si="9"/>
        <v>14.36</v>
      </c>
      <c r="BN83" s="436">
        <f t="shared" si="10"/>
        <v>1</v>
      </c>
      <c r="BO83" s="436">
        <f t="shared" si="11"/>
        <v>14.36</v>
      </c>
      <c r="BP83" s="436" t="e">
        <f t="shared" si="12"/>
        <v>#N/A</v>
      </c>
      <c r="BQ83" s="436" t="e">
        <f t="shared" si="15"/>
        <v>#N/A</v>
      </c>
      <c r="BR83" s="436" t="str">
        <f t="shared" si="13"/>
        <v/>
      </c>
      <c r="BS83" s="436" t="str">
        <f t="shared" si="14"/>
        <v/>
      </c>
      <c r="BT83" s="441"/>
      <c r="BU83" s="18"/>
      <c r="BV83" s="18"/>
      <c r="BW83" s="18"/>
      <c r="BX83" s="17"/>
      <c r="BY83" s="17"/>
      <c r="BZ83" s="18"/>
    </row>
    <row r="84" spans="1:78" x14ac:dyDescent="0.3">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434">
        <v>44810</v>
      </c>
      <c r="AW84" s="421">
        <v>1427</v>
      </c>
      <c r="AX84" s="18"/>
      <c r="AY84" s="434">
        <v>44810</v>
      </c>
      <c r="AZ84" s="421">
        <v>20535.810000000001</v>
      </c>
      <c r="BA84" s="18"/>
      <c r="BB84" s="18"/>
      <c r="BC84" s="18"/>
      <c r="BD84" s="434"/>
      <c r="BE84" s="421"/>
      <c r="BF84" s="18"/>
      <c r="BG84" s="18"/>
      <c r="BH84" s="18"/>
      <c r="BI84" s="18"/>
      <c r="BJ84" s="18"/>
      <c r="BK84" s="18"/>
      <c r="BL84" s="435">
        <f t="shared" si="8"/>
        <v>44810</v>
      </c>
      <c r="BM84" s="436">
        <f t="shared" si="9"/>
        <v>14.27</v>
      </c>
      <c r="BN84" s="436">
        <f t="shared" si="10"/>
        <v>1</v>
      </c>
      <c r="BO84" s="436">
        <f t="shared" si="11"/>
        <v>14.27</v>
      </c>
      <c r="BP84" s="436" t="e">
        <f t="shared" si="12"/>
        <v>#N/A</v>
      </c>
      <c r="BQ84" s="436" t="e">
        <f t="shared" si="15"/>
        <v>#N/A</v>
      </c>
      <c r="BR84" s="436" t="str">
        <f t="shared" si="13"/>
        <v/>
      </c>
      <c r="BS84" s="436" t="str">
        <f t="shared" si="14"/>
        <v/>
      </c>
      <c r="BT84" s="441"/>
      <c r="BU84" s="18"/>
      <c r="BV84" s="18"/>
      <c r="BW84" s="18"/>
      <c r="BX84" s="17"/>
      <c r="BY84" s="17"/>
      <c r="BZ84" s="18"/>
    </row>
    <row r="85" spans="1:78" x14ac:dyDescent="0.3">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434">
        <v>44811</v>
      </c>
      <c r="AW85" s="421">
        <v>1406</v>
      </c>
      <c r="AX85" s="18"/>
      <c r="AY85" s="434">
        <v>44811</v>
      </c>
      <c r="AZ85" s="421">
        <v>20233.61</v>
      </c>
      <c r="BA85" s="18"/>
      <c r="BB85" s="18"/>
      <c r="BC85" s="18"/>
      <c r="BD85" s="434"/>
      <c r="BE85" s="421"/>
      <c r="BF85" s="18"/>
      <c r="BG85" s="18"/>
      <c r="BH85" s="18"/>
      <c r="BI85" s="18"/>
      <c r="BJ85" s="18"/>
      <c r="BK85" s="18"/>
      <c r="BL85" s="435">
        <f t="shared" si="8"/>
        <v>44811</v>
      </c>
      <c r="BM85" s="436">
        <f t="shared" si="9"/>
        <v>14.06</v>
      </c>
      <c r="BN85" s="436">
        <f t="shared" si="10"/>
        <v>1</v>
      </c>
      <c r="BO85" s="436">
        <f t="shared" si="11"/>
        <v>14.06</v>
      </c>
      <c r="BP85" s="436" t="e">
        <f t="shared" si="12"/>
        <v>#N/A</v>
      </c>
      <c r="BQ85" s="436" t="e">
        <f t="shared" si="15"/>
        <v>#N/A</v>
      </c>
      <c r="BR85" s="436" t="str">
        <f t="shared" si="13"/>
        <v/>
      </c>
      <c r="BS85" s="436" t="str">
        <f t="shared" si="14"/>
        <v/>
      </c>
      <c r="BT85" s="441"/>
      <c r="BU85" s="18"/>
      <c r="BV85" s="18"/>
      <c r="BW85" s="18"/>
      <c r="BX85" s="17"/>
      <c r="BY85" s="17"/>
      <c r="BZ85" s="18"/>
    </row>
    <row r="86" spans="1:78" x14ac:dyDescent="0.3">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434">
        <v>44812</v>
      </c>
      <c r="AW86" s="421">
        <v>1437</v>
      </c>
      <c r="AX86" s="18"/>
      <c r="AY86" s="434">
        <v>44812</v>
      </c>
      <c r="AZ86" s="421">
        <v>20679.72</v>
      </c>
      <c r="BA86" s="18"/>
      <c r="BB86" s="18"/>
      <c r="BC86" s="18"/>
      <c r="BD86" s="434"/>
      <c r="BE86" s="421"/>
      <c r="BF86" s="18"/>
      <c r="BG86" s="18"/>
      <c r="BH86" s="18"/>
      <c r="BI86" s="18"/>
      <c r="BJ86" s="18"/>
      <c r="BK86" s="18"/>
      <c r="BL86" s="435">
        <f t="shared" si="8"/>
        <v>44812</v>
      </c>
      <c r="BM86" s="436">
        <f t="shared" si="9"/>
        <v>14.370000000000001</v>
      </c>
      <c r="BN86" s="436">
        <f t="shared" si="10"/>
        <v>1</v>
      </c>
      <c r="BO86" s="436">
        <f t="shared" si="11"/>
        <v>14.370000000000001</v>
      </c>
      <c r="BP86" s="436" t="e">
        <f t="shared" si="12"/>
        <v>#N/A</v>
      </c>
      <c r="BQ86" s="436" t="e">
        <f t="shared" si="15"/>
        <v>#N/A</v>
      </c>
      <c r="BR86" s="436" t="str">
        <f t="shared" si="13"/>
        <v/>
      </c>
      <c r="BS86" s="436" t="str">
        <f t="shared" si="14"/>
        <v/>
      </c>
      <c r="BT86" s="441"/>
      <c r="BU86" s="18"/>
      <c r="BV86" s="18"/>
      <c r="BW86" s="18"/>
      <c r="BX86" s="17"/>
      <c r="BY86" s="17"/>
      <c r="BZ86" s="18"/>
    </row>
    <row r="87" spans="1:78" x14ac:dyDescent="0.3">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434">
        <v>44813</v>
      </c>
      <c r="AW87" s="421">
        <v>1439</v>
      </c>
      <c r="AX87" s="18"/>
      <c r="AY87" s="434">
        <v>44813</v>
      </c>
      <c r="AZ87" s="421">
        <v>20708.509999999998</v>
      </c>
      <c r="BA87" s="18"/>
      <c r="BB87" s="18"/>
      <c r="BC87" s="18"/>
      <c r="BD87" s="434"/>
      <c r="BE87" s="421"/>
      <c r="BF87" s="18"/>
      <c r="BG87" s="18"/>
      <c r="BH87" s="18"/>
      <c r="BI87" s="18"/>
      <c r="BJ87" s="18"/>
      <c r="BK87" s="18"/>
      <c r="BL87" s="435">
        <f t="shared" si="8"/>
        <v>44813</v>
      </c>
      <c r="BM87" s="436">
        <f t="shared" si="9"/>
        <v>14.39</v>
      </c>
      <c r="BN87" s="436">
        <f t="shared" si="10"/>
        <v>1</v>
      </c>
      <c r="BO87" s="436">
        <f t="shared" si="11"/>
        <v>14.39</v>
      </c>
      <c r="BP87" s="436" t="e">
        <f t="shared" si="12"/>
        <v>#N/A</v>
      </c>
      <c r="BQ87" s="436" t="e">
        <f t="shared" si="15"/>
        <v>#N/A</v>
      </c>
      <c r="BR87" s="436" t="str">
        <f t="shared" si="13"/>
        <v/>
      </c>
      <c r="BS87" s="436" t="str">
        <f t="shared" si="14"/>
        <v/>
      </c>
      <c r="BT87" s="441"/>
      <c r="BU87" s="18"/>
      <c r="BV87" s="18"/>
      <c r="BW87" s="18"/>
      <c r="BX87" s="17"/>
      <c r="BY87" s="17"/>
      <c r="BZ87" s="18"/>
    </row>
    <row r="88" spans="1:78" x14ac:dyDescent="0.3">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434">
        <v>44816</v>
      </c>
      <c r="AW88" s="421">
        <v>1456</v>
      </c>
      <c r="AX88" s="18"/>
      <c r="AY88" s="434">
        <v>44816</v>
      </c>
      <c r="AZ88" s="421">
        <v>20953.150000000001</v>
      </c>
      <c r="BA88" s="18"/>
      <c r="BB88" s="18"/>
      <c r="BC88" s="18"/>
      <c r="BD88" s="434"/>
      <c r="BE88" s="421"/>
      <c r="BF88" s="18"/>
      <c r="BG88" s="18"/>
      <c r="BH88" s="18"/>
      <c r="BI88" s="18"/>
      <c r="BJ88" s="18"/>
      <c r="BK88" s="18"/>
      <c r="BL88" s="435">
        <f t="shared" si="8"/>
        <v>44816</v>
      </c>
      <c r="BM88" s="436">
        <f t="shared" si="9"/>
        <v>14.56</v>
      </c>
      <c r="BN88" s="436">
        <f t="shared" si="10"/>
        <v>1</v>
      </c>
      <c r="BO88" s="436">
        <f t="shared" si="11"/>
        <v>14.56</v>
      </c>
      <c r="BP88" s="436" t="e">
        <f t="shared" si="12"/>
        <v>#N/A</v>
      </c>
      <c r="BQ88" s="436" t="e">
        <f t="shared" si="15"/>
        <v>#N/A</v>
      </c>
      <c r="BR88" s="436" t="str">
        <f t="shared" si="13"/>
        <v/>
      </c>
      <c r="BS88" s="436" t="str">
        <f t="shared" si="14"/>
        <v/>
      </c>
      <c r="BT88" s="441"/>
      <c r="BU88" s="18"/>
      <c r="BV88" s="18"/>
      <c r="BW88" s="18"/>
      <c r="BX88" s="17"/>
      <c r="BY88" s="17"/>
      <c r="BZ88" s="18"/>
    </row>
    <row r="89" spans="1:78" x14ac:dyDescent="0.3">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434">
        <v>44817</v>
      </c>
      <c r="AW89" s="421">
        <v>1418</v>
      </c>
      <c r="AX89" s="18"/>
      <c r="AY89" s="434">
        <v>44817</v>
      </c>
      <c r="AZ89" s="421">
        <v>20406.3</v>
      </c>
      <c r="BA89" s="18"/>
      <c r="BB89" s="18"/>
      <c r="BC89" s="18"/>
      <c r="BD89" s="434"/>
      <c r="BE89" s="421"/>
      <c r="BF89" s="18"/>
      <c r="BG89" s="18"/>
      <c r="BH89" s="18"/>
      <c r="BI89" s="18"/>
      <c r="BJ89" s="18"/>
      <c r="BK89" s="18"/>
      <c r="BL89" s="435">
        <f t="shared" si="8"/>
        <v>44817</v>
      </c>
      <c r="BM89" s="436">
        <f t="shared" si="9"/>
        <v>14.18</v>
      </c>
      <c r="BN89" s="436">
        <f t="shared" si="10"/>
        <v>1</v>
      </c>
      <c r="BO89" s="436">
        <f t="shared" si="11"/>
        <v>14.18</v>
      </c>
      <c r="BP89" s="436" t="e">
        <f t="shared" si="12"/>
        <v>#N/A</v>
      </c>
      <c r="BQ89" s="436" t="e">
        <f t="shared" si="15"/>
        <v>#N/A</v>
      </c>
      <c r="BR89" s="436" t="str">
        <f t="shared" si="13"/>
        <v/>
      </c>
      <c r="BS89" s="436" t="str">
        <f t="shared" si="14"/>
        <v/>
      </c>
      <c r="BT89" s="441"/>
      <c r="BU89" s="18"/>
      <c r="BV89" s="18"/>
      <c r="BW89" s="18"/>
      <c r="BX89" s="17"/>
      <c r="BY89" s="17"/>
      <c r="BZ89" s="18"/>
    </row>
    <row r="90" spans="1:78" x14ac:dyDescent="0.3">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434">
        <v>44818</v>
      </c>
      <c r="AW90" s="421">
        <v>1382</v>
      </c>
      <c r="AX90" s="18"/>
      <c r="AY90" s="434">
        <v>44818</v>
      </c>
      <c r="AZ90" s="421">
        <v>19888.22</v>
      </c>
      <c r="BA90" s="18"/>
      <c r="BB90" s="18"/>
      <c r="BC90" s="18"/>
      <c r="BD90" s="434"/>
      <c r="BE90" s="421"/>
      <c r="BF90" s="18"/>
      <c r="BG90" s="18"/>
      <c r="BH90" s="18"/>
      <c r="BI90" s="18"/>
      <c r="BJ90" s="18"/>
      <c r="BK90" s="18"/>
      <c r="BL90" s="435">
        <f t="shared" si="8"/>
        <v>44818</v>
      </c>
      <c r="BM90" s="436">
        <f t="shared" si="9"/>
        <v>13.82</v>
      </c>
      <c r="BN90" s="436">
        <f t="shared" si="10"/>
        <v>1</v>
      </c>
      <c r="BO90" s="436">
        <f t="shared" si="11"/>
        <v>13.82</v>
      </c>
      <c r="BP90" s="436" t="e">
        <f t="shared" si="12"/>
        <v>#N/A</v>
      </c>
      <c r="BQ90" s="436" t="e">
        <f t="shared" si="15"/>
        <v>#N/A</v>
      </c>
      <c r="BR90" s="436" t="str">
        <f t="shared" si="13"/>
        <v/>
      </c>
      <c r="BS90" s="436" t="str">
        <f t="shared" si="14"/>
        <v/>
      </c>
      <c r="BT90" s="441"/>
      <c r="BU90" s="18"/>
      <c r="BV90" s="18"/>
      <c r="BW90" s="18"/>
      <c r="BX90" s="17"/>
      <c r="BY90" s="17"/>
      <c r="BZ90" s="18"/>
    </row>
    <row r="91" spans="1:78" x14ac:dyDescent="0.3">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434">
        <v>44819</v>
      </c>
      <c r="AW91" s="421">
        <v>1360</v>
      </c>
      <c r="AX91" s="18"/>
      <c r="AY91" s="434">
        <v>44819</v>
      </c>
      <c r="AZ91" s="421">
        <v>19571.62</v>
      </c>
      <c r="BA91" s="18"/>
      <c r="BB91" s="18"/>
      <c r="BC91" s="18"/>
      <c r="BD91" s="434"/>
      <c r="BE91" s="421"/>
      <c r="BF91" s="18"/>
      <c r="BG91" s="18"/>
      <c r="BH91" s="18"/>
      <c r="BI91" s="18"/>
      <c r="BJ91" s="18"/>
      <c r="BK91" s="18"/>
      <c r="BL91" s="435">
        <f t="shared" si="8"/>
        <v>44819</v>
      </c>
      <c r="BM91" s="436">
        <f t="shared" si="9"/>
        <v>13.6</v>
      </c>
      <c r="BN91" s="436">
        <f t="shared" si="10"/>
        <v>1</v>
      </c>
      <c r="BO91" s="436">
        <f t="shared" si="11"/>
        <v>13.6</v>
      </c>
      <c r="BP91" s="436" t="e">
        <f t="shared" si="12"/>
        <v>#N/A</v>
      </c>
      <c r="BQ91" s="436" t="e">
        <f t="shared" si="15"/>
        <v>#N/A</v>
      </c>
      <c r="BR91" s="436" t="str">
        <f t="shared" si="13"/>
        <v/>
      </c>
      <c r="BS91" s="436" t="str">
        <f t="shared" si="14"/>
        <v/>
      </c>
      <c r="BT91" s="441"/>
      <c r="BU91" s="18"/>
      <c r="BV91" s="18"/>
      <c r="BW91" s="18"/>
      <c r="BX91" s="17"/>
      <c r="BY91" s="17"/>
      <c r="BZ91" s="18"/>
    </row>
    <row r="92" spans="1:78" x14ac:dyDescent="0.3">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434">
        <v>44820</v>
      </c>
      <c r="AW92" s="421">
        <v>1328</v>
      </c>
      <c r="AX92" s="18"/>
      <c r="AY92" s="434">
        <v>44820</v>
      </c>
      <c r="AZ92" s="421">
        <v>19111.12</v>
      </c>
      <c r="BA92" s="18"/>
      <c r="BB92" s="18"/>
      <c r="BC92" s="18"/>
      <c r="BD92" s="434"/>
      <c r="BE92" s="421"/>
      <c r="BF92" s="18"/>
      <c r="BG92" s="18"/>
      <c r="BH92" s="18"/>
      <c r="BI92" s="18"/>
      <c r="BJ92" s="18"/>
      <c r="BK92" s="18"/>
      <c r="BL92" s="435">
        <f t="shared" si="8"/>
        <v>44820</v>
      </c>
      <c r="BM92" s="436">
        <f t="shared" si="9"/>
        <v>13.280000000000001</v>
      </c>
      <c r="BN92" s="436">
        <f t="shared" si="10"/>
        <v>1</v>
      </c>
      <c r="BO92" s="436">
        <f t="shared" si="11"/>
        <v>13.280000000000001</v>
      </c>
      <c r="BP92" s="436" t="e">
        <f t="shared" si="12"/>
        <v>#N/A</v>
      </c>
      <c r="BQ92" s="436" t="e">
        <f t="shared" si="15"/>
        <v>#N/A</v>
      </c>
      <c r="BR92" s="436" t="str">
        <f t="shared" si="13"/>
        <v/>
      </c>
      <c r="BS92" s="436" t="str">
        <f t="shared" si="14"/>
        <v/>
      </c>
      <c r="BT92" s="441"/>
      <c r="BU92" s="18"/>
      <c r="BV92" s="18"/>
      <c r="BW92" s="18"/>
      <c r="BX92" s="17"/>
      <c r="BY92" s="17"/>
      <c r="BZ92" s="18"/>
    </row>
    <row r="93" spans="1:78" x14ac:dyDescent="0.3">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434">
        <v>44823</v>
      </c>
      <c r="AW93" s="421">
        <v>1329</v>
      </c>
      <c r="AX93" s="18"/>
      <c r="AY93" s="434">
        <v>44823</v>
      </c>
      <c r="AZ93" s="421">
        <v>19125.509999999998</v>
      </c>
      <c r="BA93" s="18"/>
      <c r="BB93" s="18"/>
      <c r="BC93" s="18"/>
      <c r="BD93" s="434"/>
      <c r="BE93" s="421"/>
      <c r="BF93" s="18"/>
      <c r="BG93" s="18"/>
      <c r="BH93" s="18"/>
      <c r="BI93" s="18"/>
      <c r="BJ93" s="18"/>
      <c r="BK93" s="18"/>
      <c r="BL93" s="435">
        <f t="shared" si="8"/>
        <v>44823</v>
      </c>
      <c r="BM93" s="436">
        <f t="shared" si="9"/>
        <v>13.290000000000001</v>
      </c>
      <c r="BN93" s="436">
        <f t="shared" si="10"/>
        <v>1</v>
      </c>
      <c r="BO93" s="436">
        <f t="shared" si="11"/>
        <v>13.290000000000001</v>
      </c>
      <c r="BP93" s="436" t="e">
        <f t="shared" si="12"/>
        <v>#N/A</v>
      </c>
      <c r="BQ93" s="436" t="e">
        <f t="shared" si="15"/>
        <v>#N/A</v>
      </c>
      <c r="BR93" s="436" t="str">
        <f t="shared" si="13"/>
        <v/>
      </c>
      <c r="BS93" s="436" t="str">
        <f t="shared" si="14"/>
        <v/>
      </c>
      <c r="BT93" s="441"/>
      <c r="BU93" s="18"/>
      <c r="BV93" s="18"/>
      <c r="BW93" s="18"/>
      <c r="BX93" s="17"/>
      <c r="BY93" s="17"/>
      <c r="BZ93" s="18"/>
    </row>
    <row r="94" spans="1:78" x14ac:dyDescent="0.3">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434">
        <v>44824</v>
      </c>
      <c r="AW94" s="421">
        <v>1364</v>
      </c>
      <c r="AX94" s="18"/>
      <c r="AY94" s="434">
        <v>44824</v>
      </c>
      <c r="AZ94" s="421">
        <v>19629.189999999999</v>
      </c>
      <c r="BA94" s="18"/>
      <c r="BB94" s="18"/>
      <c r="BC94" s="18"/>
      <c r="BD94" s="434"/>
      <c r="BE94" s="421"/>
      <c r="BF94" s="18"/>
      <c r="BG94" s="18"/>
      <c r="BH94" s="18"/>
      <c r="BI94" s="18"/>
      <c r="BJ94" s="18"/>
      <c r="BK94" s="18"/>
      <c r="BL94" s="435">
        <f t="shared" si="8"/>
        <v>44824</v>
      </c>
      <c r="BM94" s="436">
        <f t="shared" si="9"/>
        <v>13.64</v>
      </c>
      <c r="BN94" s="436">
        <f t="shared" si="10"/>
        <v>1</v>
      </c>
      <c r="BO94" s="436">
        <f t="shared" si="11"/>
        <v>13.64</v>
      </c>
      <c r="BP94" s="436" t="e">
        <f t="shared" si="12"/>
        <v>#N/A</v>
      </c>
      <c r="BQ94" s="436" t="e">
        <f t="shared" si="15"/>
        <v>#N/A</v>
      </c>
      <c r="BR94" s="436" t="str">
        <f t="shared" si="13"/>
        <v/>
      </c>
      <c r="BS94" s="436" t="str">
        <f t="shared" si="14"/>
        <v/>
      </c>
      <c r="BT94" s="441"/>
      <c r="BU94" s="18"/>
      <c r="BV94" s="18"/>
      <c r="BW94" s="18"/>
      <c r="BX94" s="17"/>
      <c r="BY94" s="17"/>
      <c r="BZ94" s="18"/>
    </row>
    <row r="95" spans="1:78" x14ac:dyDescent="0.3">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434">
        <v>44825</v>
      </c>
      <c r="AW95" s="421">
        <v>1329</v>
      </c>
      <c r="AX95" s="18"/>
      <c r="AY95" s="434">
        <v>44825</v>
      </c>
      <c r="AZ95" s="421">
        <v>19125.509999999998</v>
      </c>
      <c r="BA95" s="18"/>
      <c r="BB95" s="18"/>
      <c r="BC95" s="18"/>
      <c r="BD95" s="434"/>
      <c r="BE95" s="421"/>
      <c r="BF95" s="18"/>
      <c r="BG95" s="18"/>
      <c r="BH95" s="18"/>
      <c r="BI95" s="18"/>
      <c r="BJ95" s="18"/>
      <c r="BK95" s="18"/>
      <c r="BL95" s="435">
        <f t="shared" si="8"/>
        <v>44825</v>
      </c>
      <c r="BM95" s="436">
        <f t="shared" si="9"/>
        <v>13.290000000000001</v>
      </c>
      <c r="BN95" s="436">
        <f t="shared" si="10"/>
        <v>1</v>
      </c>
      <c r="BO95" s="436">
        <f t="shared" si="11"/>
        <v>13.290000000000001</v>
      </c>
      <c r="BP95" s="436" t="e">
        <f t="shared" si="12"/>
        <v>#N/A</v>
      </c>
      <c r="BQ95" s="436" t="e">
        <f t="shared" si="15"/>
        <v>#N/A</v>
      </c>
      <c r="BR95" s="436" t="str">
        <f t="shared" si="13"/>
        <v/>
      </c>
      <c r="BS95" s="436" t="str">
        <f t="shared" si="14"/>
        <v/>
      </c>
      <c r="BT95" s="441"/>
      <c r="BU95" s="18"/>
      <c r="BV95" s="18"/>
      <c r="BW95" s="18"/>
      <c r="BX95" s="17"/>
      <c r="BY95" s="17"/>
      <c r="BZ95" s="18"/>
    </row>
    <row r="96" spans="1:78" x14ac:dyDescent="0.3">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434">
        <v>44826</v>
      </c>
      <c r="AW96" s="421">
        <v>1318</v>
      </c>
      <c r="AX96" s="18"/>
      <c r="AY96" s="434">
        <v>44826</v>
      </c>
      <c r="AZ96" s="421">
        <v>18967.21</v>
      </c>
      <c r="BA96" s="18"/>
      <c r="BB96" s="18"/>
      <c r="BC96" s="18"/>
      <c r="BD96" s="434"/>
      <c r="BE96" s="421"/>
      <c r="BF96" s="18"/>
      <c r="BG96" s="18"/>
      <c r="BH96" s="18"/>
      <c r="BI96" s="18"/>
      <c r="BJ96" s="18"/>
      <c r="BK96" s="18"/>
      <c r="BL96" s="435">
        <f t="shared" si="8"/>
        <v>44826</v>
      </c>
      <c r="BM96" s="436">
        <f t="shared" si="9"/>
        <v>13.18</v>
      </c>
      <c r="BN96" s="436">
        <f t="shared" si="10"/>
        <v>1</v>
      </c>
      <c r="BO96" s="436">
        <f t="shared" si="11"/>
        <v>13.18</v>
      </c>
      <c r="BP96" s="436" t="e">
        <f t="shared" si="12"/>
        <v>#N/A</v>
      </c>
      <c r="BQ96" s="436" t="e">
        <f t="shared" si="15"/>
        <v>#N/A</v>
      </c>
      <c r="BR96" s="436" t="str">
        <f t="shared" si="13"/>
        <v/>
      </c>
      <c r="BS96" s="436" t="str">
        <f t="shared" si="14"/>
        <v/>
      </c>
      <c r="BT96" s="441"/>
      <c r="BU96" s="18"/>
      <c r="BV96" s="18"/>
      <c r="BW96" s="18"/>
      <c r="BX96" s="17"/>
      <c r="BY96" s="17"/>
      <c r="BZ96" s="18"/>
    </row>
    <row r="97" spans="1:78" x14ac:dyDescent="0.3">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434">
        <v>44827</v>
      </c>
      <c r="AW97" s="421">
        <v>1312</v>
      </c>
      <c r="AX97" s="18"/>
      <c r="AY97" s="434">
        <v>44827</v>
      </c>
      <c r="AZ97" s="421">
        <v>18880.86</v>
      </c>
      <c r="BA97" s="18"/>
      <c r="BB97" s="18"/>
      <c r="BC97" s="18"/>
      <c r="BD97" s="434"/>
      <c r="BE97" s="421"/>
      <c r="BF97" s="18"/>
      <c r="BG97" s="18"/>
      <c r="BH97" s="18"/>
      <c r="BI97" s="18"/>
      <c r="BJ97" s="18"/>
      <c r="BK97" s="18"/>
      <c r="BL97" s="435">
        <f t="shared" si="8"/>
        <v>44827</v>
      </c>
      <c r="BM97" s="436">
        <f t="shared" si="9"/>
        <v>13.120000000000001</v>
      </c>
      <c r="BN97" s="436">
        <f t="shared" si="10"/>
        <v>1</v>
      </c>
      <c r="BO97" s="436">
        <f t="shared" si="11"/>
        <v>13.120000000000001</v>
      </c>
      <c r="BP97" s="436" t="e">
        <f t="shared" si="12"/>
        <v>#N/A</v>
      </c>
      <c r="BQ97" s="436" t="e">
        <f t="shared" si="15"/>
        <v>#N/A</v>
      </c>
      <c r="BR97" s="436" t="str">
        <f t="shared" si="13"/>
        <v/>
      </c>
      <c r="BS97" s="436" t="str">
        <f t="shared" si="14"/>
        <v/>
      </c>
      <c r="BT97" s="441"/>
      <c r="BU97" s="18"/>
      <c r="BV97" s="18"/>
      <c r="BW97" s="18"/>
      <c r="BX97" s="17"/>
      <c r="BY97" s="17"/>
      <c r="BZ97" s="18"/>
    </row>
    <row r="98" spans="1:78" x14ac:dyDescent="0.3">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434">
        <v>44830</v>
      </c>
      <c r="AW98" s="421">
        <v>1310</v>
      </c>
      <c r="AX98" s="18"/>
      <c r="AY98" s="434">
        <v>44830</v>
      </c>
      <c r="AZ98" s="421">
        <v>18852.080000000002</v>
      </c>
      <c r="BA98" s="18"/>
      <c r="BB98" s="18"/>
      <c r="BC98" s="18"/>
      <c r="BD98" s="434"/>
      <c r="BE98" s="421"/>
      <c r="BF98" s="18"/>
      <c r="BG98" s="18"/>
      <c r="BH98" s="18"/>
      <c r="BI98" s="18"/>
      <c r="BJ98" s="18"/>
      <c r="BK98" s="18"/>
      <c r="BL98" s="435">
        <f t="shared" si="8"/>
        <v>44830</v>
      </c>
      <c r="BM98" s="436">
        <f t="shared" si="9"/>
        <v>13.1</v>
      </c>
      <c r="BN98" s="436">
        <f t="shared" si="10"/>
        <v>1</v>
      </c>
      <c r="BO98" s="436">
        <f t="shared" si="11"/>
        <v>13.1</v>
      </c>
      <c r="BP98" s="436" t="e">
        <f t="shared" si="12"/>
        <v>#N/A</v>
      </c>
      <c r="BQ98" s="436" t="e">
        <f t="shared" si="15"/>
        <v>#N/A</v>
      </c>
      <c r="BR98" s="436" t="str">
        <f t="shared" si="13"/>
        <v/>
      </c>
      <c r="BS98" s="436" t="str">
        <f t="shared" si="14"/>
        <v/>
      </c>
      <c r="BT98" s="441"/>
      <c r="BU98" s="18"/>
      <c r="BV98" s="18"/>
      <c r="BW98" s="18"/>
      <c r="BX98" s="17"/>
      <c r="BY98" s="17"/>
      <c r="BZ98" s="18"/>
    </row>
    <row r="99" spans="1:78" x14ac:dyDescent="0.3">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434">
        <v>44831</v>
      </c>
      <c r="AW99" s="421">
        <v>1331</v>
      </c>
      <c r="AX99" s="18"/>
      <c r="AY99" s="434">
        <v>44831</v>
      </c>
      <c r="AZ99" s="421">
        <v>19154.29</v>
      </c>
      <c r="BA99" s="18"/>
      <c r="BB99" s="18"/>
      <c r="BC99" s="18"/>
      <c r="BD99" s="434"/>
      <c r="BE99" s="421"/>
      <c r="BF99" s="18"/>
      <c r="BG99" s="18"/>
      <c r="BH99" s="18"/>
      <c r="BI99" s="18"/>
      <c r="BJ99" s="18"/>
      <c r="BK99" s="18"/>
      <c r="BL99" s="435">
        <f t="shared" si="8"/>
        <v>44831</v>
      </c>
      <c r="BM99" s="436">
        <f t="shared" si="9"/>
        <v>13.31</v>
      </c>
      <c r="BN99" s="436">
        <f t="shared" si="10"/>
        <v>1</v>
      </c>
      <c r="BO99" s="436">
        <f t="shared" si="11"/>
        <v>13.31</v>
      </c>
      <c r="BP99" s="436" t="e">
        <f t="shared" si="12"/>
        <v>#N/A</v>
      </c>
      <c r="BQ99" s="436" t="e">
        <f t="shared" si="15"/>
        <v>#N/A</v>
      </c>
      <c r="BR99" s="436" t="str">
        <f t="shared" si="13"/>
        <v/>
      </c>
      <c r="BS99" s="436" t="str">
        <f t="shared" si="14"/>
        <v/>
      </c>
      <c r="BT99" s="441"/>
      <c r="BU99" s="18"/>
      <c r="BV99" s="18"/>
      <c r="BW99" s="18"/>
      <c r="BX99" s="17"/>
      <c r="BY99" s="17"/>
      <c r="BZ99" s="18"/>
    </row>
    <row r="100" spans="1:78" x14ac:dyDescent="0.3">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434">
        <v>44832</v>
      </c>
      <c r="AW100" s="421">
        <v>1367</v>
      </c>
      <c r="AX100" s="18"/>
      <c r="AY100" s="434">
        <v>44832</v>
      </c>
      <c r="AZ100" s="421">
        <v>19672.36</v>
      </c>
      <c r="BA100" s="18"/>
      <c r="BB100" s="18"/>
      <c r="BC100" s="18"/>
      <c r="BD100" s="434"/>
      <c r="BE100" s="421"/>
      <c r="BF100" s="18"/>
      <c r="BG100" s="18"/>
      <c r="BH100" s="18"/>
      <c r="BI100" s="18"/>
      <c r="BJ100" s="18"/>
      <c r="BK100" s="18"/>
      <c r="BL100" s="435">
        <f t="shared" si="8"/>
        <v>44832</v>
      </c>
      <c r="BM100" s="436">
        <f t="shared" si="9"/>
        <v>13.67</v>
      </c>
      <c r="BN100" s="436">
        <f t="shared" si="10"/>
        <v>1</v>
      </c>
      <c r="BO100" s="436">
        <f t="shared" si="11"/>
        <v>13.67</v>
      </c>
      <c r="BP100" s="436" t="e">
        <f t="shared" si="12"/>
        <v>#N/A</v>
      </c>
      <c r="BQ100" s="436" t="e">
        <f t="shared" si="15"/>
        <v>#N/A</v>
      </c>
      <c r="BR100" s="436" t="str">
        <f t="shared" si="13"/>
        <v/>
      </c>
      <c r="BS100" s="436" t="str">
        <f t="shared" si="14"/>
        <v/>
      </c>
      <c r="BT100" s="441"/>
      <c r="BU100" s="18"/>
      <c r="BV100" s="18"/>
      <c r="BW100" s="18"/>
      <c r="BX100" s="17"/>
      <c r="BY100" s="17"/>
      <c r="BZ100" s="18"/>
    </row>
    <row r="101" spans="1:78" x14ac:dyDescent="0.3">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434">
        <v>44833</v>
      </c>
      <c r="AW101" s="421">
        <v>1391</v>
      </c>
      <c r="AX101" s="18"/>
      <c r="AY101" s="434">
        <v>44833</v>
      </c>
      <c r="AZ101" s="421">
        <v>20017.740000000002</v>
      </c>
      <c r="BA101" s="18"/>
      <c r="BB101" s="18"/>
      <c r="BC101" s="18"/>
      <c r="BD101" s="434"/>
      <c r="BE101" s="421"/>
      <c r="BF101" s="18"/>
      <c r="BG101" s="18"/>
      <c r="BH101" s="18"/>
      <c r="BI101" s="18"/>
      <c r="BJ101" s="18"/>
      <c r="BK101" s="18"/>
      <c r="BL101" s="435">
        <f t="shared" si="8"/>
        <v>44833</v>
      </c>
      <c r="BM101" s="436">
        <f t="shared" si="9"/>
        <v>13.91</v>
      </c>
      <c r="BN101" s="436">
        <f t="shared" si="10"/>
        <v>1</v>
      </c>
      <c r="BO101" s="436">
        <f t="shared" si="11"/>
        <v>13.91</v>
      </c>
      <c r="BP101" s="436" t="e">
        <f t="shared" si="12"/>
        <v>#N/A</v>
      </c>
      <c r="BQ101" s="436" t="e">
        <f t="shared" si="15"/>
        <v>#N/A</v>
      </c>
      <c r="BR101" s="436" t="str">
        <f t="shared" si="13"/>
        <v/>
      </c>
      <c r="BS101" s="436" t="str">
        <f t="shared" si="14"/>
        <v/>
      </c>
      <c r="BT101" s="441"/>
      <c r="BU101" s="18"/>
      <c r="BV101" s="18"/>
      <c r="BW101" s="18"/>
      <c r="BX101" s="17"/>
      <c r="BY101" s="17"/>
      <c r="BZ101" s="18"/>
    </row>
    <row r="102" spans="1:78" x14ac:dyDescent="0.3">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434">
        <v>44834</v>
      </c>
      <c r="AW102" s="421">
        <v>1372</v>
      </c>
      <c r="AX102" s="18"/>
      <c r="AY102" s="434">
        <v>44834</v>
      </c>
      <c r="AZ102" s="421">
        <v>19744.310000000001</v>
      </c>
      <c r="BA102" s="18"/>
      <c r="BB102" s="18"/>
      <c r="BC102" s="18"/>
      <c r="BD102" s="434"/>
      <c r="BE102" s="421"/>
      <c r="BF102" s="18"/>
      <c r="BG102" s="18"/>
      <c r="BH102" s="18"/>
      <c r="BI102" s="18"/>
      <c r="BJ102" s="18"/>
      <c r="BK102" s="18"/>
      <c r="BL102" s="435">
        <f t="shared" si="8"/>
        <v>44834</v>
      </c>
      <c r="BM102" s="436">
        <f t="shared" si="9"/>
        <v>13.72</v>
      </c>
      <c r="BN102" s="436">
        <f t="shared" si="10"/>
        <v>1</v>
      </c>
      <c r="BO102" s="436">
        <f t="shared" si="11"/>
        <v>13.72</v>
      </c>
      <c r="BP102" s="436" t="e">
        <f t="shared" si="12"/>
        <v>#N/A</v>
      </c>
      <c r="BQ102" s="436" t="e">
        <f t="shared" si="15"/>
        <v>#N/A</v>
      </c>
      <c r="BR102" s="436" t="str">
        <f t="shared" si="13"/>
        <v/>
      </c>
      <c r="BS102" s="436" t="str">
        <f t="shared" si="14"/>
        <v/>
      </c>
      <c r="BT102" s="441"/>
      <c r="BU102" s="18"/>
      <c r="BV102" s="18"/>
      <c r="BW102" s="18"/>
      <c r="BX102" s="17"/>
      <c r="BY102" s="17"/>
      <c r="BZ102" s="18"/>
    </row>
    <row r="103" spans="1:78" x14ac:dyDescent="0.3">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434">
        <v>44837</v>
      </c>
      <c r="AW103" s="421">
        <v>1358</v>
      </c>
      <c r="AX103" s="18"/>
      <c r="AY103" s="434">
        <v>44837</v>
      </c>
      <c r="AZ103" s="421">
        <v>19542.84</v>
      </c>
      <c r="BA103" s="18"/>
      <c r="BB103" s="18"/>
      <c r="BC103" s="18"/>
      <c r="BD103" s="434"/>
      <c r="BE103" s="421"/>
      <c r="BF103" s="18"/>
      <c r="BG103" s="18"/>
      <c r="BH103" s="18"/>
      <c r="BI103" s="18"/>
      <c r="BJ103" s="18"/>
      <c r="BK103" s="18"/>
      <c r="BL103" s="435">
        <f t="shared" si="8"/>
        <v>44837</v>
      </c>
      <c r="BM103" s="436">
        <f t="shared" si="9"/>
        <v>13.58</v>
      </c>
      <c r="BN103" s="436">
        <f t="shared" si="10"/>
        <v>1</v>
      </c>
      <c r="BO103" s="436">
        <f t="shared" si="11"/>
        <v>13.58</v>
      </c>
      <c r="BP103" s="436" t="e">
        <f t="shared" si="12"/>
        <v>#N/A</v>
      </c>
      <c r="BQ103" s="436" t="e">
        <f t="shared" si="15"/>
        <v>#N/A</v>
      </c>
      <c r="BR103" s="436" t="str">
        <f t="shared" si="13"/>
        <v/>
      </c>
      <c r="BS103" s="436" t="str">
        <f t="shared" si="14"/>
        <v/>
      </c>
      <c r="BT103" s="441"/>
      <c r="BU103" s="18"/>
      <c r="BV103" s="18"/>
      <c r="BW103" s="18"/>
      <c r="BX103" s="17"/>
      <c r="BY103" s="17"/>
      <c r="BZ103" s="18"/>
    </row>
    <row r="104" spans="1:78" x14ac:dyDescent="0.3">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434">
        <v>44838</v>
      </c>
      <c r="AW104" s="421">
        <v>1387</v>
      </c>
      <c r="AX104" s="18"/>
      <c r="AY104" s="434">
        <v>44838</v>
      </c>
      <c r="AZ104" s="421">
        <v>19960.18</v>
      </c>
      <c r="BA104" s="18"/>
      <c r="BB104" s="18"/>
      <c r="BC104" s="18"/>
      <c r="BD104" s="434"/>
      <c r="BE104" s="421"/>
      <c r="BF104" s="18"/>
      <c r="BG104" s="18"/>
      <c r="BH104" s="18"/>
      <c r="BI104" s="18"/>
      <c r="BJ104" s="18"/>
      <c r="BK104" s="18"/>
      <c r="BL104" s="435">
        <f t="shared" si="8"/>
        <v>44838</v>
      </c>
      <c r="BM104" s="436">
        <f t="shared" si="9"/>
        <v>13.870000000000001</v>
      </c>
      <c r="BN104" s="436">
        <f t="shared" si="10"/>
        <v>1</v>
      </c>
      <c r="BO104" s="436">
        <f t="shared" si="11"/>
        <v>13.870000000000001</v>
      </c>
      <c r="BP104" s="436" t="e">
        <f t="shared" si="12"/>
        <v>#N/A</v>
      </c>
      <c r="BQ104" s="436" t="e">
        <f t="shared" si="15"/>
        <v>#N/A</v>
      </c>
      <c r="BR104" s="436" t="str">
        <f t="shared" si="13"/>
        <v/>
      </c>
      <c r="BS104" s="436" t="str">
        <f t="shared" si="14"/>
        <v/>
      </c>
      <c r="BT104" s="441"/>
      <c r="BU104" s="18"/>
      <c r="BV104" s="18"/>
      <c r="BW104" s="18"/>
      <c r="BX104" s="17"/>
      <c r="BY104" s="17"/>
      <c r="BZ104" s="18"/>
    </row>
    <row r="105" spans="1:78" x14ac:dyDescent="0.3">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434">
        <v>44839</v>
      </c>
      <c r="AW105" s="421">
        <v>1396</v>
      </c>
      <c r="AX105" s="18"/>
      <c r="AY105" s="434">
        <v>44839</v>
      </c>
      <c r="AZ105" s="421">
        <v>20089.7</v>
      </c>
      <c r="BA105" s="18"/>
      <c r="BB105" s="18"/>
      <c r="BC105" s="18"/>
      <c r="BD105" s="434"/>
      <c r="BE105" s="421"/>
      <c r="BF105" s="18"/>
      <c r="BG105" s="18"/>
      <c r="BH105" s="18"/>
      <c r="BI105" s="18"/>
      <c r="BJ105" s="18"/>
      <c r="BK105" s="18"/>
      <c r="BL105" s="435">
        <f t="shared" si="8"/>
        <v>44839</v>
      </c>
      <c r="BM105" s="436">
        <f t="shared" si="9"/>
        <v>13.96</v>
      </c>
      <c r="BN105" s="436">
        <f t="shared" si="10"/>
        <v>1</v>
      </c>
      <c r="BO105" s="436">
        <f t="shared" si="11"/>
        <v>13.96</v>
      </c>
      <c r="BP105" s="436" t="e">
        <f t="shared" si="12"/>
        <v>#N/A</v>
      </c>
      <c r="BQ105" s="436" t="e">
        <f t="shared" si="15"/>
        <v>#N/A</v>
      </c>
      <c r="BR105" s="436" t="str">
        <f t="shared" si="13"/>
        <v/>
      </c>
      <c r="BS105" s="436" t="str">
        <f t="shared" si="14"/>
        <v/>
      </c>
      <c r="BT105" s="441"/>
      <c r="BU105" s="18"/>
      <c r="BV105" s="18"/>
      <c r="BW105" s="18"/>
      <c r="BX105" s="17"/>
      <c r="BY105" s="17"/>
      <c r="BZ105" s="18"/>
    </row>
    <row r="106" spans="1:78" x14ac:dyDescent="0.3">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434">
        <v>44840</v>
      </c>
      <c r="AW106" s="421">
        <v>1423</v>
      </c>
      <c r="AX106" s="18"/>
      <c r="AY106" s="434">
        <v>44840</v>
      </c>
      <c r="AZ106" s="421">
        <v>20478.25</v>
      </c>
      <c r="BA106" s="18"/>
      <c r="BB106" s="18"/>
      <c r="BC106" s="18"/>
      <c r="BD106" s="434"/>
      <c r="BE106" s="421"/>
      <c r="BF106" s="18"/>
      <c r="BG106" s="18"/>
      <c r="BH106" s="18"/>
      <c r="BI106" s="18"/>
      <c r="BJ106" s="18"/>
      <c r="BK106" s="18"/>
      <c r="BL106" s="435">
        <f t="shared" si="8"/>
        <v>44840</v>
      </c>
      <c r="BM106" s="436">
        <f t="shared" si="9"/>
        <v>14.23</v>
      </c>
      <c r="BN106" s="436">
        <f t="shared" si="10"/>
        <v>1</v>
      </c>
      <c r="BO106" s="436">
        <f t="shared" si="11"/>
        <v>14.23</v>
      </c>
      <c r="BP106" s="436" t="e">
        <f t="shared" si="12"/>
        <v>#N/A</v>
      </c>
      <c r="BQ106" s="436" t="e">
        <f t="shared" si="15"/>
        <v>#N/A</v>
      </c>
      <c r="BR106" s="436" t="str">
        <f t="shared" si="13"/>
        <v/>
      </c>
      <c r="BS106" s="436" t="str">
        <f t="shared" si="14"/>
        <v/>
      </c>
      <c r="BT106" s="441"/>
      <c r="BU106" s="18"/>
      <c r="BV106" s="18"/>
      <c r="BW106" s="18"/>
      <c r="BX106" s="17"/>
      <c r="BY106" s="17"/>
      <c r="BZ106" s="18"/>
    </row>
    <row r="107" spans="1:78" x14ac:dyDescent="0.3">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434">
        <v>44841</v>
      </c>
      <c r="AW107" s="421">
        <v>1435</v>
      </c>
      <c r="AX107" s="18"/>
      <c r="AY107" s="434">
        <v>44841</v>
      </c>
      <c r="AZ107" s="421">
        <v>20650.939999999999</v>
      </c>
      <c r="BA107" s="18"/>
      <c r="BB107" s="18"/>
      <c r="BC107" s="18"/>
      <c r="BD107" s="434"/>
      <c r="BE107" s="421"/>
      <c r="BF107" s="18"/>
      <c r="BG107" s="18"/>
      <c r="BH107" s="18"/>
      <c r="BI107" s="18"/>
      <c r="BJ107" s="18"/>
      <c r="BK107" s="18"/>
      <c r="BL107" s="435">
        <f t="shared" si="8"/>
        <v>44841</v>
      </c>
      <c r="BM107" s="436">
        <f t="shared" si="9"/>
        <v>14.35</v>
      </c>
      <c r="BN107" s="436">
        <f t="shared" si="10"/>
        <v>1</v>
      </c>
      <c r="BO107" s="436">
        <f t="shared" si="11"/>
        <v>14.35</v>
      </c>
      <c r="BP107" s="436" t="e">
        <f t="shared" si="12"/>
        <v>#N/A</v>
      </c>
      <c r="BQ107" s="436" t="e">
        <f t="shared" si="15"/>
        <v>#N/A</v>
      </c>
      <c r="BR107" s="436" t="str">
        <f t="shared" si="13"/>
        <v/>
      </c>
      <c r="BS107" s="436" t="str">
        <f t="shared" si="14"/>
        <v/>
      </c>
      <c r="BT107" s="441"/>
      <c r="BU107" s="18"/>
      <c r="BV107" s="18"/>
      <c r="BW107" s="18"/>
      <c r="BX107" s="17"/>
      <c r="BY107" s="17"/>
      <c r="BZ107" s="18"/>
    </row>
    <row r="108" spans="1:78" x14ac:dyDescent="0.3">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434">
        <v>44844</v>
      </c>
      <c r="AW108" s="421">
        <v>1424</v>
      </c>
      <c r="AX108" s="18"/>
      <c r="AY108" s="434">
        <v>44844</v>
      </c>
      <c r="AZ108" s="421">
        <v>20492.64</v>
      </c>
      <c r="BA108" s="18"/>
      <c r="BB108" s="18"/>
      <c r="BC108" s="18"/>
      <c r="BD108" s="434"/>
      <c r="BE108" s="421"/>
      <c r="BF108" s="18"/>
      <c r="BG108" s="18"/>
      <c r="BH108" s="18"/>
      <c r="BI108" s="18"/>
      <c r="BJ108" s="18"/>
      <c r="BK108" s="18"/>
      <c r="BL108" s="435">
        <f t="shared" si="8"/>
        <v>44844</v>
      </c>
      <c r="BM108" s="436">
        <f t="shared" si="9"/>
        <v>14.24</v>
      </c>
      <c r="BN108" s="436">
        <f t="shared" si="10"/>
        <v>1</v>
      </c>
      <c r="BO108" s="436">
        <f t="shared" si="11"/>
        <v>14.24</v>
      </c>
      <c r="BP108" s="436" t="e">
        <f t="shared" si="12"/>
        <v>#N/A</v>
      </c>
      <c r="BQ108" s="436" t="e">
        <f t="shared" si="15"/>
        <v>#N/A</v>
      </c>
      <c r="BR108" s="436" t="str">
        <f t="shared" si="13"/>
        <v/>
      </c>
      <c r="BS108" s="436" t="str">
        <f t="shared" si="14"/>
        <v/>
      </c>
      <c r="BT108" s="441"/>
      <c r="BU108" s="18"/>
      <c r="BV108" s="18"/>
      <c r="BW108" s="18"/>
      <c r="BX108" s="17"/>
      <c r="BY108" s="17"/>
      <c r="BZ108" s="18"/>
    </row>
    <row r="109" spans="1:78" x14ac:dyDescent="0.3">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434">
        <v>44845</v>
      </c>
      <c r="AW109" s="421">
        <v>1436</v>
      </c>
      <c r="AX109" s="18"/>
      <c r="AY109" s="434">
        <v>44845</v>
      </c>
      <c r="AZ109" s="421">
        <v>20665.330000000002</v>
      </c>
      <c r="BA109" s="18"/>
      <c r="BB109" s="18"/>
      <c r="BC109" s="18"/>
      <c r="BD109" s="434"/>
      <c r="BE109" s="421"/>
      <c r="BF109" s="18"/>
      <c r="BG109" s="18"/>
      <c r="BH109" s="18"/>
      <c r="BI109" s="18"/>
      <c r="BJ109" s="18"/>
      <c r="BK109" s="18"/>
      <c r="BL109" s="435">
        <f t="shared" si="8"/>
        <v>44845</v>
      </c>
      <c r="BM109" s="436">
        <f t="shared" si="9"/>
        <v>14.36</v>
      </c>
      <c r="BN109" s="436">
        <f t="shared" si="10"/>
        <v>1</v>
      </c>
      <c r="BO109" s="436">
        <f t="shared" si="11"/>
        <v>14.36</v>
      </c>
      <c r="BP109" s="436" t="e">
        <f t="shared" si="12"/>
        <v>#N/A</v>
      </c>
      <c r="BQ109" s="436" t="e">
        <f t="shared" si="15"/>
        <v>#N/A</v>
      </c>
      <c r="BR109" s="436" t="str">
        <f t="shared" si="13"/>
        <v/>
      </c>
      <c r="BS109" s="436" t="str">
        <f t="shared" si="14"/>
        <v/>
      </c>
      <c r="BT109" s="441"/>
      <c r="BU109" s="18"/>
      <c r="BV109" s="18"/>
      <c r="BW109" s="18"/>
      <c r="BX109" s="17"/>
      <c r="BY109" s="17"/>
      <c r="BZ109" s="18"/>
    </row>
    <row r="110" spans="1:78" x14ac:dyDescent="0.3">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434">
        <v>44846</v>
      </c>
      <c r="AW110" s="421">
        <v>1458</v>
      </c>
      <c r="AX110" s="18"/>
      <c r="AY110" s="434">
        <v>44846</v>
      </c>
      <c r="AZ110" s="421">
        <v>20981.93</v>
      </c>
      <c r="BA110" s="18"/>
      <c r="BB110" s="18"/>
      <c r="BC110" s="18"/>
      <c r="BD110" s="434"/>
      <c r="BE110" s="421"/>
      <c r="BF110" s="18"/>
      <c r="BG110" s="18"/>
      <c r="BH110" s="18"/>
      <c r="BI110" s="18"/>
      <c r="BJ110" s="18"/>
      <c r="BK110" s="18"/>
      <c r="BL110" s="435">
        <f t="shared" si="8"/>
        <v>44846</v>
      </c>
      <c r="BM110" s="436">
        <f t="shared" si="9"/>
        <v>14.58</v>
      </c>
      <c r="BN110" s="436">
        <f t="shared" si="10"/>
        <v>1</v>
      </c>
      <c r="BO110" s="436">
        <f t="shared" si="11"/>
        <v>14.58</v>
      </c>
      <c r="BP110" s="436" t="e">
        <f t="shared" si="12"/>
        <v>#N/A</v>
      </c>
      <c r="BQ110" s="436" t="e">
        <f t="shared" si="15"/>
        <v>#N/A</v>
      </c>
      <c r="BR110" s="436" t="str">
        <f t="shared" si="13"/>
        <v/>
      </c>
      <c r="BS110" s="436" t="str">
        <f t="shared" si="14"/>
        <v/>
      </c>
      <c r="BT110" s="441"/>
      <c r="BU110" s="18"/>
      <c r="BV110" s="18"/>
      <c r="BW110" s="18"/>
      <c r="BX110" s="17"/>
      <c r="BY110" s="17"/>
      <c r="BZ110" s="18"/>
    </row>
    <row r="111" spans="1:78" x14ac:dyDescent="0.3">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434">
        <v>44847</v>
      </c>
      <c r="AW111" s="421">
        <v>1476</v>
      </c>
      <c r="AX111" s="18"/>
      <c r="AY111" s="434">
        <v>44847</v>
      </c>
      <c r="AZ111" s="421">
        <v>21240.97</v>
      </c>
      <c r="BA111" s="18"/>
      <c r="BB111" s="18"/>
      <c r="BC111" s="18"/>
      <c r="BD111" s="434"/>
      <c r="BE111" s="421"/>
      <c r="BF111" s="18"/>
      <c r="BG111" s="18"/>
      <c r="BH111" s="18"/>
      <c r="BI111" s="18"/>
      <c r="BJ111" s="18"/>
      <c r="BK111" s="18"/>
      <c r="BL111" s="435">
        <f t="shared" si="8"/>
        <v>44847</v>
      </c>
      <c r="BM111" s="436">
        <f t="shared" si="9"/>
        <v>14.76</v>
      </c>
      <c r="BN111" s="436">
        <f t="shared" si="10"/>
        <v>1</v>
      </c>
      <c r="BO111" s="436">
        <f t="shared" si="11"/>
        <v>14.76</v>
      </c>
      <c r="BP111" s="436" t="e">
        <f t="shared" si="12"/>
        <v>#N/A</v>
      </c>
      <c r="BQ111" s="436" t="e">
        <f t="shared" si="15"/>
        <v>#N/A</v>
      </c>
      <c r="BR111" s="436" t="str">
        <f t="shared" si="13"/>
        <v/>
      </c>
      <c r="BS111" s="436" t="str">
        <f t="shared" si="14"/>
        <v/>
      </c>
      <c r="BT111" s="441"/>
      <c r="BU111" s="18"/>
      <c r="BV111" s="18"/>
      <c r="BW111" s="18"/>
      <c r="BX111" s="17"/>
      <c r="BY111" s="17"/>
      <c r="BZ111" s="18"/>
    </row>
    <row r="112" spans="1:78" x14ac:dyDescent="0.3">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434">
        <v>44848</v>
      </c>
      <c r="AW112" s="421">
        <v>1501</v>
      </c>
      <c r="AX112" s="18"/>
      <c r="AY112" s="434">
        <v>44848</v>
      </c>
      <c r="AZ112" s="421">
        <v>21600.74</v>
      </c>
      <c r="BA112" s="18"/>
      <c r="BB112" s="18"/>
      <c r="BC112" s="18"/>
      <c r="BD112" s="434"/>
      <c r="BE112" s="421"/>
      <c r="BF112" s="18"/>
      <c r="BG112" s="18"/>
      <c r="BH112" s="18"/>
      <c r="BI112" s="18"/>
      <c r="BJ112" s="18"/>
      <c r="BK112" s="18"/>
      <c r="BL112" s="435">
        <f t="shared" si="8"/>
        <v>44848</v>
      </c>
      <c r="BM112" s="436">
        <f t="shared" si="9"/>
        <v>15.01</v>
      </c>
      <c r="BN112" s="436">
        <f t="shared" si="10"/>
        <v>1</v>
      </c>
      <c r="BO112" s="436">
        <f t="shared" si="11"/>
        <v>15.01</v>
      </c>
      <c r="BP112" s="436" t="e">
        <f t="shared" si="12"/>
        <v>#N/A</v>
      </c>
      <c r="BQ112" s="436" t="e">
        <f t="shared" si="15"/>
        <v>#N/A</v>
      </c>
      <c r="BR112" s="436" t="str">
        <f t="shared" si="13"/>
        <v/>
      </c>
      <c r="BS112" s="436" t="str">
        <f t="shared" si="14"/>
        <v/>
      </c>
      <c r="BT112" s="441"/>
      <c r="BU112" s="18"/>
      <c r="BV112" s="18"/>
      <c r="BW112" s="18"/>
      <c r="BX112" s="17"/>
      <c r="BY112" s="17"/>
      <c r="BZ112" s="18"/>
    </row>
    <row r="113" spans="1:78" x14ac:dyDescent="0.3">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434">
        <v>44851</v>
      </c>
      <c r="AW113" s="421">
        <v>1524</v>
      </c>
      <c r="AX113" s="18"/>
      <c r="AY113" s="434">
        <v>44851</v>
      </c>
      <c r="AZ113" s="421">
        <v>21931.73</v>
      </c>
      <c r="BA113" s="18"/>
      <c r="BB113" s="18"/>
      <c r="BC113" s="18"/>
      <c r="BD113" s="434"/>
      <c r="BE113" s="421"/>
      <c r="BF113" s="18"/>
      <c r="BG113" s="18"/>
      <c r="BH113" s="18"/>
      <c r="BI113" s="18"/>
      <c r="BJ113" s="18"/>
      <c r="BK113" s="18"/>
      <c r="BL113" s="435">
        <f t="shared" si="8"/>
        <v>44851</v>
      </c>
      <c r="BM113" s="436">
        <f t="shared" si="9"/>
        <v>15.24</v>
      </c>
      <c r="BN113" s="436">
        <f t="shared" si="10"/>
        <v>1</v>
      </c>
      <c r="BO113" s="436">
        <f t="shared" si="11"/>
        <v>15.24</v>
      </c>
      <c r="BP113" s="436" t="e">
        <f t="shared" si="12"/>
        <v>#N/A</v>
      </c>
      <c r="BQ113" s="436" t="e">
        <f t="shared" si="15"/>
        <v>#N/A</v>
      </c>
      <c r="BR113" s="436" t="str">
        <f t="shared" si="13"/>
        <v/>
      </c>
      <c r="BS113" s="436" t="str">
        <f t="shared" si="14"/>
        <v/>
      </c>
      <c r="BT113" s="441"/>
      <c r="BU113" s="18"/>
      <c r="BV113" s="18"/>
      <c r="BW113" s="18"/>
      <c r="BX113" s="17"/>
      <c r="BY113" s="17"/>
      <c r="BZ113" s="18"/>
    </row>
    <row r="114" spans="1:78" x14ac:dyDescent="0.3">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434">
        <v>44852</v>
      </c>
      <c r="AW114" s="421">
        <v>1543</v>
      </c>
      <c r="AX114" s="18"/>
      <c r="AY114" s="434">
        <v>44852</v>
      </c>
      <c r="AZ114" s="421">
        <v>22205.16</v>
      </c>
      <c r="BA114" s="18"/>
      <c r="BB114" s="18"/>
      <c r="BC114" s="18"/>
      <c r="BD114" s="434"/>
      <c r="BE114" s="421"/>
      <c r="BF114" s="18"/>
      <c r="BG114" s="18"/>
      <c r="BH114" s="18"/>
      <c r="BI114" s="18"/>
      <c r="BJ114" s="18"/>
      <c r="BK114" s="18"/>
      <c r="BL114" s="435">
        <f t="shared" si="8"/>
        <v>44852</v>
      </c>
      <c r="BM114" s="436">
        <f t="shared" si="9"/>
        <v>15.43</v>
      </c>
      <c r="BN114" s="436">
        <f t="shared" si="10"/>
        <v>1</v>
      </c>
      <c r="BO114" s="436">
        <f t="shared" si="11"/>
        <v>15.43</v>
      </c>
      <c r="BP114" s="436" t="e">
        <f t="shared" si="12"/>
        <v>#N/A</v>
      </c>
      <c r="BQ114" s="436" t="e">
        <f t="shared" si="15"/>
        <v>#N/A</v>
      </c>
      <c r="BR114" s="436" t="str">
        <f t="shared" si="13"/>
        <v/>
      </c>
      <c r="BS114" s="436" t="str">
        <f t="shared" si="14"/>
        <v/>
      </c>
      <c r="BT114" s="441"/>
      <c r="BU114" s="18"/>
      <c r="BV114" s="18"/>
      <c r="BW114" s="18"/>
      <c r="BX114" s="17"/>
      <c r="BY114" s="17"/>
      <c r="BZ114" s="18"/>
    </row>
    <row r="115" spans="1:78" x14ac:dyDescent="0.3">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434">
        <v>44853</v>
      </c>
      <c r="AW115" s="421">
        <v>1556</v>
      </c>
      <c r="AX115" s="18"/>
      <c r="AY115" s="434">
        <v>44853</v>
      </c>
      <c r="AZ115" s="421">
        <v>22392.240000000002</v>
      </c>
      <c r="BA115" s="18"/>
      <c r="BB115" s="18"/>
      <c r="BC115" s="18"/>
      <c r="BD115" s="434"/>
      <c r="BE115" s="421"/>
      <c r="BF115" s="18"/>
      <c r="BG115" s="18"/>
      <c r="BH115" s="18"/>
      <c r="BI115" s="18"/>
      <c r="BJ115" s="18"/>
      <c r="BK115" s="18"/>
      <c r="BL115" s="435">
        <f t="shared" si="8"/>
        <v>44853</v>
      </c>
      <c r="BM115" s="436">
        <f t="shared" si="9"/>
        <v>15.56</v>
      </c>
      <c r="BN115" s="436">
        <f t="shared" si="10"/>
        <v>1</v>
      </c>
      <c r="BO115" s="436">
        <f t="shared" si="11"/>
        <v>15.56</v>
      </c>
      <c r="BP115" s="436" t="e">
        <f t="shared" si="12"/>
        <v>#N/A</v>
      </c>
      <c r="BQ115" s="436" t="e">
        <f t="shared" si="15"/>
        <v>#N/A</v>
      </c>
      <c r="BR115" s="436" t="str">
        <f t="shared" si="13"/>
        <v/>
      </c>
      <c r="BS115" s="436" t="str">
        <f t="shared" si="14"/>
        <v/>
      </c>
      <c r="BT115" s="441"/>
      <c r="BU115" s="18"/>
      <c r="BV115" s="18"/>
      <c r="BW115" s="18"/>
      <c r="BX115" s="17"/>
      <c r="BY115" s="17"/>
      <c r="BZ115" s="18"/>
    </row>
    <row r="116" spans="1:78" x14ac:dyDescent="0.3">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434">
        <v>44854</v>
      </c>
      <c r="AW116" s="421">
        <v>1540</v>
      </c>
      <c r="AX116" s="18"/>
      <c r="AY116" s="434">
        <v>44854</v>
      </c>
      <c r="AZ116" s="421">
        <v>22161.99</v>
      </c>
      <c r="BA116" s="18"/>
      <c r="BB116" s="18"/>
      <c r="BC116" s="18"/>
      <c r="BD116" s="434"/>
      <c r="BE116" s="421"/>
      <c r="BF116" s="18"/>
      <c r="BG116" s="18"/>
      <c r="BH116" s="18"/>
      <c r="BI116" s="18"/>
      <c r="BJ116" s="18"/>
      <c r="BK116" s="18"/>
      <c r="BL116" s="435">
        <f t="shared" si="8"/>
        <v>44854</v>
      </c>
      <c r="BM116" s="436">
        <f t="shared" si="9"/>
        <v>15.4</v>
      </c>
      <c r="BN116" s="436">
        <f t="shared" si="10"/>
        <v>1</v>
      </c>
      <c r="BO116" s="436">
        <f t="shared" si="11"/>
        <v>15.4</v>
      </c>
      <c r="BP116" s="436" t="e">
        <f t="shared" si="12"/>
        <v>#N/A</v>
      </c>
      <c r="BQ116" s="436" t="e">
        <f t="shared" si="15"/>
        <v>#N/A</v>
      </c>
      <c r="BR116" s="436" t="str">
        <f t="shared" si="13"/>
        <v/>
      </c>
      <c r="BS116" s="436" t="str">
        <f t="shared" si="14"/>
        <v/>
      </c>
      <c r="BT116" s="441"/>
      <c r="BU116" s="18"/>
      <c r="BV116" s="18"/>
      <c r="BW116" s="18"/>
      <c r="BX116" s="17"/>
      <c r="BY116" s="17"/>
      <c r="BZ116" s="18"/>
    </row>
    <row r="117" spans="1:78" x14ac:dyDescent="0.3">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434">
        <v>44855</v>
      </c>
      <c r="AW117" s="421">
        <v>1510</v>
      </c>
      <c r="AX117" s="18"/>
      <c r="AY117" s="434">
        <v>44855</v>
      </c>
      <c r="AZ117" s="421">
        <v>21730.26</v>
      </c>
      <c r="BA117" s="18"/>
      <c r="BB117" s="18"/>
      <c r="BC117" s="18"/>
      <c r="BD117" s="434"/>
      <c r="BE117" s="421"/>
      <c r="BF117" s="18"/>
      <c r="BG117" s="18"/>
      <c r="BH117" s="18"/>
      <c r="BI117" s="18"/>
      <c r="BJ117" s="18"/>
      <c r="BK117" s="18"/>
      <c r="BL117" s="435">
        <f t="shared" si="8"/>
        <v>44855</v>
      </c>
      <c r="BM117" s="436">
        <f t="shared" si="9"/>
        <v>15.1</v>
      </c>
      <c r="BN117" s="436">
        <f t="shared" si="10"/>
        <v>1</v>
      </c>
      <c r="BO117" s="436">
        <f t="shared" si="11"/>
        <v>15.1</v>
      </c>
      <c r="BP117" s="436" t="e">
        <f t="shared" si="12"/>
        <v>#N/A</v>
      </c>
      <c r="BQ117" s="436" t="e">
        <f t="shared" si="15"/>
        <v>#N/A</v>
      </c>
      <c r="BR117" s="436" t="str">
        <f t="shared" si="13"/>
        <v/>
      </c>
      <c r="BS117" s="436" t="str">
        <f t="shared" si="14"/>
        <v/>
      </c>
      <c r="BT117" s="441"/>
      <c r="BU117" s="18"/>
      <c r="BV117" s="18"/>
      <c r="BW117" s="18"/>
      <c r="BX117" s="17"/>
      <c r="BY117" s="17"/>
      <c r="BZ117" s="18"/>
    </row>
    <row r="118" spans="1:78" x14ac:dyDescent="0.3">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434">
        <v>44858</v>
      </c>
      <c r="AW118" s="421">
        <v>1540</v>
      </c>
      <c r="AX118" s="18"/>
      <c r="AY118" s="434">
        <v>44858</v>
      </c>
      <c r="AZ118" s="421">
        <v>22161.99</v>
      </c>
      <c r="BA118" s="18"/>
      <c r="BB118" s="18"/>
      <c r="BC118" s="18"/>
      <c r="BD118" s="434"/>
      <c r="BE118" s="421"/>
      <c r="BF118" s="18"/>
      <c r="BG118" s="18"/>
      <c r="BH118" s="18"/>
      <c r="BI118" s="18"/>
      <c r="BJ118" s="18"/>
      <c r="BK118" s="18"/>
      <c r="BL118" s="435">
        <f t="shared" si="8"/>
        <v>44858</v>
      </c>
      <c r="BM118" s="436">
        <f t="shared" si="9"/>
        <v>15.4</v>
      </c>
      <c r="BN118" s="436">
        <f t="shared" si="10"/>
        <v>1</v>
      </c>
      <c r="BO118" s="436">
        <f t="shared" si="11"/>
        <v>15.4</v>
      </c>
      <c r="BP118" s="436" t="e">
        <f t="shared" si="12"/>
        <v>#N/A</v>
      </c>
      <c r="BQ118" s="436" t="e">
        <f t="shared" si="15"/>
        <v>#N/A</v>
      </c>
      <c r="BR118" s="436" t="str">
        <f t="shared" si="13"/>
        <v/>
      </c>
      <c r="BS118" s="436" t="str">
        <f t="shared" si="14"/>
        <v/>
      </c>
      <c r="BT118" s="441"/>
      <c r="BU118" s="18"/>
      <c r="BV118" s="18"/>
      <c r="BW118" s="18"/>
      <c r="BX118" s="17"/>
      <c r="BY118" s="17"/>
      <c r="BZ118" s="18"/>
    </row>
    <row r="119" spans="1:78" x14ac:dyDescent="0.3">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434">
        <v>44859</v>
      </c>
      <c r="AW119" s="421">
        <v>1540</v>
      </c>
      <c r="AX119" s="18"/>
      <c r="AY119" s="434">
        <v>44859</v>
      </c>
      <c r="AZ119" s="421">
        <v>22161.99</v>
      </c>
      <c r="BA119" s="18"/>
      <c r="BB119" s="18"/>
      <c r="BC119" s="18"/>
      <c r="BD119" s="434"/>
      <c r="BE119" s="421"/>
      <c r="BF119" s="18"/>
      <c r="BG119" s="18"/>
      <c r="BH119" s="18"/>
      <c r="BI119" s="18"/>
      <c r="BJ119" s="18"/>
      <c r="BK119" s="18"/>
      <c r="BL119" s="435">
        <f t="shared" si="8"/>
        <v>44859</v>
      </c>
      <c r="BM119" s="436">
        <f t="shared" si="9"/>
        <v>15.4</v>
      </c>
      <c r="BN119" s="436">
        <f t="shared" si="10"/>
        <v>1</v>
      </c>
      <c r="BO119" s="436">
        <f t="shared" si="11"/>
        <v>15.4</v>
      </c>
      <c r="BP119" s="436" t="e">
        <f t="shared" si="12"/>
        <v>#N/A</v>
      </c>
      <c r="BQ119" s="436" t="e">
        <f t="shared" si="15"/>
        <v>#N/A</v>
      </c>
      <c r="BR119" s="436" t="str">
        <f t="shared" si="13"/>
        <v/>
      </c>
      <c r="BS119" s="436" t="str">
        <f t="shared" si="14"/>
        <v/>
      </c>
      <c r="BT119" s="441"/>
      <c r="BU119" s="18"/>
      <c r="BV119" s="18"/>
      <c r="BW119" s="18"/>
      <c r="BX119" s="17"/>
      <c r="BY119" s="17"/>
      <c r="BZ119" s="18"/>
    </row>
    <row r="120" spans="1:78" x14ac:dyDescent="0.3">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434">
        <v>44860</v>
      </c>
      <c r="AW120" s="421">
        <v>1539</v>
      </c>
      <c r="AX120" s="18"/>
      <c r="AY120" s="434">
        <v>44860</v>
      </c>
      <c r="AZ120" s="421">
        <v>22147.599999999999</v>
      </c>
      <c r="BA120" s="18"/>
      <c r="BB120" s="18"/>
      <c r="BC120" s="18"/>
      <c r="BD120" s="434"/>
      <c r="BE120" s="421"/>
      <c r="BF120" s="18"/>
      <c r="BG120" s="18"/>
      <c r="BH120" s="18"/>
      <c r="BI120" s="18"/>
      <c r="BJ120" s="18"/>
      <c r="BK120" s="18"/>
      <c r="BL120" s="435">
        <f t="shared" si="8"/>
        <v>44860</v>
      </c>
      <c r="BM120" s="436">
        <f t="shared" si="9"/>
        <v>15.39</v>
      </c>
      <c r="BN120" s="436">
        <f t="shared" si="10"/>
        <v>1</v>
      </c>
      <c r="BO120" s="436">
        <f t="shared" si="11"/>
        <v>15.39</v>
      </c>
      <c r="BP120" s="436" t="e">
        <f t="shared" si="12"/>
        <v>#N/A</v>
      </c>
      <c r="BQ120" s="436" t="e">
        <f t="shared" si="15"/>
        <v>#N/A</v>
      </c>
      <c r="BR120" s="436" t="str">
        <f t="shared" si="13"/>
        <v/>
      </c>
      <c r="BS120" s="436" t="str">
        <f t="shared" si="14"/>
        <v/>
      </c>
      <c r="BT120" s="441"/>
      <c r="BU120" s="18"/>
      <c r="BV120" s="18"/>
      <c r="BW120" s="18"/>
      <c r="BX120" s="17"/>
      <c r="BY120" s="17"/>
      <c r="BZ120" s="18"/>
    </row>
    <row r="121" spans="1:78" x14ac:dyDescent="0.3">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434">
        <v>44861</v>
      </c>
      <c r="AW121" s="421">
        <v>1565</v>
      </c>
      <c r="AX121" s="18"/>
      <c r="AY121" s="434">
        <v>44861</v>
      </c>
      <c r="AZ121" s="421">
        <v>22521.759999999998</v>
      </c>
      <c r="BA121" s="18"/>
      <c r="BB121" s="18"/>
      <c r="BC121" s="18"/>
      <c r="BD121" s="434"/>
      <c r="BE121" s="421"/>
      <c r="BF121" s="18"/>
      <c r="BG121" s="18"/>
      <c r="BH121" s="18"/>
      <c r="BI121" s="18"/>
      <c r="BJ121" s="18"/>
      <c r="BK121" s="18"/>
      <c r="BL121" s="435">
        <f t="shared" si="8"/>
        <v>44861</v>
      </c>
      <c r="BM121" s="436">
        <f t="shared" si="9"/>
        <v>15.65</v>
      </c>
      <c r="BN121" s="436">
        <f t="shared" si="10"/>
        <v>1</v>
      </c>
      <c r="BO121" s="436">
        <f t="shared" si="11"/>
        <v>15.65</v>
      </c>
      <c r="BP121" s="436" t="e">
        <f t="shared" si="12"/>
        <v>#N/A</v>
      </c>
      <c r="BQ121" s="436" t="e">
        <f t="shared" si="15"/>
        <v>#N/A</v>
      </c>
      <c r="BR121" s="436" t="str">
        <f t="shared" si="13"/>
        <v/>
      </c>
      <c r="BS121" s="436" t="str">
        <f t="shared" si="14"/>
        <v/>
      </c>
      <c r="BT121" s="441"/>
      <c r="BU121" s="18"/>
      <c r="BV121" s="18"/>
      <c r="BW121" s="18"/>
      <c r="BX121" s="17"/>
      <c r="BY121" s="17"/>
      <c r="BZ121" s="18"/>
    </row>
    <row r="122" spans="1:78" x14ac:dyDescent="0.3">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434">
        <v>44862</v>
      </c>
      <c r="AW122" s="421">
        <v>1562</v>
      </c>
      <c r="AX122" s="18"/>
      <c r="AY122" s="434">
        <v>44862</v>
      </c>
      <c r="AZ122" s="421">
        <v>22478.59</v>
      </c>
      <c r="BA122" s="18"/>
      <c r="BB122" s="18"/>
      <c r="BC122" s="18"/>
      <c r="BD122" s="434"/>
      <c r="BE122" s="421"/>
      <c r="BF122" s="18"/>
      <c r="BG122" s="18"/>
      <c r="BH122" s="18"/>
      <c r="BI122" s="18"/>
      <c r="BJ122" s="18"/>
      <c r="BK122" s="18"/>
      <c r="BL122" s="435">
        <f t="shared" si="8"/>
        <v>44862</v>
      </c>
      <c r="BM122" s="436">
        <f t="shared" si="9"/>
        <v>15.620000000000001</v>
      </c>
      <c r="BN122" s="436">
        <f t="shared" si="10"/>
        <v>1</v>
      </c>
      <c r="BO122" s="436">
        <f t="shared" si="11"/>
        <v>15.620000000000001</v>
      </c>
      <c r="BP122" s="436" t="e">
        <f t="shared" si="12"/>
        <v>#N/A</v>
      </c>
      <c r="BQ122" s="436" t="e">
        <f t="shared" si="15"/>
        <v>#N/A</v>
      </c>
      <c r="BR122" s="436" t="str">
        <f t="shared" si="13"/>
        <v/>
      </c>
      <c r="BS122" s="436" t="str">
        <f t="shared" si="14"/>
        <v/>
      </c>
      <c r="BT122" s="441"/>
      <c r="BU122" s="18"/>
      <c r="BV122" s="18"/>
      <c r="BW122" s="18"/>
      <c r="BX122" s="17"/>
      <c r="BY122" s="17"/>
      <c r="BZ122" s="18"/>
    </row>
    <row r="123" spans="1:78" x14ac:dyDescent="0.3">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434">
        <v>44865</v>
      </c>
      <c r="AW123" s="421">
        <v>1558</v>
      </c>
      <c r="AX123" s="18"/>
      <c r="AY123" s="434">
        <v>44865</v>
      </c>
      <c r="AZ123" s="421">
        <v>22421.02</v>
      </c>
      <c r="BA123" s="18"/>
      <c r="BB123" s="18"/>
      <c r="BC123" s="18"/>
      <c r="BD123" s="434"/>
      <c r="BE123" s="421"/>
      <c r="BF123" s="18"/>
      <c r="BG123" s="18"/>
      <c r="BH123" s="18"/>
      <c r="BI123" s="18"/>
      <c r="BJ123" s="18"/>
      <c r="BK123" s="18"/>
      <c r="BL123" s="435">
        <f t="shared" si="8"/>
        <v>44865</v>
      </c>
      <c r="BM123" s="436">
        <f t="shared" si="9"/>
        <v>15.58</v>
      </c>
      <c r="BN123" s="436">
        <f t="shared" si="10"/>
        <v>1</v>
      </c>
      <c r="BO123" s="436">
        <f t="shared" si="11"/>
        <v>15.58</v>
      </c>
      <c r="BP123" s="436" t="e">
        <f t="shared" si="12"/>
        <v>#N/A</v>
      </c>
      <c r="BQ123" s="436" t="e">
        <f t="shared" si="15"/>
        <v>#N/A</v>
      </c>
      <c r="BR123" s="436" t="str">
        <f t="shared" si="13"/>
        <v/>
      </c>
      <c r="BS123" s="436" t="str">
        <f t="shared" si="14"/>
        <v/>
      </c>
      <c r="BT123" s="441"/>
      <c r="BU123" s="18"/>
      <c r="BV123" s="18"/>
      <c r="BW123" s="18"/>
      <c r="BX123" s="17"/>
      <c r="BY123" s="17"/>
      <c r="BZ123" s="18"/>
    </row>
    <row r="124" spans="1:78" x14ac:dyDescent="0.3">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434">
        <v>44866</v>
      </c>
      <c r="AW124" s="421">
        <v>1542</v>
      </c>
      <c r="AX124" s="18"/>
      <c r="AY124" s="434">
        <v>44866</v>
      </c>
      <c r="AZ124" s="421">
        <v>22190.77</v>
      </c>
      <c r="BA124" s="18"/>
      <c r="BB124" s="18"/>
      <c r="BC124" s="18"/>
      <c r="BD124" s="434"/>
      <c r="BE124" s="421"/>
      <c r="BF124" s="18"/>
      <c r="BG124" s="18"/>
      <c r="BH124" s="18"/>
      <c r="BI124" s="18"/>
      <c r="BJ124" s="18"/>
      <c r="BK124" s="18"/>
      <c r="BL124" s="435">
        <f t="shared" si="8"/>
        <v>44866</v>
      </c>
      <c r="BM124" s="436">
        <f t="shared" si="9"/>
        <v>15.42</v>
      </c>
      <c r="BN124" s="436">
        <f t="shared" si="10"/>
        <v>1</v>
      </c>
      <c r="BO124" s="436">
        <f t="shared" si="11"/>
        <v>15.42</v>
      </c>
      <c r="BP124" s="436" t="e">
        <f t="shared" si="12"/>
        <v>#N/A</v>
      </c>
      <c r="BQ124" s="436" t="e">
        <f t="shared" si="15"/>
        <v>#N/A</v>
      </c>
      <c r="BR124" s="436" t="str">
        <f t="shared" si="13"/>
        <v/>
      </c>
      <c r="BS124" s="436" t="str">
        <f t="shared" si="14"/>
        <v/>
      </c>
      <c r="BT124" s="441"/>
      <c r="BU124" s="18"/>
      <c r="BV124" s="18"/>
      <c r="BW124" s="18"/>
      <c r="BX124" s="17"/>
      <c r="BY124" s="17"/>
      <c r="BZ124" s="18"/>
    </row>
    <row r="125" spans="1:78" x14ac:dyDescent="0.3">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434">
        <v>44867</v>
      </c>
      <c r="AW125" s="421">
        <v>1551</v>
      </c>
      <c r="AX125" s="18"/>
      <c r="AY125" s="434">
        <v>44867</v>
      </c>
      <c r="AZ125" s="421">
        <v>22320.29</v>
      </c>
      <c r="BA125" s="18"/>
      <c r="BB125" s="18"/>
      <c r="BC125" s="18"/>
      <c r="BD125" s="434"/>
      <c r="BE125" s="421"/>
      <c r="BF125" s="18"/>
      <c r="BG125" s="18"/>
      <c r="BH125" s="18"/>
      <c r="BI125" s="18"/>
      <c r="BJ125" s="18"/>
      <c r="BK125" s="18"/>
      <c r="BL125" s="435">
        <f t="shared" si="8"/>
        <v>44867</v>
      </c>
      <c r="BM125" s="436">
        <f t="shared" si="9"/>
        <v>15.51</v>
      </c>
      <c r="BN125" s="436">
        <f t="shared" si="10"/>
        <v>1</v>
      </c>
      <c r="BO125" s="436">
        <f t="shared" si="11"/>
        <v>15.51</v>
      </c>
      <c r="BP125" s="436" t="e">
        <f t="shared" si="12"/>
        <v>#N/A</v>
      </c>
      <c r="BQ125" s="436" t="e">
        <f t="shared" si="15"/>
        <v>#N/A</v>
      </c>
      <c r="BR125" s="436" t="str">
        <f t="shared" si="13"/>
        <v/>
      </c>
      <c r="BS125" s="436" t="str">
        <f t="shared" si="14"/>
        <v/>
      </c>
      <c r="BT125" s="441"/>
      <c r="BU125" s="18"/>
      <c r="BV125" s="18"/>
      <c r="BW125" s="18"/>
      <c r="BX125" s="17"/>
      <c r="BY125" s="17"/>
      <c r="BZ125" s="18"/>
    </row>
    <row r="126" spans="1:78" x14ac:dyDescent="0.3">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434">
        <v>44868</v>
      </c>
      <c r="AW126" s="421">
        <v>1524</v>
      </c>
      <c r="AX126" s="18"/>
      <c r="AY126" s="434">
        <v>44868</v>
      </c>
      <c r="AZ126" s="421">
        <v>21931.73</v>
      </c>
      <c r="BA126" s="18"/>
      <c r="BB126" s="18"/>
      <c r="BC126" s="18"/>
      <c r="BD126" s="434"/>
      <c r="BE126" s="421"/>
      <c r="BF126" s="18"/>
      <c r="BG126" s="18"/>
      <c r="BH126" s="18"/>
      <c r="BI126" s="18"/>
      <c r="BJ126" s="18"/>
      <c r="BK126" s="18"/>
      <c r="BL126" s="435">
        <f t="shared" si="8"/>
        <v>44868</v>
      </c>
      <c r="BM126" s="436">
        <f t="shared" si="9"/>
        <v>15.24</v>
      </c>
      <c r="BN126" s="436">
        <f t="shared" si="10"/>
        <v>1</v>
      </c>
      <c r="BO126" s="436">
        <f t="shared" si="11"/>
        <v>15.24</v>
      </c>
      <c r="BP126" s="436" t="e">
        <f t="shared" si="12"/>
        <v>#N/A</v>
      </c>
      <c r="BQ126" s="436" t="e">
        <f t="shared" si="15"/>
        <v>#N/A</v>
      </c>
      <c r="BR126" s="436" t="str">
        <f t="shared" si="13"/>
        <v/>
      </c>
      <c r="BS126" s="436" t="str">
        <f t="shared" si="14"/>
        <v/>
      </c>
      <c r="BT126" s="441"/>
      <c r="BU126" s="18"/>
      <c r="BV126" s="18"/>
      <c r="BW126" s="18"/>
      <c r="BX126" s="17"/>
      <c r="BY126" s="17"/>
      <c r="BZ126" s="18"/>
    </row>
    <row r="127" spans="1:78" x14ac:dyDescent="0.3">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434">
        <v>44869</v>
      </c>
      <c r="AW127" s="421">
        <v>1524</v>
      </c>
      <c r="AX127" s="18"/>
      <c r="AY127" s="434">
        <v>44869</v>
      </c>
      <c r="AZ127" s="421">
        <v>21931.73</v>
      </c>
      <c r="BA127" s="18"/>
      <c r="BB127" s="18"/>
      <c r="BC127" s="18"/>
      <c r="BD127" s="434"/>
      <c r="BE127" s="421"/>
      <c r="BF127" s="18"/>
      <c r="BG127" s="18"/>
      <c r="BH127" s="18"/>
      <c r="BI127" s="18"/>
      <c r="BJ127" s="18"/>
      <c r="BK127" s="18"/>
      <c r="BL127" s="435">
        <f t="shared" si="8"/>
        <v>44869</v>
      </c>
      <c r="BM127" s="436">
        <f t="shared" si="9"/>
        <v>15.24</v>
      </c>
      <c r="BN127" s="436">
        <f t="shared" si="10"/>
        <v>1</v>
      </c>
      <c r="BO127" s="436">
        <f t="shared" si="11"/>
        <v>15.24</v>
      </c>
      <c r="BP127" s="436" t="e">
        <f t="shared" si="12"/>
        <v>#N/A</v>
      </c>
      <c r="BQ127" s="436" t="e">
        <f t="shared" si="15"/>
        <v>#N/A</v>
      </c>
      <c r="BR127" s="436" t="str">
        <f t="shared" si="13"/>
        <v/>
      </c>
      <c r="BS127" s="436" t="str">
        <f t="shared" si="14"/>
        <v/>
      </c>
      <c r="BT127" s="441"/>
      <c r="BU127" s="18"/>
      <c r="BV127" s="18"/>
      <c r="BW127" s="18"/>
      <c r="BX127" s="17"/>
      <c r="BY127" s="17"/>
      <c r="BZ127" s="18"/>
    </row>
    <row r="128" spans="1:78" x14ac:dyDescent="0.3">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434">
        <v>44872</v>
      </c>
      <c r="AW128" s="421">
        <v>1545</v>
      </c>
      <c r="AX128" s="18"/>
      <c r="AY128" s="434">
        <v>44872</v>
      </c>
      <c r="AZ128" s="421">
        <v>22233.94</v>
      </c>
      <c r="BA128" s="18"/>
      <c r="BB128" s="18"/>
      <c r="BC128" s="18"/>
      <c r="BD128" s="434"/>
      <c r="BE128" s="421"/>
      <c r="BF128" s="18"/>
      <c r="BG128" s="18"/>
      <c r="BH128" s="18"/>
      <c r="BI128" s="18"/>
      <c r="BJ128" s="18"/>
      <c r="BK128" s="18"/>
      <c r="BL128" s="435">
        <f t="shared" si="8"/>
        <v>44872</v>
      </c>
      <c r="BM128" s="436">
        <f t="shared" si="9"/>
        <v>15.450000000000001</v>
      </c>
      <c r="BN128" s="436">
        <f t="shared" si="10"/>
        <v>1</v>
      </c>
      <c r="BO128" s="436">
        <f t="shared" si="11"/>
        <v>15.450000000000001</v>
      </c>
      <c r="BP128" s="436" t="e">
        <f t="shared" si="12"/>
        <v>#N/A</v>
      </c>
      <c r="BQ128" s="436" t="e">
        <f t="shared" si="15"/>
        <v>#N/A</v>
      </c>
      <c r="BR128" s="436" t="str">
        <f t="shared" si="13"/>
        <v/>
      </c>
      <c r="BS128" s="436" t="str">
        <f t="shared" si="14"/>
        <v/>
      </c>
      <c r="BT128" s="441"/>
      <c r="BU128" s="18"/>
      <c r="BV128" s="18"/>
      <c r="BW128" s="18"/>
      <c r="BX128" s="17"/>
      <c r="BY128" s="17"/>
      <c r="BZ128" s="18"/>
    </row>
    <row r="129" spans="1:78" x14ac:dyDescent="0.3">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434">
        <v>44873</v>
      </c>
      <c r="AW129" s="421">
        <v>1557</v>
      </c>
      <c r="AX129" s="18"/>
      <c r="AY129" s="434">
        <v>44873</v>
      </c>
      <c r="AZ129" s="421">
        <v>22406.63</v>
      </c>
      <c r="BA129" s="18"/>
      <c r="BB129" s="18"/>
      <c r="BC129" s="18"/>
      <c r="BD129" s="434"/>
      <c r="BE129" s="421"/>
      <c r="BF129" s="18"/>
      <c r="BG129" s="18"/>
      <c r="BH129" s="18"/>
      <c r="BI129" s="18"/>
      <c r="BJ129" s="18"/>
      <c r="BK129" s="18"/>
      <c r="BL129" s="435">
        <f t="shared" si="8"/>
        <v>44873</v>
      </c>
      <c r="BM129" s="436">
        <f t="shared" si="9"/>
        <v>15.57</v>
      </c>
      <c r="BN129" s="436">
        <f t="shared" si="10"/>
        <v>1</v>
      </c>
      <c r="BO129" s="436">
        <f t="shared" si="11"/>
        <v>15.57</v>
      </c>
      <c r="BP129" s="436" t="e">
        <f t="shared" si="12"/>
        <v>#N/A</v>
      </c>
      <c r="BQ129" s="436" t="e">
        <f t="shared" si="15"/>
        <v>#N/A</v>
      </c>
      <c r="BR129" s="436" t="str">
        <f t="shared" si="13"/>
        <v/>
      </c>
      <c r="BS129" s="436" t="str">
        <f t="shared" si="14"/>
        <v/>
      </c>
      <c r="BT129" s="441"/>
      <c r="BU129" s="18"/>
      <c r="BV129" s="18"/>
      <c r="BW129" s="18"/>
      <c r="BX129" s="17"/>
      <c r="BY129" s="17"/>
      <c r="BZ129" s="18"/>
    </row>
    <row r="130" spans="1:78" x14ac:dyDescent="0.3">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434">
        <v>44874</v>
      </c>
      <c r="AW130" s="421">
        <v>1555</v>
      </c>
      <c r="AX130" s="18"/>
      <c r="AY130" s="434">
        <v>44874</v>
      </c>
      <c r="AZ130" s="421">
        <v>22377.85</v>
      </c>
      <c r="BA130" s="18"/>
      <c r="BB130" s="18"/>
      <c r="BC130" s="18"/>
      <c r="BD130" s="434"/>
      <c r="BE130" s="421"/>
      <c r="BF130" s="18"/>
      <c r="BG130" s="18"/>
      <c r="BH130" s="18"/>
      <c r="BI130" s="18"/>
      <c r="BJ130" s="18"/>
      <c r="BK130" s="18"/>
      <c r="BL130" s="435">
        <f t="shared" si="8"/>
        <v>44874</v>
      </c>
      <c r="BM130" s="436">
        <f t="shared" si="9"/>
        <v>15.55</v>
      </c>
      <c r="BN130" s="436">
        <f t="shared" si="10"/>
        <v>1</v>
      </c>
      <c r="BO130" s="436">
        <f t="shared" si="11"/>
        <v>15.55</v>
      </c>
      <c r="BP130" s="436" t="e">
        <f t="shared" si="12"/>
        <v>#N/A</v>
      </c>
      <c r="BQ130" s="436" t="e">
        <f t="shared" si="15"/>
        <v>#N/A</v>
      </c>
      <c r="BR130" s="436" t="str">
        <f t="shared" si="13"/>
        <v/>
      </c>
      <c r="BS130" s="436" t="str">
        <f t="shared" si="14"/>
        <v/>
      </c>
      <c r="BT130" s="441"/>
      <c r="BU130" s="18"/>
      <c r="BV130" s="18"/>
      <c r="BW130" s="18"/>
      <c r="BX130" s="17"/>
      <c r="BY130" s="17"/>
      <c r="BZ130" s="18"/>
    </row>
    <row r="131" spans="1:78" x14ac:dyDescent="0.3">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434">
        <v>44875</v>
      </c>
      <c r="AW131" s="421">
        <v>1560</v>
      </c>
      <c r="AX131" s="18"/>
      <c r="AY131" s="434">
        <v>44875</v>
      </c>
      <c r="AZ131" s="421">
        <v>22449.8</v>
      </c>
      <c r="BA131" s="18"/>
      <c r="BB131" s="18"/>
      <c r="BC131" s="18"/>
      <c r="BD131" s="434"/>
      <c r="BE131" s="421"/>
      <c r="BF131" s="18"/>
      <c r="BG131" s="18"/>
      <c r="BH131" s="18"/>
      <c r="BI131" s="18"/>
      <c r="BJ131" s="18"/>
      <c r="BK131" s="18"/>
      <c r="BL131" s="435">
        <f t="shared" si="8"/>
        <v>44875</v>
      </c>
      <c r="BM131" s="436">
        <f t="shared" si="9"/>
        <v>15.6</v>
      </c>
      <c r="BN131" s="436">
        <f t="shared" si="10"/>
        <v>1</v>
      </c>
      <c r="BO131" s="436">
        <f t="shared" si="11"/>
        <v>15.6</v>
      </c>
      <c r="BP131" s="436" t="e">
        <f t="shared" si="12"/>
        <v>#N/A</v>
      </c>
      <c r="BQ131" s="436" t="e">
        <f t="shared" si="15"/>
        <v>#N/A</v>
      </c>
      <c r="BR131" s="436" t="str">
        <f t="shared" si="13"/>
        <v/>
      </c>
      <c r="BS131" s="436" t="str">
        <f t="shared" si="14"/>
        <v/>
      </c>
      <c r="BT131" s="441"/>
      <c r="BU131" s="18"/>
      <c r="BV131" s="18"/>
      <c r="BW131" s="18"/>
      <c r="BX131" s="17"/>
      <c r="BY131" s="17"/>
      <c r="BZ131" s="18"/>
    </row>
    <row r="132" spans="1:78" x14ac:dyDescent="0.3">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434">
        <v>44876</v>
      </c>
      <c r="AW132" s="421">
        <v>1490</v>
      </c>
      <c r="AX132" s="18"/>
      <c r="AY132" s="434">
        <v>44876</v>
      </c>
      <c r="AZ132" s="421">
        <v>21442.44</v>
      </c>
      <c r="BA132" s="18"/>
      <c r="BB132" s="18"/>
      <c r="BC132" s="18"/>
      <c r="BD132" s="434"/>
      <c r="BE132" s="421"/>
      <c r="BF132" s="18"/>
      <c r="BG132" s="18"/>
      <c r="BH132" s="18"/>
      <c r="BI132" s="18"/>
      <c r="BJ132" s="18"/>
      <c r="BK132" s="18"/>
      <c r="BL132" s="435">
        <f t="shared" si="8"/>
        <v>44876</v>
      </c>
      <c r="BM132" s="436">
        <f t="shared" si="9"/>
        <v>14.9</v>
      </c>
      <c r="BN132" s="436">
        <f t="shared" si="10"/>
        <v>1</v>
      </c>
      <c r="BO132" s="436">
        <f t="shared" si="11"/>
        <v>14.9</v>
      </c>
      <c r="BP132" s="436" t="e">
        <f t="shared" si="12"/>
        <v>#N/A</v>
      </c>
      <c r="BQ132" s="436" t="e">
        <f t="shared" si="15"/>
        <v>#N/A</v>
      </c>
      <c r="BR132" s="436" t="str">
        <f t="shared" si="13"/>
        <v/>
      </c>
      <c r="BS132" s="436" t="str">
        <f t="shared" si="14"/>
        <v/>
      </c>
      <c r="BT132" s="441"/>
      <c r="BU132" s="18"/>
      <c r="BV132" s="18"/>
      <c r="BW132" s="18"/>
      <c r="BX132" s="17"/>
      <c r="BY132" s="17"/>
      <c r="BZ132" s="18"/>
    </row>
    <row r="133" spans="1:78" x14ac:dyDescent="0.3">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434">
        <v>44879</v>
      </c>
      <c r="AW133" s="421">
        <v>1442</v>
      </c>
      <c r="AX133" s="18"/>
      <c r="AY133" s="434">
        <v>44879</v>
      </c>
      <c r="AZ133" s="421">
        <v>20751.68</v>
      </c>
      <c r="BA133" s="18"/>
      <c r="BB133" s="18"/>
      <c r="BC133" s="18"/>
      <c r="BD133" s="434"/>
      <c r="BE133" s="421"/>
      <c r="BF133" s="18"/>
      <c r="BG133" s="18"/>
      <c r="BH133" s="18"/>
      <c r="BI133" s="18"/>
      <c r="BJ133" s="18"/>
      <c r="BK133" s="18"/>
      <c r="BL133" s="435">
        <f t="shared" si="8"/>
        <v>44879</v>
      </c>
      <c r="BM133" s="436">
        <f t="shared" si="9"/>
        <v>14.42</v>
      </c>
      <c r="BN133" s="436">
        <f t="shared" si="10"/>
        <v>1</v>
      </c>
      <c r="BO133" s="436">
        <f t="shared" si="11"/>
        <v>14.42</v>
      </c>
      <c r="BP133" s="436" t="e">
        <f t="shared" si="12"/>
        <v>#N/A</v>
      </c>
      <c r="BQ133" s="436" t="e">
        <f t="shared" si="15"/>
        <v>#N/A</v>
      </c>
      <c r="BR133" s="436" t="str">
        <f t="shared" si="13"/>
        <v/>
      </c>
      <c r="BS133" s="436" t="str">
        <f t="shared" si="14"/>
        <v/>
      </c>
      <c r="BT133" s="441"/>
      <c r="BU133" s="18"/>
      <c r="BV133" s="18"/>
      <c r="BW133" s="18"/>
      <c r="BX133" s="17"/>
      <c r="BY133" s="17"/>
      <c r="BZ133" s="18"/>
    </row>
    <row r="134" spans="1:78" x14ac:dyDescent="0.3">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434">
        <v>44880</v>
      </c>
      <c r="AW134" s="421">
        <v>1432</v>
      </c>
      <c r="AX134" s="18"/>
      <c r="AY134" s="434">
        <v>44880</v>
      </c>
      <c r="AZ134" s="421">
        <v>20607.77</v>
      </c>
      <c r="BA134" s="18"/>
      <c r="BB134" s="18"/>
      <c r="BC134" s="18"/>
      <c r="BD134" s="434"/>
      <c r="BE134" s="421"/>
      <c r="BF134" s="18"/>
      <c r="BG134" s="18"/>
      <c r="BH134" s="18"/>
      <c r="BI134" s="18"/>
      <c r="BJ134" s="18"/>
      <c r="BK134" s="18"/>
      <c r="BL134" s="435">
        <f t="shared" si="8"/>
        <v>44880</v>
      </c>
      <c r="BM134" s="436">
        <f t="shared" si="9"/>
        <v>14.32</v>
      </c>
      <c r="BN134" s="436">
        <f t="shared" si="10"/>
        <v>1</v>
      </c>
      <c r="BO134" s="436">
        <f t="shared" si="11"/>
        <v>14.32</v>
      </c>
      <c r="BP134" s="436" t="e">
        <f t="shared" si="12"/>
        <v>#N/A</v>
      </c>
      <c r="BQ134" s="436" t="e">
        <f t="shared" si="15"/>
        <v>#N/A</v>
      </c>
      <c r="BR134" s="436" t="str">
        <f t="shared" si="13"/>
        <v/>
      </c>
      <c r="BS134" s="436" t="str">
        <f t="shared" si="14"/>
        <v/>
      </c>
      <c r="BT134" s="441"/>
      <c r="BU134" s="18"/>
      <c r="BV134" s="18"/>
      <c r="BW134" s="18"/>
      <c r="BX134" s="17"/>
      <c r="BY134" s="17"/>
      <c r="BZ134" s="18"/>
    </row>
    <row r="135" spans="1:78" x14ac:dyDescent="0.3">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434">
        <v>44881</v>
      </c>
      <c r="AW135" s="421">
        <v>1428</v>
      </c>
      <c r="AX135" s="18"/>
      <c r="AY135" s="434">
        <v>44881</v>
      </c>
      <c r="AZ135" s="421">
        <v>20550.21</v>
      </c>
      <c r="BA135" s="18"/>
      <c r="BB135" s="18"/>
      <c r="BC135" s="18"/>
      <c r="BD135" s="434"/>
      <c r="BE135" s="421"/>
      <c r="BF135" s="18"/>
      <c r="BG135" s="18"/>
      <c r="BH135" s="18"/>
      <c r="BI135" s="18"/>
      <c r="BJ135" s="18"/>
      <c r="BK135" s="18"/>
      <c r="BL135" s="435">
        <f t="shared" si="8"/>
        <v>44881</v>
      </c>
      <c r="BM135" s="436">
        <f t="shared" si="9"/>
        <v>14.280000000000001</v>
      </c>
      <c r="BN135" s="436">
        <f t="shared" si="10"/>
        <v>1</v>
      </c>
      <c r="BO135" s="436">
        <f t="shared" si="11"/>
        <v>14.280000000000001</v>
      </c>
      <c r="BP135" s="436" t="e">
        <f t="shared" si="12"/>
        <v>#N/A</v>
      </c>
      <c r="BQ135" s="436" t="e">
        <f t="shared" si="15"/>
        <v>#N/A</v>
      </c>
      <c r="BR135" s="436" t="str">
        <f t="shared" si="13"/>
        <v/>
      </c>
      <c r="BS135" s="436" t="str">
        <f t="shared" si="14"/>
        <v/>
      </c>
      <c r="BT135" s="441"/>
      <c r="BU135" s="18"/>
      <c r="BV135" s="18"/>
      <c r="BW135" s="18"/>
      <c r="BX135" s="17"/>
      <c r="BY135" s="17"/>
      <c r="BZ135" s="18"/>
    </row>
    <row r="136" spans="1:78" x14ac:dyDescent="0.3">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434">
        <v>44882</v>
      </c>
      <c r="AW136" s="421">
        <v>1381</v>
      </c>
      <c r="AX136" s="18"/>
      <c r="AY136" s="434">
        <v>44882</v>
      </c>
      <c r="AZ136" s="421">
        <v>19873.830000000002</v>
      </c>
      <c r="BA136" s="18"/>
      <c r="BB136" s="18"/>
      <c r="BC136" s="18"/>
      <c r="BD136" s="434"/>
      <c r="BE136" s="421"/>
      <c r="BF136" s="18"/>
      <c r="BG136" s="18"/>
      <c r="BH136" s="18"/>
      <c r="BI136" s="18"/>
      <c r="BJ136" s="18"/>
      <c r="BK136" s="18"/>
      <c r="BL136" s="435">
        <f t="shared" si="8"/>
        <v>44882</v>
      </c>
      <c r="BM136" s="436">
        <f t="shared" si="9"/>
        <v>13.81</v>
      </c>
      <c r="BN136" s="436">
        <f t="shared" si="10"/>
        <v>1</v>
      </c>
      <c r="BO136" s="436">
        <f t="shared" si="11"/>
        <v>13.81</v>
      </c>
      <c r="BP136" s="436" t="e">
        <f t="shared" si="12"/>
        <v>#N/A</v>
      </c>
      <c r="BQ136" s="436" t="e">
        <f t="shared" si="15"/>
        <v>#N/A</v>
      </c>
      <c r="BR136" s="436" t="str">
        <f t="shared" si="13"/>
        <v/>
      </c>
      <c r="BS136" s="436" t="str">
        <f t="shared" si="14"/>
        <v/>
      </c>
      <c r="BT136" s="441"/>
      <c r="BU136" s="18"/>
      <c r="BV136" s="18"/>
      <c r="BW136" s="18"/>
      <c r="BX136" s="17"/>
      <c r="BY136" s="17"/>
      <c r="BZ136" s="18"/>
    </row>
    <row r="137" spans="1:78" x14ac:dyDescent="0.3">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434">
        <v>44883</v>
      </c>
      <c r="AW137" s="421">
        <v>1403</v>
      </c>
      <c r="AX137" s="18"/>
      <c r="AY137" s="434">
        <v>44883</v>
      </c>
      <c r="AZ137" s="421">
        <v>20190.43</v>
      </c>
      <c r="BA137" s="18"/>
      <c r="BB137" s="18"/>
      <c r="BC137" s="18"/>
      <c r="BD137" s="434"/>
      <c r="BE137" s="421"/>
      <c r="BF137" s="18"/>
      <c r="BG137" s="18"/>
      <c r="BH137" s="18"/>
      <c r="BI137" s="18"/>
      <c r="BJ137" s="18"/>
      <c r="BK137" s="18"/>
      <c r="BL137" s="435">
        <f t="shared" si="8"/>
        <v>44883</v>
      </c>
      <c r="BM137" s="436">
        <f t="shared" si="9"/>
        <v>14.030000000000001</v>
      </c>
      <c r="BN137" s="436">
        <f t="shared" si="10"/>
        <v>1</v>
      </c>
      <c r="BO137" s="436">
        <f t="shared" si="11"/>
        <v>14.030000000000001</v>
      </c>
      <c r="BP137" s="436" t="e">
        <f t="shared" si="12"/>
        <v>#N/A</v>
      </c>
      <c r="BQ137" s="436" t="e">
        <f t="shared" si="15"/>
        <v>#N/A</v>
      </c>
      <c r="BR137" s="436" t="str">
        <f t="shared" si="13"/>
        <v/>
      </c>
      <c r="BS137" s="436" t="str">
        <f t="shared" si="14"/>
        <v/>
      </c>
      <c r="BT137" s="441"/>
      <c r="BU137" s="18"/>
      <c r="BV137" s="18"/>
      <c r="BW137" s="18"/>
      <c r="BX137" s="17"/>
      <c r="BY137" s="17"/>
      <c r="BZ137" s="18"/>
    </row>
    <row r="138" spans="1:78" x14ac:dyDescent="0.3">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434">
        <v>44886</v>
      </c>
      <c r="AW138" s="421">
        <v>1495</v>
      </c>
      <c r="AX138" s="18"/>
      <c r="AY138" s="434">
        <v>44886</v>
      </c>
      <c r="AZ138" s="421">
        <v>21514.400000000001</v>
      </c>
      <c r="BA138" s="18"/>
      <c r="BB138" s="18"/>
      <c r="BC138" s="18"/>
      <c r="BD138" s="434"/>
      <c r="BE138" s="421"/>
      <c r="BF138" s="18"/>
      <c r="BG138" s="18"/>
      <c r="BH138" s="18"/>
      <c r="BI138" s="18"/>
      <c r="BJ138" s="18"/>
      <c r="BK138" s="18"/>
      <c r="BL138" s="435">
        <f t="shared" ref="BL138:BL201" si="16">IF($AV138="",NA(),AV138)</f>
        <v>44886</v>
      </c>
      <c r="BM138" s="436">
        <f t="shared" ref="BM138:BM201" si="17">IF($AV138="","-",AW138*$AW$3)</f>
        <v>14.950000000000001</v>
      </c>
      <c r="BN138" s="436">
        <f t="shared" ref="BN138:BN201" si="18">IF($C$17&lt;&gt;$C$18,VLOOKUP(BL138,$BD$10:$BE$301,2,0),1)</f>
        <v>1</v>
      </c>
      <c r="BO138" s="436">
        <f t="shared" ref="BO138:BO201" si="19">IF(BL138="","-",IF($C$17&lt;&gt;$C$18,(BM138)/VLOOKUP(BL138,$BD$10:$BE$301,2,1),BM138))</f>
        <v>14.950000000000001</v>
      </c>
      <c r="BP138" s="436" t="e">
        <f t="shared" ref="BP138:BP201" si="20">IF($BL138=$D$20,BO138,NA())</f>
        <v>#N/A</v>
      </c>
      <c r="BQ138" s="436" t="e">
        <f t="shared" si="15"/>
        <v>#N/A</v>
      </c>
      <c r="BR138" s="436" t="str">
        <f t="shared" ref="BR138:BR201" si="21">IF(ISNA(BQ138),"",TEXT($C$29,"# ##0.00") &amp; " ("&amp;TEXT($C$30,"+0.0%;-0.0%;0%")&amp;")")</f>
        <v/>
      </c>
      <c r="BS138" s="436" t="str">
        <f t="shared" ref="BS138:BS201" si="22">IF(ISNA(BP138),"",TEXT(BP138,"# ##0.00") &amp; " ("&amp;TEXT($BO$6,"+0.0%;-0.0%;0%")&amp;")")</f>
        <v/>
      </c>
      <c r="BT138" s="441"/>
      <c r="BU138" s="18"/>
      <c r="BV138" s="18"/>
      <c r="BW138" s="18"/>
      <c r="BX138" s="17"/>
      <c r="BY138" s="17"/>
      <c r="BZ138" s="18"/>
    </row>
    <row r="139" spans="1:78" x14ac:dyDescent="0.3">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434">
        <v>44887</v>
      </c>
      <c r="AW139" s="421">
        <v>1407</v>
      </c>
      <c r="AX139" s="18"/>
      <c r="AY139" s="434">
        <v>44887</v>
      </c>
      <c r="AZ139" s="421">
        <v>20248</v>
      </c>
      <c r="BA139" s="18"/>
      <c r="BB139" s="18"/>
      <c r="BC139" s="18"/>
      <c r="BD139" s="434"/>
      <c r="BE139" s="421"/>
      <c r="BF139" s="18"/>
      <c r="BG139" s="18"/>
      <c r="BH139" s="18"/>
      <c r="BI139" s="18"/>
      <c r="BJ139" s="18"/>
      <c r="BK139" s="18"/>
      <c r="BL139" s="435">
        <f t="shared" si="16"/>
        <v>44887</v>
      </c>
      <c r="BM139" s="436">
        <f t="shared" si="17"/>
        <v>14.07</v>
      </c>
      <c r="BN139" s="436">
        <f t="shared" si="18"/>
        <v>1</v>
      </c>
      <c r="BO139" s="436">
        <f t="shared" si="19"/>
        <v>14.07</v>
      </c>
      <c r="BP139" s="436" t="e">
        <f t="shared" si="20"/>
        <v>#N/A</v>
      </c>
      <c r="BQ139" s="436" t="e">
        <f t="shared" ref="BQ139:BQ202" si="23">IF(BL139=$D$20,$C$29,NA())</f>
        <v>#N/A</v>
      </c>
      <c r="BR139" s="436" t="str">
        <f t="shared" si="21"/>
        <v/>
      </c>
      <c r="BS139" s="436" t="str">
        <f t="shared" si="22"/>
        <v/>
      </c>
      <c r="BT139" s="441"/>
      <c r="BU139" s="18"/>
      <c r="BV139" s="18"/>
      <c r="BW139" s="18"/>
      <c r="BX139" s="17"/>
      <c r="BY139" s="17"/>
      <c r="BZ139" s="18"/>
    </row>
    <row r="140" spans="1:78" x14ac:dyDescent="0.3">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434">
        <v>44888</v>
      </c>
      <c r="AW140" s="421">
        <v>1443</v>
      </c>
      <c r="AX140" s="18"/>
      <c r="AY140" s="434">
        <v>44888</v>
      </c>
      <c r="AZ140" s="421">
        <v>20766.07</v>
      </c>
      <c r="BA140" s="18"/>
      <c r="BB140" s="18"/>
      <c r="BC140" s="18"/>
      <c r="BD140" s="434"/>
      <c r="BE140" s="421"/>
      <c r="BF140" s="18"/>
      <c r="BG140" s="18"/>
      <c r="BH140" s="18"/>
      <c r="BI140" s="18"/>
      <c r="BJ140" s="18"/>
      <c r="BK140" s="18"/>
      <c r="BL140" s="435">
        <f t="shared" si="16"/>
        <v>44888</v>
      </c>
      <c r="BM140" s="436">
        <f t="shared" si="17"/>
        <v>14.43</v>
      </c>
      <c r="BN140" s="436">
        <f t="shared" si="18"/>
        <v>1</v>
      </c>
      <c r="BO140" s="436">
        <f t="shared" si="19"/>
        <v>14.43</v>
      </c>
      <c r="BP140" s="436" t="e">
        <f t="shared" si="20"/>
        <v>#N/A</v>
      </c>
      <c r="BQ140" s="436" t="e">
        <f t="shared" si="23"/>
        <v>#N/A</v>
      </c>
      <c r="BR140" s="436" t="str">
        <f t="shared" si="21"/>
        <v/>
      </c>
      <c r="BS140" s="436" t="str">
        <f t="shared" si="22"/>
        <v/>
      </c>
      <c r="BT140" s="441"/>
      <c r="BU140" s="18"/>
      <c r="BV140" s="18"/>
      <c r="BW140" s="18"/>
      <c r="BX140" s="17"/>
      <c r="BY140" s="17"/>
      <c r="BZ140" s="18"/>
    </row>
    <row r="141" spans="1:78" x14ac:dyDescent="0.3">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434">
        <v>44889</v>
      </c>
      <c r="AW141" s="421">
        <v>1435</v>
      </c>
      <c r="AX141" s="18"/>
      <c r="AY141" s="434">
        <v>44889</v>
      </c>
      <c r="AZ141" s="421">
        <v>20650.939999999999</v>
      </c>
      <c r="BA141" s="18"/>
      <c r="BB141" s="18"/>
      <c r="BC141" s="18"/>
      <c r="BD141" s="434"/>
      <c r="BE141" s="421"/>
      <c r="BF141" s="18"/>
      <c r="BG141" s="18"/>
      <c r="BH141" s="18"/>
      <c r="BI141" s="18"/>
      <c r="BJ141" s="18"/>
      <c r="BK141" s="18"/>
      <c r="BL141" s="435">
        <f t="shared" si="16"/>
        <v>44889</v>
      </c>
      <c r="BM141" s="436">
        <f t="shared" si="17"/>
        <v>14.35</v>
      </c>
      <c r="BN141" s="436">
        <f t="shared" si="18"/>
        <v>1</v>
      </c>
      <c r="BO141" s="436">
        <f t="shared" si="19"/>
        <v>14.35</v>
      </c>
      <c r="BP141" s="436" t="e">
        <f t="shared" si="20"/>
        <v>#N/A</v>
      </c>
      <c r="BQ141" s="436" t="e">
        <f t="shared" si="23"/>
        <v>#N/A</v>
      </c>
      <c r="BR141" s="436" t="str">
        <f t="shared" si="21"/>
        <v/>
      </c>
      <c r="BS141" s="436" t="str">
        <f t="shared" si="22"/>
        <v/>
      </c>
      <c r="BT141" s="441"/>
      <c r="BU141" s="18"/>
      <c r="BV141" s="18"/>
      <c r="BW141" s="18"/>
      <c r="BX141" s="17"/>
      <c r="BY141" s="17"/>
      <c r="BZ141" s="18"/>
    </row>
    <row r="142" spans="1:78" x14ac:dyDescent="0.3">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434">
        <v>44890</v>
      </c>
      <c r="AW142" s="421">
        <v>1470</v>
      </c>
      <c r="AX142" s="18"/>
      <c r="AY142" s="434">
        <v>44890</v>
      </c>
      <c r="AZ142" s="421">
        <v>21154.62</v>
      </c>
      <c r="BA142" s="18"/>
      <c r="BB142" s="18"/>
      <c r="BC142" s="18"/>
      <c r="BD142" s="434"/>
      <c r="BE142" s="421"/>
      <c r="BF142" s="18"/>
      <c r="BG142" s="18"/>
      <c r="BH142" s="18"/>
      <c r="BI142" s="18"/>
      <c r="BJ142" s="18"/>
      <c r="BK142" s="18"/>
      <c r="BL142" s="435">
        <f t="shared" si="16"/>
        <v>44890</v>
      </c>
      <c r="BM142" s="436">
        <f t="shared" si="17"/>
        <v>14.700000000000001</v>
      </c>
      <c r="BN142" s="436">
        <f t="shared" si="18"/>
        <v>1</v>
      </c>
      <c r="BO142" s="436">
        <f t="shared" si="19"/>
        <v>14.700000000000001</v>
      </c>
      <c r="BP142" s="436" t="e">
        <f t="shared" si="20"/>
        <v>#N/A</v>
      </c>
      <c r="BQ142" s="436" t="e">
        <f t="shared" si="23"/>
        <v>#N/A</v>
      </c>
      <c r="BR142" s="436" t="str">
        <f t="shared" si="21"/>
        <v/>
      </c>
      <c r="BS142" s="436" t="str">
        <f t="shared" si="22"/>
        <v/>
      </c>
      <c r="BT142" s="441"/>
      <c r="BU142" s="18"/>
      <c r="BV142" s="18"/>
      <c r="BW142" s="18"/>
      <c r="BX142" s="17"/>
      <c r="BY142" s="17"/>
      <c r="BZ142" s="18"/>
    </row>
    <row r="143" spans="1:78" x14ac:dyDescent="0.3">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434">
        <v>44893</v>
      </c>
      <c r="AW143" s="421">
        <v>1460</v>
      </c>
      <c r="AX143" s="18"/>
      <c r="AY143" s="434">
        <v>44893</v>
      </c>
      <c r="AZ143" s="421">
        <v>21010.71</v>
      </c>
      <c r="BA143" s="18"/>
      <c r="BB143" s="18"/>
      <c r="BC143" s="18"/>
      <c r="BD143" s="434"/>
      <c r="BE143" s="421"/>
      <c r="BF143" s="18"/>
      <c r="BG143" s="18"/>
      <c r="BH143" s="18"/>
      <c r="BI143" s="18"/>
      <c r="BJ143" s="18"/>
      <c r="BK143" s="18"/>
      <c r="BL143" s="435">
        <f t="shared" si="16"/>
        <v>44893</v>
      </c>
      <c r="BM143" s="436">
        <f t="shared" si="17"/>
        <v>14.6</v>
      </c>
      <c r="BN143" s="436">
        <f t="shared" si="18"/>
        <v>1</v>
      </c>
      <c r="BO143" s="436">
        <f t="shared" si="19"/>
        <v>14.6</v>
      </c>
      <c r="BP143" s="436" t="e">
        <f t="shared" si="20"/>
        <v>#N/A</v>
      </c>
      <c r="BQ143" s="436" t="e">
        <f t="shared" si="23"/>
        <v>#N/A</v>
      </c>
      <c r="BR143" s="436" t="str">
        <f t="shared" si="21"/>
        <v/>
      </c>
      <c r="BS143" s="436" t="str">
        <f t="shared" si="22"/>
        <v/>
      </c>
      <c r="BT143" s="441"/>
      <c r="BU143" s="18"/>
      <c r="BV143" s="18"/>
      <c r="BW143" s="18"/>
      <c r="BX143" s="17"/>
      <c r="BY143" s="17"/>
      <c r="BZ143" s="18"/>
    </row>
    <row r="144" spans="1:78" x14ac:dyDescent="0.3">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434">
        <v>44894</v>
      </c>
      <c r="AW144" s="421">
        <v>1446</v>
      </c>
      <c r="AX144" s="18"/>
      <c r="AY144" s="434">
        <v>44894</v>
      </c>
      <c r="AZ144" s="421">
        <v>20809.240000000002</v>
      </c>
      <c r="BA144" s="18"/>
      <c r="BB144" s="18"/>
      <c r="BC144" s="18"/>
      <c r="BD144" s="434"/>
      <c r="BE144" s="421"/>
      <c r="BF144" s="18"/>
      <c r="BG144" s="18"/>
      <c r="BH144" s="18"/>
      <c r="BI144" s="18"/>
      <c r="BJ144" s="18"/>
      <c r="BK144" s="18"/>
      <c r="BL144" s="435">
        <f t="shared" si="16"/>
        <v>44894</v>
      </c>
      <c r="BM144" s="436">
        <f t="shared" si="17"/>
        <v>14.46</v>
      </c>
      <c r="BN144" s="436">
        <f t="shared" si="18"/>
        <v>1</v>
      </c>
      <c r="BO144" s="436">
        <f t="shared" si="19"/>
        <v>14.46</v>
      </c>
      <c r="BP144" s="436" t="e">
        <f t="shared" si="20"/>
        <v>#N/A</v>
      </c>
      <c r="BQ144" s="436" t="e">
        <f t="shared" si="23"/>
        <v>#N/A</v>
      </c>
      <c r="BR144" s="436" t="str">
        <f t="shared" si="21"/>
        <v/>
      </c>
      <c r="BS144" s="436" t="str">
        <f t="shared" si="22"/>
        <v/>
      </c>
      <c r="BT144" s="441"/>
      <c r="BU144" s="18"/>
      <c r="BV144" s="18"/>
      <c r="BW144" s="18"/>
      <c r="BX144" s="17"/>
      <c r="BY144" s="17"/>
      <c r="BZ144" s="18"/>
    </row>
    <row r="145" spans="1:78" x14ac:dyDescent="0.3">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434">
        <v>44895</v>
      </c>
      <c r="AW145" s="421">
        <v>1470</v>
      </c>
      <c r="AX145" s="18"/>
      <c r="AY145" s="434">
        <v>44895</v>
      </c>
      <c r="AZ145" s="421">
        <v>21154.62</v>
      </c>
      <c r="BA145" s="18"/>
      <c r="BB145" s="18"/>
      <c r="BC145" s="18"/>
      <c r="BD145" s="434"/>
      <c r="BE145" s="421"/>
      <c r="BF145" s="18"/>
      <c r="BG145" s="18"/>
      <c r="BH145" s="18"/>
      <c r="BI145" s="18"/>
      <c r="BJ145" s="18"/>
      <c r="BK145" s="18"/>
      <c r="BL145" s="435">
        <f t="shared" si="16"/>
        <v>44895</v>
      </c>
      <c r="BM145" s="436">
        <f t="shared" si="17"/>
        <v>14.700000000000001</v>
      </c>
      <c r="BN145" s="436">
        <f t="shared" si="18"/>
        <v>1</v>
      </c>
      <c r="BO145" s="436">
        <f t="shared" si="19"/>
        <v>14.700000000000001</v>
      </c>
      <c r="BP145" s="436" t="e">
        <f t="shared" si="20"/>
        <v>#N/A</v>
      </c>
      <c r="BQ145" s="436" t="e">
        <f t="shared" si="23"/>
        <v>#N/A</v>
      </c>
      <c r="BR145" s="436" t="str">
        <f t="shared" si="21"/>
        <v/>
      </c>
      <c r="BS145" s="436" t="str">
        <f t="shared" si="22"/>
        <v/>
      </c>
      <c r="BT145" s="441"/>
      <c r="BU145" s="18"/>
      <c r="BV145" s="18"/>
      <c r="BW145" s="18"/>
      <c r="BX145" s="17"/>
      <c r="BY145" s="17"/>
      <c r="BZ145" s="18"/>
    </row>
    <row r="146" spans="1:78" x14ac:dyDescent="0.3">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434">
        <v>44896</v>
      </c>
      <c r="AW146" s="421">
        <v>1407</v>
      </c>
      <c r="AX146" s="18"/>
      <c r="AY146" s="434">
        <v>44896</v>
      </c>
      <c r="AZ146" s="421">
        <v>20248</v>
      </c>
      <c r="BA146" s="18"/>
      <c r="BB146" s="18"/>
      <c r="BC146" s="18"/>
      <c r="BD146" s="434"/>
      <c r="BE146" s="421"/>
      <c r="BF146" s="18"/>
      <c r="BG146" s="18"/>
      <c r="BH146" s="18"/>
      <c r="BI146" s="18"/>
      <c r="BJ146" s="18"/>
      <c r="BK146" s="18"/>
      <c r="BL146" s="435">
        <f t="shared" si="16"/>
        <v>44896</v>
      </c>
      <c r="BM146" s="436">
        <f t="shared" si="17"/>
        <v>14.07</v>
      </c>
      <c r="BN146" s="436">
        <f t="shared" si="18"/>
        <v>1</v>
      </c>
      <c r="BO146" s="436">
        <f t="shared" si="19"/>
        <v>14.07</v>
      </c>
      <c r="BP146" s="436" t="e">
        <f t="shared" si="20"/>
        <v>#N/A</v>
      </c>
      <c r="BQ146" s="436" t="e">
        <f t="shared" si="23"/>
        <v>#N/A</v>
      </c>
      <c r="BR146" s="436" t="str">
        <f t="shared" si="21"/>
        <v/>
      </c>
      <c r="BS146" s="436" t="str">
        <f t="shared" si="22"/>
        <v/>
      </c>
      <c r="BT146" s="441"/>
      <c r="BU146" s="18"/>
      <c r="BV146" s="18"/>
      <c r="BW146" s="18"/>
      <c r="BX146" s="17"/>
      <c r="BY146" s="17"/>
      <c r="BZ146" s="18"/>
    </row>
    <row r="147" spans="1:78" x14ac:dyDescent="0.3">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434">
        <v>44897</v>
      </c>
      <c r="AW147" s="421">
        <v>1422</v>
      </c>
      <c r="AX147" s="18"/>
      <c r="AY147" s="434">
        <v>44897</v>
      </c>
      <c r="AZ147" s="421">
        <v>20463.86</v>
      </c>
      <c r="BA147" s="18"/>
      <c r="BB147" s="18"/>
      <c r="BC147" s="18"/>
      <c r="BD147" s="434"/>
      <c r="BE147" s="421"/>
      <c r="BF147" s="18"/>
      <c r="BG147" s="18"/>
      <c r="BH147" s="18"/>
      <c r="BI147" s="18"/>
      <c r="BJ147" s="18"/>
      <c r="BK147" s="18"/>
      <c r="BL147" s="435">
        <f t="shared" si="16"/>
        <v>44897</v>
      </c>
      <c r="BM147" s="436">
        <f t="shared" si="17"/>
        <v>14.22</v>
      </c>
      <c r="BN147" s="436">
        <f t="shared" si="18"/>
        <v>1</v>
      </c>
      <c r="BO147" s="436">
        <f t="shared" si="19"/>
        <v>14.22</v>
      </c>
      <c r="BP147" s="436" t="e">
        <f t="shared" si="20"/>
        <v>#N/A</v>
      </c>
      <c r="BQ147" s="436" t="e">
        <f t="shared" si="23"/>
        <v>#N/A</v>
      </c>
      <c r="BR147" s="436" t="str">
        <f t="shared" si="21"/>
        <v/>
      </c>
      <c r="BS147" s="436" t="str">
        <f t="shared" si="22"/>
        <v/>
      </c>
      <c r="BT147" s="441"/>
      <c r="BU147" s="18"/>
      <c r="BV147" s="18"/>
      <c r="BW147" s="18"/>
      <c r="BX147" s="17"/>
      <c r="BY147" s="17"/>
      <c r="BZ147" s="18"/>
    </row>
    <row r="148" spans="1:78" x14ac:dyDescent="0.3">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434">
        <v>44900</v>
      </c>
      <c r="AW148" s="421">
        <v>1433</v>
      </c>
      <c r="AX148" s="18"/>
      <c r="AY148" s="434">
        <v>44900</v>
      </c>
      <c r="AZ148" s="421">
        <v>20622.16</v>
      </c>
      <c r="BA148" s="18"/>
      <c r="BB148" s="18"/>
      <c r="BC148" s="18"/>
      <c r="BD148" s="434"/>
      <c r="BE148" s="421"/>
      <c r="BF148" s="18"/>
      <c r="BG148" s="18"/>
      <c r="BH148" s="18"/>
      <c r="BI148" s="18"/>
      <c r="BJ148" s="18"/>
      <c r="BK148" s="18"/>
      <c r="BL148" s="435">
        <f t="shared" si="16"/>
        <v>44900</v>
      </c>
      <c r="BM148" s="436">
        <f t="shared" si="17"/>
        <v>14.33</v>
      </c>
      <c r="BN148" s="436">
        <f t="shared" si="18"/>
        <v>1</v>
      </c>
      <c r="BO148" s="436">
        <f t="shared" si="19"/>
        <v>14.33</v>
      </c>
      <c r="BP148" s="436" t="e">
        <f t="shared" si="20"/>
        <v>#N/A</v>
      </c>
      <c r="BQ148" s="436" t="e">
        <f t="shared" si="23"/>
        <v>#N/A</v>
      </c>
      <c r="BR148" s="436" t="str">
        <f t="shared" si="21"/>
        <v/>
      </c>
      <c r="BS148" s="436" t="str">
        <f t="shared" si="22"/>
        <v/>
      </c>
      <c r="BT148" s="441"/>
      <c r="BU148" s="18"/>
      <c r="BV148" s="18"/>
      <c r="BW148" s="18"/>
      <c r="BX148" s="17"/>
      <c r="BY148" s="17"/>
      <c r="BZ148" s="18"/>
    </row>
    <row r="149" spans="1:78" x14ac:dyDescent="0.3">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434">
        <v>44901</v>
      </c>
      <c r="AW149" s="421">
        <v>1440</v>
      </c>
      <c r="AX149" s="18"/>
      <c r="AY149" s="434">
        <v>44901</v>
      </c>
      <c r="AZ149" s="421">
        <v>20722.900000000001</v>
      </c>
      <c r="BA149" s="18"/>
      <c r="BB149" s="18"/>
      <c r="BC149" s="18"/>
      <c r="BD149" s="434"/>
      <c r="BE149" s="421"/>
      <c r="BF149" s="18"/>
      <c r="BG149" s="18"/>
      <c r="BH149" s="18"/>
      <c r="BI149" s="18"/>
      <c r="BJ149" s="18"/>
      <c r="BK149" s="18"/>
      <c r="BL149" s="435">
        <f t="shared" si="16"/>
        <v>44901</v>
      </c>
      <c r="BM149" s="436">
        <f t="shared" si="17"/>
        <v>14.4</v>
      </c>
      <c r="BN149" s="436">
        <f t="shared" si="18"/>
        <v>1</v>
      </c>
      <c r="BO149" s="436">
        <f t="shared" si="19"/>
        <v>14.4</v>
      </c>
      <c r="BP149" s="436" t="e">
        <f t="shared" si="20"/>
        <v>#N/A</v>
      </c>
      <c r="BQ149" s="436" t="e">
        <f t="shared" si="23"/>
        <v>#N/A</v>
      </c>
      <c r="BR149" s="436" t="str">
        <f t="shared" si="21"/>
        <v/>
      </c>
      <c r="BS149" s="436" t="str">
        <f t="shared" si="22"/>
        <v/>
      </c>
      <c r="BT149" s="441"/>
      <c r="BU149" s="18"/>
      <c r="BV149" s="18"/>
      <c r="BW149" s="18"/>
      <c r="BX149" s="17"/>
      <c r="BY149" s="17"/>
      <c r="BZ149" s="18"/>
    </row>
    <row r="150" spans="1:78" x14ac:dyDescent="0.3">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434">
        <v>44902</v>
      </c>
      <c r="AW150" s="421">
        <v>1444</v>
      </c>
      <c r="AX150" s="18"/>
      <c r="AY150" s="434">
        <v>44902</v>
      </c>
      <c r="AZ150" s="421">
        <v>20780.46</v>
      </c>
      <c r="BA150" s="18"/>
      <c r="BB150" s="18"/>
      <c r="BC150" s="18"/>
      <c r="BD150" s="434"/>
      <c r="BE150" s="421"/>
      <c r="BF150" s="18"/>
      <c r="BG150" s="18"/>
      <c r="BH150" s="18"/>
      <c r="BI150" s="18"/>
      <c r="BJ150" s="18"/>
      <c r="BK150" s="18"/>
      <c r="BL150" s="435">
        <f t="shared" si="16"/>
        <v>44902</v>
      </c>
      <c r="BM150" s="436">
        <f t="shared" si="17"/>
        <v>14.44</v>
      </c>
      <c r="BN150" s="436">
        <f t="shared" si="18"/>
        <v>1</v>
      </c>
      <c r="BO150" s="436">
        <f t="shared" si="19"/>
        <v>14.44</v>
      </c>
      <c r="BP150" s="436" t="e">
        <f t="shared" si="20"/>
        <v>#N/A</v>
      </c>
      <c r="BQ150" s="436" t="e">
        <f t="shared" si="23"/>
        <v>#N/A</v>
      </c>
      <c r="BR150" s="436" t="str">
        <f t="shared" si="21"/>
        <v/>
      </c>
      <c r="BS150" s="436" t="str">
        <f t="shared" si="22"/>
        <v/>
      </c>
      <c r="BT150" s="441"/>
      <c r="BU150" s="18"/>
      <c r="BV150" s="18"/>
      <c r="BW150" s="18"/>
      <c r="BX150" s="17"/>
      <c r="BY150" s="17"/>
      <c r="BZ150" s="18"/>
    </row>
    <row r="151" spans="1:78" x14ac:dyDescent="0.3">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434">
        <v>44903</v>
      </c>
      <c r="AW151" s="421">
        <v>1448</v>
      </c>
      <c r="AX151" s="18"/>
      <c r="AY151" s="434">
        <v>44903</v>
      </c>
      <c r="AZ151" s="421">
        <v>20838.02</v>
      </c>
      <c r="BA151" s="18"/>
      <c r="BB151" s="18"/>
      <c r="BC151" s="18"/>
      <c r="BD151" s="434"/>
      <c r="BE151" s="421"/>
      <c r="BF151" s="18"/>
      <c r="BG151" s="18"/>
      <c r="BH151" s="18"/>
      <c r="BI151" s="18"/>
      <c r="BJ151" s="18"/>
      <c r="BK151" s="18"/>
      <c r="BL151" s="435">
        <f t="shared" si="16"/>
        <v>44903</v>
      </c>
      <c r="BM151" s="436">
        <f t="shared" si="17"/>
        <v>14.48</v>
      </c>
      <c r="BN151" s="436">
        <f t="shared" si="18"/>
        <v>1</v>
      </c>
      <c r="BO151" s="436">
        <f t="shared" si="19"/>
        <v>14.48</v>
      </c>
      <c r="BP151" s="436" t="e">
        <f t="shared" si="20"/>
        <v>#N/A</v>
      </c>
      <c r="BQ151" s="436" t="e">
        <f t="shared" si="23"/>
        <v>#N/A</v>
      </c>
      <c r="BR151" s="436" t="str">
        <f t="shared" si="21"/>
        <v/>
      </c>
      <c r="BS151" s="436" t="str">
        <f t="shared" si="22"/>
        <v/>
      </c>
      <c r="BT151" s="441"/>
      <c r="BU151" s="18"/>
      <c r="BV151" s="18"/>
      <c r="BW151" s="18"/>
      <c r="BX151" s="17"/>
      <c r="BY151" s="17"/>
      <c r="BZ151" s="18"/>
    </row>
    <row r="152" spans="1:78" x14ac:dyDescent="0.3">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434">
        <v>44904</v>
      </c>
      <c r="AW152" s="421">
        <v>1442</v>
      </c>
      <c r="AX152" s="18"/>
      <c r="AY152" s="434">
        <v>44904</v>
      </c>
      <c r="AZ152" s="421">
        <v>20751.68</v>
      </c>
      <c r="BA152" s="18"/>
      <c r="BB152" s="18"/>
      <c r="BC152" s="18"/>
      <c r="BD152" s="434"/>
      <c r="BE152" s="421"/>
      <c r="BF152" s="18"/>
      <c r="BG152" s="18"/>
      <c r="BH152" s="18"/>
      <c r="BI152" s="18"/>
      <c r="BJ152" s="18"/>
      <c r="BK152" s="18"/>
      <c r="BL152" s="435">
        <f t="shared" si="16"/>
        <v>44904</v>
      </c>
      <c r="BM152" s="436">
        <f t="shared" si="17"/>
        <v>14.42</v>
      </c>
      <c r="BN152" s="436">
        <f t="shared" si="18"/>
        <v>1</v>
      </c>
      <c r="BO152" s="436">
        <f t="shared" si="19"/>
        <v>14.42</v>
      </c>
      <c r="BP152" s="436" t="e">
        <f t="shared" si="20"/>
        <v>#N/A</v>
      </c>
      <c r="BQ152" s="436" t="e">
        <f t="shared" si="23"/>
        <v>#N/A</v>
      </c>
      <c r="BR152" s="436" t="str">
        <f t="shared" si="21"/>
        <v/>
      </c>
      <c r="BS152" s="436" t="str">
        <f t="shared" si="22"/>
        <v/>
      </c>
      <c r="BT152" s="441"/>
      <c r="BU152" s="18"/>
      <c r="BV152" s="18"/>
      <c r="BW152" s="18"/>
      <c r="BX152" s="17"/>
      <c r="BY152" s="17"/>
      <c r="BZ152" s="18"/>
    </row>
    <row r="153" spans="1:78" x14ac:dyDescent="0.3">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434">
        <v>44907</v>
      </c>
      <c r="AW153" s="421">
        <v>1434</v>
      </c>
      <c r="AX153" s="18"/>
      <c r="AY153" s="434">
        <v>44907</v>
      </c>
      <c r="AZ153" s="421">
        <v>20636.55</v>
      </c>
      <c r="BA153" s="18"/>
      <c r="BB153" s="18"/>
      <c r="BC153" s="18"/>
      <c r="BD153" s="434"/>
      <c r="BE153" s="421"/>
      <c r="BF153" s="18"/>
      <c r="BG153" s="18"/>
      <c r="BH153" s="18"/>
      <c r="BI153" s="18"/>
      <c r="BJ153" s="18"/>
      <c r="BK153" s="18"/>
      <c r="BL153" s="435">
        <f t="shared" si="16"/>
        <v>44907</v>
      </c>
      <c r="BM153" s="436">
        <f t="shared" si="17"/>
        <v>14.34</v>
      </c>
      <c r="BN153" s="436">
        <f t="shared" si="18"/>
        <v>1</v>
      </c>
      <c r="BO153" s="436">
        <f t="shared" si="19"/>
        <v>14.34</v>
      </c>
      <c r="BP153" s="436" t="e">
        <f t="shared" si="20"/>
        <v>#N/A</v>
      </c>
      <c r="BQ153" s="436" t="e">
        <f t="shared" si="23"/>
        <v>#N/A</v>
      </c>
      <c r="BR153" s="436" t="str">
        <f t="shared" si="21"/>
        <v/>
      </c>
      <c r="BS153" s="436" t="str">
        <f t="shared" si="22"/>
        <v/>
      </c>
      <c r="BT153" s="441"/>
      <c r="BU153" s="18"/>
      <c r="BV153" s="18"/>
      <c r="BW153" s="18"/>
      <c r="BX153" s="17"/>
      <c r="BY153" s="17"/>
      <c r="BZ153" s="18"/>
    </row>
    <row r="154" spans="1:78" x14ac:dyDescent="0.3">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434">
        <v>44908</v>
      </c>
      <c r="AW154" s="421">
        <v>1453</v>
      </c>
      <c r="AX154" s="18"/>
      <c r="AY154" s="434">
        <v>44908</v>
      </c>
      <c r="AZ154" s="421">
        <v>20909.98</v>
      </c>
      <c r="BA154" s="18"/>
      <c r="BB154" s="18"/>
      <c r="BC154" s="18"/>
      <c r="BD154" s="434"/>
      <c r="BE154" s="421"/>
      <c r="BF154" s="18"/>
      <c r="BG154" s="18"/>
      <c r="BH154" s="18"/>
      <c r="BI154" s="18"/>
      <c r="BJ154" s="18"/>
      <c r="BK154" s="18"/>
      <c r="BL154" s="435">
        <f t="shared" si="16"/>
        <v>44908</v>
      </c>
      <c r="BM154" s="436">
        <f t="shared" si="17"/>
        <v>14.530000000000001</v>
      </c>
      <c r="BN154" s="436">
        <f t="shared" si="18"/>
        <v>1</v>
      </c>
      <c r="BO154" s="436">
        <f t="shared" si="19"/>
        <v>14.530000000000001</v>
      </c>
      <c r="BP154" s="436" t="e">
        <f t="shared" si="20"/>
        <v>#N/A</v>
      </c>
      <c r="BQ154" s="436" t="e">
        <f t="shared" si="23"/>
        <v>#N/A</v>
      </c>
      <c r="BR154" s="436" t="str">
        <f t="shared" si="21"/>
        <v/>
      </c>
      <c r="BS154" s="436" t="str">
        <f t="shared" si="22"/>
        <v/>
      </c>
      <c r="BT154" s="441"/>
      <c r="BU154" s="18"/>
      <c r="BV154" s="18"/>
      <c r="BW154" s="18"/>
      <c r="BX154" s="17"/>
      <c r="BY154" s="17"/>
      <c r="BZ154" s="18"/>
    </row>
    <row r="155" spans="1:78" x14ac:dyDescent="0.3">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434">
        <v>44909</v>
      </c>
      <c r="AW155" s="421">
        <v>1433</v>
      </c>
      <c r="AX155" s="18"/>
      <c r="AY155" s="434">
        <v>44909</v>
      </c>
      <c r="AZ155" s="421">
        <v>20622.16</v>
      </c>
      <c r="BA155" s="18"/>
      <c r="BB155" s="18"/>
      <c r="BC155" s="18"/>
      <c r="BD155" s="434"/>
      <c r="BE155" s="421"/>
      <c r="BF155" s="18"/>
      <c r="BG155" s="18"/>
      <c r="BH155" s="18"/>
      <c r="BI155" s="18"/>
      <c r="BJ155" s="18"/>
      <c r="BK155" s="18"/>
      <c r="BL155" s="435">
        <f t="shared" si="16"/>
        <v>44909</v>
      </c>
      <c r="BM155" s="436">
        <f t="shared" si="17"/>
        <v>14.33</v>
      </c>
      <c r="BN155" s="436">
        <f t="shared" si="18"/>
        <v>1</v>
      </c>
      <c r="BO155" s="436">
        <f t="shared" si="19"/>
        <v>14.33</v>
      </c>
      <c r="BP155" s="436" t="e">
        <f t="shared" si="20"/>
        <v>#N/A</v>
      </c>
      <c r="BQ155" s="436" t="e">
        <f t="shared" si="23"/>
        <v>#N/A</v>
      </c>
      <c r="BR155" s="436" t="str">
        <f t="shared" si="21"/>
        <v/>
      </c>
      <c r="BS155" s="436" t="str">
        <f t="shared" si="22"/>
        <v/>
      </c>
      <c r="BT155" s="441"/>
      <c r="BU155" s="18"/>
      <c r="BV155" s="18"/>
      <c r="BW155" s="18"/>
      <c r="BX155" s="17"/>
      <c r="BY155" s="17"/>
      <c r="BZ155" s="18"/>
    </row>
    <row r="156" spans="1:78" x14ac:dyDescent="0.3">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434">
        <v>44910</v>
      </c>
      <c r="AW156" s="421">
        <v>1440</v>
      </c>
      <c r="AX156" s="18"/>
      <c r="AY156" s="434">
        <v>44910</v>
      </c>
      <c r="AZ156" s="421">
        <v>20722.900000000001</v>
      </c>
      <c r="BA156" s="18"/>
      <c r="BB156" s="18"/>
      <c r="BC156" s="18"/>
      <c r="BD156" s="434"/>
      <c r="BE156" s="421"/>
      <c r="BF156" s="18"/>
      <c r="BG156" s="18"/>
      <c r="BH156" s="18"/>
      <c r="BI156" s="18"/>
      <c r="BJ156" s="18"/>
      <c r="BK156" s="18"/>
      <c r="BL156" s="435">
        <f t="shared" si="16"/>
        <v>44910</v>
      </c>
      <c r="BM156" s="436">
        <f t="shared" si="17"/>
        <v>14.4</v>
      </c>
      <c r="BN156" s="436">
        <f t="shared" si="18"/>
        <v>1</v>
      </c>
      <c r="BO156" s="436">
        <f t="shared" si="19"/>
        <v>14.4</v>
      </c>
      <c r="BP156" s="436" t="e">
        <f t="shared" si="20"/>
        <v>#N/A</v>
      </c>
      <c r="BQ156" s="436" t="e">
        <f t="shared" si="23"/>
        <v>#N/A</v>
      </c>
      <c r="BR156" s="436" t="str">
        <f t="shared" si="21"/>
        <v/>
      </c>
      <c r="BS156" s="436" t="str">
        <f t="shared" si="22"/>
        <v/>
      </c>
      <c r="BT156" s="441"/>
      <c r="BU156" s="18"/>
      <c r="BV156" s="18"/>
      <c r="BW156" s="18"/>
      <c r="BX156" s="17"/>
      <c r="BY156" s="17"/>
      <c r="BZ156" s="18"/>
    </row>
    <row r="157" spans="1:78" x14ac:dyDescent="0.3">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434">
        <v>44914</v>
      </c>
      <c r="AW157" s="421">
        <v>1426</v>
      </c>
      <c r="AX157" s="18"/>
      <c r="AY157" s="434">
        <v>44914</v>
      </c>
      <c r="AZ157" s="421">
        <v>20521.419999999998</v>
      </c>
      <c r="BA157" s="18"/>
      <c r="BB157" s="18"/>
      <c r="BC157" s="18"/>
      <c r="BD157" s="434"/>
      <c r="BE157" s="421"/>
      <c r="BF157" s="18"/>
      <c r="BG157" s="18"/>
      <c r="BH157" s="18"/>
      <c r="BI157" s="18"/>
      <c r="BJ157" s="18"/>
      <c r="BK157" s="18"/>
      <c r="BL157" s="435">
        <f t="shared" si="16"/>
        <v>44914</v>
      </c>
      <c r="BM157" s="436">
        <f t="shared" si="17"/>
        <v>14.26</v>
      </c>
      <c r="BN157" s="436">
        <f t="shared" si="18"/>
        <v>1</v>
      </c>
      <c r="BO157" s="436">
        <f t="shared" si="19"/>
        <v>14.26</v>
      </c>
      <c r="BP157" s="436" t="e">
        <f t="shared" si="20"/>
        <v>#N/A</v>
      </c>
      <c r="BQ157" s="436" t="e">
        <f t="shared" si="23"/>
        <v>#N/A</v>
      </c>
      <c r="BR157" s="436" t="str">
        <f t="shared" si="21"/>
        <v/>
      </c>
      <c r="BS157" s="436" t="str">
        <f t="shared" si="22"/>
        <v/>
      </c>
      <c r="BT157" s="441"/>
      <c r="BU157" s="18"/>
      <c r="BV157" s="18"/>
      <c r="BW157" s="18"/>
      <c r="BX157" s="17"/>
      <c r="BY157" s="17"/>
      <c r="BZ157" s="18"/>
    </row>
    <row r="158" spans="1:78" x14ac:dyDescent="0.3">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434">
        <v>44915</v>
      </c>
      <c r="AW158" s="421">
        <v>1455</v>
      </c>
      <c r="AX158" s="18"/>
      <c r="AY158" s="434">
        <v>44915</v>
      </c>
      <c r="AZ158" s="421">
        <v>20938.759999999998</v>
      </c>
      <c r="BA158" s="18"/>
      <c r="BB158" s="18"/>
      <c r="BC158" s="18"/>
      <c r="BD158" s="434"/>
      <c r="BE158" s="421"/>
      <c r="BF158" s="18"/>
      <c r="BG158" s="18"/>
      <c r="BH158" s="18"/>
      <c r="BI158" s="18"/>
      <c r="BJ158" s="18"/>
      <c r="BK158" s="18"/>
      <c r="BL158" s="435">
        <f t="shared" si="16"/>
        <v>44915</v>
      </c>
      <c r="BM158" s="436">
        <f t="shared" si="17"/>
        <v>14.55</v>
      </c>
      <c r="BN158" s="436">
        <f t="shared" si="18"/>
        <v>1</v>
      </c>
      <c r="BO158" s="436">
        <f t="shared" si="19"/>
        <v>14.55</v>
      </c>
      <c r="BP158" s="436" t="e">
        <f t="shared" si="20"/>
        <v>#N/A</v>
      </c>
      <c r="BQ158" s="436" t="e">
        <f t="shared" si="23"/>
        <v>#N/A</v>
      </c>
      <c r="BR158" s="436" t="str">
        <f t="shared" si="21"/>
        <v/>
      </c>
      <c r="BS158" s="436" t="str">
        <f t="shared" si="22"/>
        <v/>
      </c>
      <c r="BT158" s="441"/>
      <c r="BU158" s="18"/>
      <c r="BV158" s="18"/>
      <c r="BW158" s="18"/>
      <c r="BX158" s="17"/>
      <c r="BY158" s="17"/>
      <c r="BZ158" s="18"/>
    </row>
    <row r="159" spans="1:78" x14ac:dyDescent="0.3">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434">
        <v>44916</v>
      </c>
      <c r="AW159" s="421">
        <v>1453</v>
      </c>
      <c r="AX159" s="18"/>
      <c r="AY159" s="434">
        <v>44916</v>
      </c>
      <c r="AZ159" s="421">
        <v>20909.98</v>
      </c>
      <c r="BA159" s="18"/>
      <c r="BB159" s="18"/>
      <c r="BC159" s="18"/>
      <c r="BD159" s="434"/>
      <c r="BE159" s="421"/>
      <c r="BF159" s="18"/>
      <c r="BG159" s="18"/>
      <c r="BH159" s="18"/>
      <c r="BI159" s="18"/>
      <c r="BJ159" s="18"/>
      <c r="BK159" s="18"/>
      <c r="BL159" s="435">
        <f t="shared" si="16"/>
        <v>44916</v>
      </c>
      <c r="BM159" s="436">
        <f t="shared" si="17"/>
        <v>14.530000000000001</v>
      </c>
      <c r="BN159" s="436">
        <f t="shared" si="18"/>
        <v>1</v>
      </c>
      <c r="BO159" s="436">
        <f t="shared" si="19"/>
        <v>14.530000000000001</v>
      </c>
      <c r="BP159" s="436" t="e">
        <f t="shared" si="20"/>
        <v>#N/A</v>
      </c>
      <c r="BQ159" s="436" t="e">
        <f t="shared" si="23"/>
        <v>#N/A</v>
      </c>
      <c r="BR159" s="436" t="str">
        <f t="shared" si="21"/>
        <v/>
      </c>
      <c r="BS159" s="436" t="str">
        <f t="shared" si="22"/>
        <v/>
      </c>
      <c r="BT159" s="441"/>
      <c r="BU159" s="18"/>
      <c r="BV159" s="18"/>
      <c r="BW159" s="18"/>
      <c r="BX159" s="17"/>
      <c r="BY159" s="17"/>
      <c r="BZ159" s="18"/>
    </row>
    <row r="160" spans="1:78" x14ac:dyDescent="0.3">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434">
        <v>44917</v>
      </c>
      <c r="AW160" s="421">
        <v>1469</v>
      </c>
      <c r="AX160" s="18"/>
      <c r="AY160" s="434">
        <v>44917</v>
      </c>
      <c r="AZ160" s="421">
        <v>21140.23</v>
      </c>
      <c r="BA160" s="18"/>
      <c r="BB160" s="18"/>
      <c r="BC160" s="18"/>
      <c r="BD160" s="434"/>
      <c r="BE160" s="421"/>
      <c r="BF160" s="18"/>
      <c r="BG160" s="18"/>
      <c r="BH160" s="18"/>
      <c r="BI160" s="18"/>
      <c r="BJ160" s="18"/>
      <c r="BK160" s="18"/>
      <c r="BL160" s="435">
        <f t="shared" si="16"/>
        <v>44917</v>
      </c>
      <c r="BM160" s="436">
        <f t="shared" si="17"/>
        <v>14.69</v>
      </c>
      <c r="BN160" s="436">
        <f t="shared" si="18"/>
        <v>1</v>
      </c>
      <c r="BO160" s="436">
        <f t="shared" si="19"/>
        <v>14.69</v>
      </c>
      <c r="BP160" s="436" t="e">
        <f t="shared" si="20"/>
        <v>#N/A</v>
      </c>
      <c r="BQ160" s="436" t="e">
        <f t="shared" si="23"/>
        <v>#N/A</v>
      </c>
      <c r="BR160" s="436" t="str">
        <f t="shared" si="21"/>
        <v/>
      </c>
      <c r="BS160" s="436" t="str">
        <f t="shared" si="22"/>
        <v/>
      </c>
      <c r="BT160" s="441"/>
      <c r="BU160" s="18"/>
      <c r="BV160" s="18"/>
      <c r="BW160" s="18"/>
      <c r="BX160" s="17"/>
      <c r="BY160" s="17"/>
      <c r="BZ160" s="18"/>
    </row>
    <row r="161" spans="1:78" x14ac:dyDescent="0.3">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434">
        <v>44918</v>
      </c>
      <c r="AW161" s="421">
        <v>1485</v>
      </c>
      <c r="AX161" s="18"/>
      <c r="AY161" s="434">
        <v>44918</v>
      </c>
      <c r="AZ161" s="421">
        <v>21370.49</v>
      </c>
      <c r="BA161" s="18"/>
      <c r="BB161" s="18"/>
      <c r="BC161" s="18"/>
      <c r="BD161" s="434"/>
      <c r="BE161" s="421"/>
      <c r="BF161" s="18"/>
      <c r="BG161" s="18"/>
      <c r="BH161" s="18"/>
      <c r="BI161" s="18"/>
      <c r="BJ161" s="18"/>
      <c r="BK161" s="18"/>
      <c r="BL161" s="435">
        <f t="shared" si="16"/>
        <v>44918</v>
      </c>
      <c r="BM161" s="436">
        <f t="shared" si="17"/>
        <v>14.85</v>
      </c>
      <c r="BN161" s="436">
        <f t="shared" si="18"/>
        <v>1</v>
      </c>
      <c r="BO161" s="436">
        <f t="shared" si="19"/>
        <v>14.85</v>
      </c>
      <c r="BP161" s="436" t="e">
        <f t="shared" si="20"/>
        <v>#N/A</v>
      </c>
      <c r="BQ161" s="436" t="e">
        <f t="shared" si="23"/>
        <v>#N/A</v>
      </c>
      <c r="BR161" s="436" t="str">
        <f t="shared" si="21"/>
        <v/>
      </c>
      <c r="BS161" s="436" t="str">
        <f t="shared" si="22"/>
        <v/>
      </c>
      <c r="BT161" s="441"/>
      <c r="BU161" s="18"/>
      <c r="BV161" s="18"/>
      <c r="BW161" s="18"/>
      <c r="BX161" s="17"/>
      <c r="BY161" s="17"/>
      <c r="BZ161" s="18"/>
    </row>
    <row r="162" spans="1:78" x14ac:dyDescent="0.3">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434">
        <v>44923</v>
      </c>
      <c r="AW162" s="421">
        <v>1468</v>
      </c>
      <c r="AX162" s="18"/>
      <c r="AY162" s="434">
        <v>44923</v>
      </c>
      <c r="AZ162" s="421">
        <v>21125.84</v>
      </c>
      <c r="BA162" s="18"/>
      <c r="BB162" s="18"/>
      <c r="BC162" s="18"/>
      <c r="BD162" s="434"/>
      <c r="BE162" s="421"/>
      <c r="BF162" s="18"/>
      <c r="BG162" s="18"/>
      <c r="BH162" s="18"/>
      <c r="BI162" s="18"/>
      <c r="BJ162" s="18"/>
      <c r="BK162" s="18"/>
      <c r="BL162" s="435">
        <f t="shared" si="16"/>
        <v>44923</v>
      </c>
      <c r="BM162" s="436">
        <f t="shared" si="17"/>
        <v>14.68</v>
      </c>
      <c r="BN162" s="436">
        <f t="shared" si="18"/>
        <v>1</v>
      </c>
      <c r="BO162" s="436">
        <f t="shared" si="19"/>
        <v>14.68</v>
      </c>
      <c r="BP162" s="436" t="e">
        <f t="shared" si="20"/>
        <v>#N/A</v>
      </c>
      <c r="BQ162" s="436" t="e">
        <f t="shared" si="23"/>
        <v>#N/A</v>
      </c>
      <c r="BR162" s="436" t="str">
        <f t="shared" si="21"/>
        <v/>
      </c>
      <c r="BS162" s="436" t="str">
        <f t="shared" si="22"/>
        <v/>
      </c>
      <c r="BT162" s="441"/>
      <c r="BU162" s="18"/>
      <c r="BV162" s="18"/>
      <c r="BW162" s="18"/>
      <c r="BX162" s="17"/>
      <c r="BY162" s="17"/>
      <c r="BZ162" s="18"/>
    </row>
    <row r="163" spans="1:78" x14ac:dyDescent="0.3">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434">
        <v>44924</v>
      </c>
      <c r="AW163" s="421">
        <v>1464</v>
      </c>
      <c r="AX163" s="18"/>
      <c r="AY163" s="434">
        <v>44924</v>
      </c>
      <c r="AZ163" s="421">
        <v>21068.28</v>
      </c>
      <c r="BA163" s="18"/>
      <c r="BB163" s="18"/>
      <c r="BC163" s="18"/>
      <c r="BD163" s="434"/>
      <c r="BE163" s="421"/>
      <c r="BF163" s="18"/>
      <c r="BG163" s="18"/>
      <c r="BH163" s="18"/>
      <c r="BI163" s="18"/>
      <c r="BJ163" s="18"/>
      <c r="BK163" s="18"/>
      <c r="BL163" s="435">
        <f t="shared" si="16"/>
        <v>44924</v>
      </c>
      <c r="BM163" s="436">
        <f t="shared" si="17"/>
        <v>14.64</v>
      </c>
      <c r="BN163" s="436">
        <f t="shared" si="18"/>
        <v>1</v>
      </c>
      <c r="BO163" s="436">
        <f t="shared" si="19"/>
        <v>14.64</v>
      </c>
      <c r="BP163" s="436" t="e">
        <f t="shared" si="20"/>
        <v>#N/A</v>
      </c>
      <c r="BQ163" s="436" t="e">
        <f t="shared" si="23"/>
        <v>#N/A</v>
      </c>
      <c r="BR163" s="436" t="str">
        <f t="shared" si="21"/>
        <v/>
      </c>
      <c r="BS163" s="436" t="str">
        <f t="shared" si="22"/>
        <v/>
      </c>
      <c r="BT163" s="441"/>
      <c r="BU163" s="18"/>
      <c r="BV163" s="18"/>
      <c r="BW163" s="18"/>
      <c r="BX163" s="17"/>
      <c r="BY163" s="17"/>
      <c r="BZ163" s="18"/>
    </row>
    <row r="164" spans="1:78" x14ac:dyDescent="0.3">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434">
        <v>44925</v>
      </c>
      <c r="AW164" s="421">
        <v>1450</v>
      </c>
      <c r="AX164" s="18"/>
      <c r="AY164" s="434">
        <v>44925</v>
      </c>
      <c r="AZ164" s="421">
        <v>20866.810000000001</v>
      </c>
      <c r="BA164" s="18"/>
      <c r="BB164" s="18"/>
      <c r="BC164" s="18"/>
      <c r="BD164" s="434"/>
      <c r="BE164" s="421"/>
      <c r="BF164" s="18"/>
      <c r="BG164" s="18"/>
      <c r="BH164" s="18"/>
      <c r="BI164" s="18"/>
      <c r="BJ164" s="18"/>
      <c r="BK164" s="18"/>
      <c r="BL164" s="435">
        <f t="shared" si="16"/>
        <v>44925</v>
      </c>
      <c r="BM164" s="436">
        <f t="shared" si="17"/>
        <v>14.5</v>
      </c>
      <c r="BN164" s="436">
        <f t="shared" si="18"/>
        <v>1</v>
      </c>
      <c r="BO164" s="436">
        <f t="shared" si="19"/>
        <v>14.5</v>
      </c>
      <c r="BP164" s="436" t="e">
        <f t="shared" si="20"/>
        <v>#N/A</v>
      </c>
      <c r="BQ164" s="436" t="e">
        <f t="shared" si="23"/>
        <v>#N/A</v>
      </c>
      <c r="BR164" s="436" t="str">
        <f t="shared" si="21"/>
        <v/>
      </c>
      <c r="BS164" s="436" t="str">
        <f t="shared" si="22"/>
        <v/>
      </c>
      <c r="BT164" s="441"/>
      <c r="BU164" s="18"/>
      <c r="BV164" s="18"/>
      <c r="BW164" s="18"/>
      <c r="BX164" s="17"/>
      <c r="BY164" s="17"/>
      <c r="BZ164" s="18"/>
    </row>
    <row r="165" spans="1:78" x14ac:dyDescent="0.3">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434">
        <v>44929</v>
      </c>
      <c r="AW165" s="421">
        <v>1456</v>
      </c>
      <c r="AX165" s="18"/>
      <c r="AY165" s="434">
        <v>44929</v>
      </c>
      <c r="AZ165" s="421">
        <v>20953.150000000001</v>
      </c>
      <c r="BA165" s="18"/>
      <c r="BB165" s="18"/>
      <c r="BC165" s="18"/>
      <c r="BD165" s="434"/>
      <c r="BE165" s="421"/>
      <c r="BF165" s="18"/>
      <c r="BG165" s="18"/>
      <c r="BH165" s="18"/>
      <c r="BI165" s="18"/>
      <c r="BJ165" s="18"/>
      <c r="BK165" s="18"/>
      <c r="BL165" s="435">
        <f t="shared" si="16"/>
        <v>44929</v>
      </c>
      <c r="BM165" s="436">
        <f t="shared" si="17"/>
        <v>14.56</v>
      </c>
      <c r="BN165" s="436">
        <f t="shared" si="18"/>
        <v>1</v>
      </c>
      <c r="BO165" s="436">
        <f t="shared" si="19"/>
        <v>14.56</v>
      </c>
      <c r="BP165" s="436" t="e">
        <f t="shared" si="20"/>
        <v>#N/A</v>
      </c>
      <c r="BQ165" s="436" t="e">
        <f t="shared" si="23"/>
        <v>#N/A</v>
      </c>
      <c r="BR165" s="436" t="str">
        <f t="shared" si="21"/>
        <v/>
      </c>
      <c r="BS165" s="436" t="str">
        <f t="shared" si="22"/>
        <v/>
      </c>
      <c r="BT165" s="441"/>
      <c r="BU165" s="18"/>
      <c r="BV165" s="18"/>
      <c r="BW165" s="18"/>
      <c r="BX165" s="17"/>
      <c r="BY165" s="17"/>
      <c r="BZ165" s="18"/>
    </row>
    <row r="166" spans="1:78" x14ac:dyDescent="0.3">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434">
        <v>44930</v>
      </c>
      <c r="AW166" s="421">
        <v>1472</v>
      </c>
      <c r="AX166" s="18"/>
      <c r="AY166" s="434">
        <v>44930</v>
      </c>
      <c r="AZ166" s="421">
        <v>21183.4</v>
      </c>
      <c r="BA166" s="18"/>
      <c r="BB166" s="18"/>
      <c r="BC166" s="18"/>
      <c r="BD166" s="434"/>
      <c r="BE166" s="421"/>
      <c r="BF166" s="18"/>
      <c r="BG166" s="18"/>
      <c r="BH166" s="18"/>
      <c r="BI166" s="18"/>
      <c r="BJ166" s="18"/>
      <c r="BK166" s="18"/>
      <c r="BL166" s="435">
        <f t="shared" si="16"/>
        <v>44930</v>
      </c>
      <c r="BM166" s="436">
        <f t="shared" si="17"/>
        <v>14.72</v>
      </c>
      <c r="BN166" s="436">
        <f t="shared" si="18"/>
        <v>1</v>
      </c>
      <c r="BO166" s="436">
        <f t="shared" si="19"/>
        <v>14.72</v>
      </c>
      <c r="BP166" s="436" t="e">
        <f t="shared" si="20"/>
        <v>#N/A</v>
      </c>
      <c r="BQ166" s="436" t="e">
        <f t="shared" si="23"/>
        <v>#N/A</v>
      </c>
      <c r="BR166" s="436" t="str">
        <f t="shared" si="21"/>
        <v/>
      </c>
      <c r="BS166" s="436" t="str">
        <f t="shared" si="22"/>
        <v/>
      </c>
      <c r="BT166" s="441"/>
      <c r="BU166" s="18"/>
      <c r="BV166" s="18"/>
      <c r="BW166" s="18"/>
      <c r="BX166" s="17"/>
      <c r="BY166" s="17"/>
      <c r="BZ166" s="18"/>
    </row>
    <row r="167" spans="1:78" x14ac:dyDescent="0.3">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434">
        <v>44931</v>
      </c>
      <c r="AW167" s="421">
        <v>1474</v>
      </c>
      <c r="AX167" s="18"/>
      <c r="AY167" s="434">
        <v>44931</v>
      </c>
      <c r="AZ167" s="421">
        <v>21212.19</v>
      </c>
      <c r="BA167" s="18"/>
      <c r="BB167" s="18"/>
      <c r="BC167" s="18"/>
      <c r="BD167" s="434"/>
      <c r="BE167" s="421"/>
      <c r="BF167" s="18"/>
      <c r="BG167" s="18"/>
      <c r="BH167" s="18"/>
      <c r="BI167" s="18"/>
      <c r="BJ167" s="18"/>
      <c r="BK167" s="18"/>
      <c r="BL167" s="435">
        <f t="shared" si="16"/>
        <v>44931</v>
      </c>
      <c r="BM167" s="436">
        <f t="shared" si="17"/>
        <v>14.74</v>
      </c>
      <c r="BN167" s="436">
        <f t="shared" si="18"/>
        <v>1</v>
      </c>
      <c r="BO167" s="436">
        <f t="shared" si="19"/>
        <v>14.74</v>
      </c>
      <c r="BP167" s="436" t="e">
        <f t="shared" si="20"/>
        <v>#N/A</v>
      </c>
      <c r="BQ167" s="436" t="e">
        <f t="shared" si="23"/>
        <v>#N/A</v>
      </c>
      <c r="BR167" s="436" t="str">
        <f t="shared" si="21"/>
        <v/>
      </c>
      <c r="BS167" s="436" t="str">
        <f t="shared" si="22"/>
        <v/>
      </c>
      <c r="BT167" s="441"/>
      <c r="BU167" s="18"/>
      <c r="BV167" s="18"/>
      <c r="BW167" s="18"/>
      <c r="BX167" s="17"/>
      <c r="BY167" s="17"/>
      <c r="BZ167" s="18"/>
    </row>
    <row r="168" spans="1:78" x14ac:dyDescent="0.3">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434">
        <v>44932</v>
      </c>
      <c r="AW168" s="421">
        <v>1485</v>
      </c>
      <c r="AX168" s="18"/>
      <c r="AY168" s="434">
        <v>44932</v>
      </c>
      <c r="AZ168" s="421">
        <v>21370.49</v>
      </c>
      <c r="BA168" s="18"/>
      <c r="BB168" s="18"/>
      <c r="BC168" s="18"/>
      <c r="BD168" s="434"/>
      <c r="BE168" s="421"/>
      <c r="BF168" s="18"/>
      <c r="BG168" s="18"/>
      <c r="BH168" s="18"/>
      <c r="BI168" s="18"/>
      <c r="BJ168" s="18"/>
      <c r="BK168" s="18"/>
      <c r="BL168" s="435">
        <f t="shared" si="16"/>
        <v>44932</v>
      </c>
      <c r="BM168" s="436">
        <f t="shared" si="17"/>
        <v>14.85</v>
      </c>
      <c r="BN168" s="436">
        <f t="shared" si="18"/>
        <v>1</v>
      </c>
      <c r="BO168" s="436">
        <f t="shared" si="19"/>
        <v>14.85</v>
      </c>
      <c r="BP168" s="436" t="e">
        <f t="shared" si="20"/>
        <v>#N/A</v>
      </c>
      <c r="BQ168" s="436" t="e">
        <f t="shared" si="23"/>
        <v>#N/A</v>
      </c>
      <c r="BR168" s="436" t="str">
        <f t="shared" si="21"/>
        <v/>
      </c>
      <c r="BS168" s="436" t="str">
        <f t="shared" si="22"/>
        <v/>
      </c>
      <c r="BT168" s="441"/>
      <c r="BU168" s="18"/>
      <c r="BV168" s="18"/>
      <c r="BW168" s="18"/>
      <c r="BX168" s="17"/>
      <c r="BY168" s="17"/>
      <c r="BZ168" s="18"/>
    </row>
    <row r="169" spans="1:78" x14ac:dyDescent="0.3">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434">
        <v>44935</v>
      </c>
      <c r="AW169" s="421">
        <v>1538</v>
      </c>
      <c r="AX169" s="18"/>
      <c r="AY169" s="434">
        <v>44935</v>
      </c>
      <c r="AZ169" s="421">
        <v>22133.200000000001</v>
      </c>
      <c r="BA169" s="18"/>
      <c r="BB169" s="18"/>
      <c r="BC169" s="18"/>
      <c r="BD169" s="434"/>
      <c r="BE169" s="421"/>
      <c r="BF169" s="18"/>
      <c r="BG169" s="18"/>
      <c r="BH169" s="18"/>
      <c r="BI169" s="18"/>
      <c r="BJ169" s="18"/>
      <c r="BK169" s="18"/>
      <c r="BL169" s="435">
        <f t="shared" si="16"/>
        <v>44935</v>
      </c>
      <c r="BM169" s="436">
        <f t="shared" si="17"/>
        <v>15.38</v>
      </c>
      <c r="BN169" s="436">
        <f t="shared" si="18"/>
        <v>1</v>
      </c>
      <c r="BO169" s="436">
        <f t="shared" si="19"/>
        <v>15.38</v>
      </c>
      <c r="BP169" s="436" t="e">
        <f t="shared" si="20"/>
        <v>#N/A</v>
      </c>
      <c r="BQ169" s="436" t="e">
        <f t="shared" si="23"/>
        <v>#N/A</v>
      </c>
      <c r="BR169" s="436" t="str">
        <f t="shared" si="21"/>
        <v/>
      </c>
      <c r="BS169" s="436" t="str">
        <f t="shared" si="22"/>
        <v/>
      </c>
      <c r="BT169" s="441"/>
      <c r="BU169" s="18"/>
      <c r="BV169" s="18"/>
      <c r="BW169" s="18"/>
      <c r="BX169" s="17"/>
      <c r="BY169" s="17"/>
      <c r="BZ169" s="18"/>
    </row>
    <row r="170" spans="1:78" x14ac:dyDescent="0.3">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434">
        <v>44936</v>
      </c>
      <c r="AW170" s="421">
        <v>1544</v>
      </c>
      <c r="AX170" s="18"/>
      <c r="AY170" s="434">
        <v>44936</v>
      </c>
      <c r="AZ170" s="421">
        <v>22219.55</v>
      </c>
      <c r="BA170" s="18"/>
      <c r="BB170" s="18"/>
      <c r="BC170" s="18"/>
      <c r="BD170" s="434"/>
      <c r="BE170" s="421"/>
      <c r="BF170" s="18"/>
      <c r="BG170" s="18"/>
      <c r="BH170" s="18"/>
      <c r="BI170" s="18"/>
      <c r="BJ170" s="18"/>
      <c r="BK170" s="18"/>
      <c r="BL170" s="435">
        <f t="shared" si="16"/>
        <v>44936</v>
      </c>
      <c r="BM170" s="436">
        <f t="shared" si="17"/>
        <v>15.44</v>
      </c>
      <c r="BN170" s="436">
        <f t="shared" si="18"/>
        <v>1</v>
      </c>
      <c r="BO170" s="436">
        <f t="shared" si="19"/>
        <v>15.44</v>
      </c>
      <c r="BP170" s="436" t="e">
        <f t="shared" si="20"/>
        <v>#N/A</v>
      </c>
      <c r="BQ170" s="436" t="e">
        <f t="shared" si="23"/>
        <v>#N/A</v>
      </c>
      <c r="BR170" s="436" t="str">
        <f t="shared" si="21"/>
        <v/>
      </c>
      <c r="BS170" s="436" t="str">
        <f t="shared" si="22"/>
        <v/>
      </c>
      <c r="BT170" s="441"/>
      <c r="BU170" s="18"/>
      <c r="BV170" s="18"/>
      <c r="BW170" s="18"/>
      <c r="BX170" s="17"/>
      <c r="BY170" s="17"/>
      <c r="BZ170" s="18"/>
    </row>
    <row r="171" spans="1:78" x14ac:dyDescent="0.3">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434">
        <v>44937</v>
      </c>
      <c r="AW171" s="421">
        <v>1529</v>
      </c>
      <c r="AX171" s="18"/>
      <c r="AY171" s="434">
        <v>44937</v>
      </c>
      <c r="AZ171" s="421">
        <v>22003.69</v>
      </c>
      <c r="BA171" s="18"/>
      <c r="BB171" s="18"/>
      <c r="BC171" s="18"/>
      <c r="BD171" s="434"/>
      <c r="BE171" s="421"/>
      <c r="BF171" s="18"/>
      <c r="BG171" s="18"/>
      <c r="BH171" s="18"/>
      <c r="BI171" s="18"/>
      <c r="BJ171" s="18"/>
      <c r="BK171" s="18"/>
      <c r="BL171" s="435">
        <f t="shared" si="16"/>
        <v>44937</v>
      </c>
      <c r="BM171" s="436">
        <f t="shared" si="17"/>
        <v>15.290000000000001</v>
      </c>
      <c r="BN171" s="436">
        <f t="shared" si="18"/>
        <v>1</v>
      </c>
      <c r="BO171" s="436">
        <f t="shared" si="19"/>
        <v>15.290000000000001</v>
      </c>
      <c r="BP171" s="436" t="e">
        <f t="shared" si="20"/>
        <v>#N/A</v>
      </c>
      <c r="BQ171" s="436" t="e">
        <f t="shared" si="23"/>
        <v>#N/A</v>
      </c>
      <c r="BR171" s="436" t="str">
        <f t="shared" si="21"/>
        <v/>
      </c>
      <c r="BS171" s="436" t="str">
        <f t="shared" si="22"/>
        <v/>
      </c>
      <c r="BT171" s="441"/>
      <c r="BU171" s="18"/>
      <c r="BV171" s="18"/>
      <c r="BW171" s="18"/>
      <c r="BX171" s="17"/>
      <c r="BY171" s="17"/>
      <c r="BZ171" s="18"/>
    </row>
    <row r="172" spans="1:78" x14ac:dyDescent="0.3">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434">
        <v>44938</v>
      </c>
      <c r="AW172" s="421">
        <v>1530</v>
      </c>
      <c r="AX172" s="18"/>
      <c r="AY172" s="434">
        <v>44938</v>
      </c>
      <c r="AZ172" s="421">
        <v>22018.080000000002</v>
      </c>
      <c r="BA172" s="18"/>
      <c r="BB172" s="18"/>
      <c r="BC172" s="18"/>
      <c r="BD172" s="434"/>
      <c r="BE172" s="421"/>
      <c r="BF172" s="18"/>
      <c r="BG172" s="18"/>
      <c r="BH172" s="18"/>
      <c r="BI172" s="18"/>
      <c r="BJ172" s="18"/>
      <c r="BK172" s="18"/>
      <c r="BL172" s="435">
        <f t="shared" si="16"/>
        <v>44938</v>
      </c>
      <c r="BM172" s="436">
        <f t="shared" si="17"/>
        <v>15.3</v>
      </c>
      <c r="BN172" s="436">
        <f t="shared" si="18"/>
        <v>1</v>
      </c>
      <c r="BO172" s="436">
        <f t="shared" si="19"/>
        <v>15.3</v>
      </c>
      <c r="BP172" s="436" t="e">
        <f t="shared" si="20"/>
        <v>#N/A</v>
      </c>
      <c r="BQ172" s="436" t="e">
        <f t="shared" si="23"/>
        <v>#N/A</v>
      </c>
      <c r="BR172" s="436" t="str">
        <f t="shared" si="21"/>
        <v/>
      </c>
      <c r="BS172" s="436" t="str">
        <f t="shared" si="22"/>
        <v/>
      </c>
      <c r="BT172" s="441"/>
      <c r="BU172" s="18"/>
      <c r="BV172" s="18"/>
      <c r="BW172" s="18"/>
      <c r="BX172" s="17"/>
      <c r="BY172" s="17"/>
      <c r="BZ172" s="18"/>
    </row>
    <row r="173" spans="1:78" x14ac:dyDescent="0.3">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434">
        <v>44939</v>
      </c>
      <c r="AW173" s="421">
        <v>1518</v>
      </c>
      <c r="AX173" s="18"/>
      <c r="AY173" s="434">
        <v>44939</v>
      </c>
      <c r="AZ173" s="421">
        <v>21845.39</v>
      </c>
      <c r="BA173" s="18"/>
      <c r="BB173" s="18"/>
      <c r="BC173" s="18"/>
      <c r="BD173" s="434"/>
      <c r="BE173" s="421"/>
      <c r="BF173" s="18"/>
      <c r="BG173" s="18"/>
      <c r="BH173" s="18"/>
      <c r="BI173" s="18"/>
      <c r="BJ173" s="18"/>
      <c r="BK173" s="18"/>
      <c r="BL173" s="435">
        <f t="shared" si="16"/>
        <v>44939</v>
      </c>
      <c r="BM173" s="436">
        <f t="shared" si="17"/>
        <v>15.18</v>
      </c>
      <c r="BN173" s="436">
        <f t="shared" si="18"/>
        <v>1</v>
      </c>
      <c r="BO173" s="436">
        <f t="shared" si="19"/>
        <v>15.18</v>
      </c>
      <c r="BP173" s="436" t="e">
        <f t="shared" si="20"/>
        <v>#N/A</v>
      </c>
      <c r="BQ173" s="436" t="e">
        <f t="shared" si="23"/>
        <v>#N/A</v>
      </c>
      <c r="BR173" s="436" t="str">
        <f t="shared" si="21"/>
        <v/>
      </c>
      <c r="BS173" s="436" t="str">
        <f t="shared" si="22"/>
        <v/>
      </c>
      <c r="BT173" s="441"/>
      <c r="BU173" s="18"/>
      <c r="BV173" s="18"/>
      <c r="BW173" s="18"/>
      <c r="BX173" s="17"/>
      <c r="BY173" s="17"/>
      <c r="BZ173" s="18"/>
    </row>
    <row r="174" spans="1:78" x14ac:dyDescent="0.3">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434">
        <v>44942</v>
      </c>
      <c r="AW174" s="421">
        <v>1521</v>
      </c>
      <c r="AX174" s="18"/>
      <c r="AY174" s="434">
        <v>44942</v>
      </c>
      <c r="AZ174" s="421">
        <v>21888.560000000001</v>
      </c>
      <c r="BA174" s="18"/>
      <c r="BB174" s="18"/>
      <c r="BC174" s="18"/>
      <c r="BD174" s="434"/>
      <c r="BE174" s="421"/>
      <c r="BF174" s="18"/>
      <c r="BG174" s="18"/>
      <c r="BH174" s="18"/>
      <c r="BI174" s="18"/>
      <c r="BJ174" s="18"/>
      <c r="BK174" s="18"/>
      <c r="BL174" s="435">
        <f t="shared" si="16"/>
        <v>44942</v>
      </c>
      <c r="BM174" s="436">
        <f t="shared" si="17"/>
        <v>15.21</v>
      </c>
      <c r="BN174" s="436">
        <f t="shared" si="18"/>
        <v>1</v>
      </c>
      <c r="BO174" s="436">
        <f t="shared" si="19"/>
        <v>15.21</v>
      </c>
      <c r="BP174" s="436" t="e">
        <f t="shared" si="20"/>
        <v>#N/A</v>
      </c>
      <c r="BQ174" s="436" t="e">
        <f t="shared" si="23"/>
        <v>#N/A</v>
      </c>
      <c r="BR174" s="436" t="str">
        <f t="shared" si="21"/>
        <v/>
      </c>
      <c r="BS174" s="436" t="str">
        <f t="shared" si="22"/>
        <v/>
      </c>
      <c r="BT174" s="441"/>
      <c r="BU174" s="18"/>
      <c r="BV174" s="18"/>
      <c r="BW174" s="18"/>
      <c r="BX174" s="17"/>
      <c r="BY174" s="17"/>
      <c r="BZ174" s="18"/>
    </row>
    <row r="175" spans="1:78" x14ac:dyDescent="0.3">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434">
        <v>44943</v>
      </c>
      <c r="AW175" s="421">
        <v>1518</v>
      </c>
      <c r="AX175" s="18"/>
      <c r="AY175" s="434">
        <v>44943</v>
      </c>
      <c r="AZ175" s="421">
        <v>21845.39</v>
      </c>
      <c r="BA175" s="18"/>
      <c r="BB175" s="18"/>
      <c r="BC175" s="18"/>
      <c r="BD175" s="434"/>
      <c r="BE175" s="421"/>
      <c r="BF175" s="18"/>
      <c r="BG175" s="18"/>
      <c r="BH175" s="18"/>
      <c r="BI175" s="18"/>
      <c r="BJ175" s="18"/>
      <c r="BK175" s="18"/>
      <c r="BL175" s="435">
        <f t="shared" si="16"/>
        <v>44943</v>
      </c>
      <c r="BM175" s="436">
        <f t="shared" si="17"/>
        <v>15.18</v>
      </c>
      <c r="BN175" s="436">
        <f t="shared" si="18"/>
        <v>1</v>
      </c>
      <c r="BO175" s="436">
        <f t="shared" si="19"/>
        <v>15.18</v>
      </c>
      <c r="BP175" s="436" t="e">
        <f t="shared" si="20"/>
        <v>#N/A</v>
      </c>
      <c r="BQ175" s="436" t="e">
        <f t="shared" si="23"/>
        <v>#N/A</v>
      </c>
      <c r="BR175" s="436" t="str">
        <f t="shared" si="21"/>
        <v/>
      </c>
      <c r="BS175" s="436" t="str">
        <f t="shared" si="22"/>
        <v/>
      </c>
      <c r="BT175" s="441"/>
      <c r="BU175" s="18"/>
      <c r="BV175" s="18"/>
      <c r="BW175" s="18"/>
      <c r="BX175" s="17"/>
      <c r="BY175" s="17"/>
      <c r="BZ175" s="18"/>
    </row>
    <row r="176" spans="1:78" x14ac:dyDescent="0.3">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434">
        <v>44944</v>
      </c>
      <c r="AW176" s="421">
        <v>1520</v>
      </c>
      <c r="AX176" s="18"/>
      <c r="AY176" s="434">
        <v>44944</v>
      </c>
      <c r="AZ176" s="421">
        <v>21874.17</v>
      </c>
      <c r="BA176" s="18"/>
      <c r="BB176" s="18"/>
      <c r="BC176" s="18"/>
      <c r="BD176" s="434"/>
      <c r="BE176" s="421"/>
      <c r="BF176" s="18"/>
      <c r="BG176" s="18"/>
      <c r="BH176" s="18"/>
      <c r="BI176" s="18"/>
      <c r="BJ176" s="18"/>
      <c r="BK176" s="18"/>
      <c r="BL176" s="435">
        <f t="shared" si="16"/>
        <v>44944</v>
      </c>
      <c r="BM176" s="436">
        <f t="shared" si="17"/>
        <v>15.200000000000001</v>
      </c>
      <c r="BN176" s="436">
        <f t="shared" si="18"/>
        <v>1</v>
      </c>
      <c r="BO176" s="436">
        <f t="shared" si="19"/>
        <v>15.200000000000001</v>
      </c>
      <c r="BP176" s="436" t="e">
        <f t="shared" si="20"/>
        <v>#N/A</v>
      </c>
      <c r="BQ176" s="436" t="e">
        <f t="shared" si="23"/>
        <v>#N/A</v>
      </c>
      <c r="BR176" s="436" t="str">
        <f t="shared" si="21"/>
        <v/>
      </c>
      <c r="BS176" s="436" t="str">
        <f t="shared" si="22"/>
        <v/>
      </c>
      <c r="BT176" s="441"/>
      <c r="BU176" s="18"/>
      <c r="BV176" s="18"/>
      <c r="BW176" s="18"/>
      <c r="BX176" s="17"/>
      <c r="BY176" s="17"/>
      <c r="BZ176" s="18"/>
    </row>
    <row r="177" spans="1:78" x14ac:dyDescent="0.3">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434">
        <v>44945</v>
      </c>
      <c r="AW177" s="421">
        <v>1515</v>
      </c>
      <c r="AX177" s="18"/>
      <c r="AY177" s="434">
        <v>44945</v>
      </c>
      <c r="AZ177" s="421">
        <v>21802.21</v>
      </c>
      <c r="BA177" s="18"/>
      <c r="BB177" s="18"/>
      <c r="BC177" s="18"/>
      <c r="BD177" s="434"/>
      <c r="BE177" s="421"/>
      <c r="BF177" s="18"/>
      <c r="BG177" s="18"/>
      <c r="BH177" s="18"/>
      <c r="BI177" s="18"/>
      <c r="BJ177" s="18"/>
      <c r="BK177" s="18"/>
      <c r="BL177" s="435">
        <f t="shared" si="16"/>
        <v>44945</v>
      </c>
      <c r="BM177" s="436">
        <f t="shared" si="17"/>
        <v>15.15</v>
      </c>
      <c r="BN177" s="436">
        <f t="shared" si="18"/>
        <v>1</v>
      </c>
      <c r="BO177" s="436">
        <f t="shared" si="19"/>
        <v>15.15</v>
      </c>
      <c r="BP177" s="436" t="e">
        <f t="shared" si="20"/>
        <v>#N/A</v>
      </c>
      <c r="BQ177" s="436" t="e">
        <f t="shared" si="23"/>
        <v>#N/A</v>
      </c>
      <c r="BR177" s="436" t="str">
        <f t="shared" si="21"/>
        <v/>
      </c>
      <c r="BS177" s="436" t="str">
        <f t="shared" si="22"/>
        <v/>
      </c>
      <c r="BT177" s="441"/>
      <c r="BU177" s="18"/>
      <c r="BV177" s="18"/>
      <c r="BW177" s="18"/>
      <c r="BX177" s="17"/>
      <c r="BY177" s="17"/>
      <c r="BZ177" s="18"/>
    </row>
    <row r="178" spans="1:78" x14ac:dyDescent="0.3">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434">
        <v>44946</v>
      </c>
      <c r="AW178" s="421">
        <v>1482</v>
      </c>
      <c r="AX178" s="18"/>
      <c r="AY178" s="434">
        <v>44946</v>
      </c>
      <c r="AZ178" s="421">
        <v>21327.31</v>
      </c>
      <c r="BA178" s="18"/>
      <c r="BB178" s="18"/>
      <c r="BC178" s="18"/>
      <c r="BD178" s="434"/>
      <c r="BE178" s="421"/>
      <c r="BF178" s="18"/>
      <c r="BG178" s="18"/>
      <c r="BH178" s="18"/>
      <c r="BI178" s="18"/>
      <c r="BJ178" s="18"/>
      <c r="BK178" s="18"/>
      <c r="BL178" s="435">
        <f t="shared" si="16"/>
        <v>44946</v>
      </c>
      <c r="BM178" s="436">
        <f t="shared" si="17"/>
        <v>14.82</v>
      </c>
      <c r="BN178" s="436">
        <f t="shared" si="18"/>
        <v>1</v>
      </c>
      <c r="BO178" s="436">
        <f t="shared" si="19"/>
        <v>14.82</v>
      </c>
      <c r="BP178" s="436" t="e">
        <f t="shared" si="20"/>
        <v>#N/A</v>
      </c>
      <c r="BQ178" s="436" t="e">
        <f t="shared" si="23"/>
        <v>#N/A</v>
      </c>
      <c r="BR178" s="436" t="str">
        <f t="shared" si="21"/>
        <v/>
      </c>
      <c r="BS178" s="436" t="str">
        <f t="shared" si="22"/>
        <v/>
      </c>
      <c r="BT178" s="441"/>
      <c r="BU178" s="18"/>
      <c r="BV178" s="18"/>
      <c r="BW178" s="18"/>
      <c r="BX178" s="17"/>
      <c r="BY178" s="17"/>
      <c r="BZ178" s="18"/>
    </row>
    <row r="179" spans="1:78" x14ac:dyDescent="0.3">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434">
        <v>44949</v>
      </c>
      <c r="AW179" s="421">
        <v>1480</v>
      </c>
      <c r="AX179" s="18"/>
      <c r="AY179" s="434">
        <v>44949</v>
      </c>
      <c r="AZ179" s="421">
        <v>21298.53</v>
      </c>
      <c r="BA179" s="18"/>
      <c r="BB179" s="18"/>
      <c r="BC179" s="18"/>
      <c r="BD179" s="434"/>
      <c r="BE179" s="421"/>
      <c r="BF179" s="18"/>
      <c r="BG179" s="18"/>
      <c r="BH179" s="18"/>
      <c r="BI179" s="18"/>
      <c r="BJ179" s="18"/>
      <c r="BK179" s="18"/>
      <c r="BL179" s="435">
        <f t="shared" si="16"/>
        <v>44949</v>
      </c>
      <c r="BM179" s="436">
        <f t="shared" si="17"/>
        <v>14.8</v>
      </c>
      <c r="BN179" s="436">
        <f t="shared" si="18"/>
        <v>1</v>
      </c>
      <c r="BO179" s="436">
        <f t="shared" si="19"/>
        <v>14.8</v>
      </c>
      <c r="BP179" s="436" t="e">
        <f t="shared" si="20"/>
        <v>#N/A</v>
      </c>
      <c r="BQ179" s="436" t="e">
        <f t="shared" si="23"/>
        <v>#N/A</v>
      </c>
      <c r="BR179" s="436" t="str">
        <f t="shared" si="21"/>
        <v/>
      </c>
      <c r="BS179" s="436" t="str">
        <f t="shared" si="22"/>
        <v/>
      </c>
      <c r="BT179" s="441"/>
      <c r="BU179" s="18"/>
      <c r="BV179" s="18"/>
      <c r="BW179" s="18"/>
      <c r="BX179" s="17"/>
      <c r="BY179" s="17"/>
      <c r="BZ179" s="18"/>
    </row>
    <row r="180" spans="1:78" x14ac:dyDescent="0.3">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434">
        <v>44950</v>
      </c>
      <c r="AW180" s="421">
        <v>1475</v>
      </c>
      <c r="AX180" s="18"/>
      <c r="AY180" s="434">
        <v>44950</v>
      </c>
      <c r="AZ180" s="421">
        <v>21226.58</v>
      </c>
      <c r="BA180" s="18"/>
      <c r="BB180" s="18"/>
      <c r="BC180" s="18"/>
      <c r="BD180" s="434"/>
      <c r="BE180" s="421"/>
      <c r="BF180" s="18"/>
      <c r="BG180" s="18"/>
      <c r="BH180" s="18"/>
      <c r="BI180" s="18"/>
      <c r="BJ180" s="18"/>
      <c r="BK180" s="18"/>
      <c r="BL180" s="435">
        <f t="shared" si="16"/>
        <v>44950</v>
      </c>
      <c r="BM180" s="436">
        <f t="shared" si="17"/>
        <v>14.75</v>
      </c>
      <c r="BN180" s="436">
        <f t="shared" si="18"/>
        <v>1</v>
      </c>
      <c r="BO180" s="436">
        <f t="shared" si="19"/>
        <v>14.75</v>
      </c>
      <c r="BP180" s="436" t="e">
        <f t="shared" si="20"/>
        <v>#N/A</v>
      </c>
      <c r="BQ180" s="436" t="e">
        <f t="shared" si="23"/>
        <v>#N/A</v>
      </c>
      <c r="BR180" s="436" t="str">
        <f t="shared" si="21"/>
        <v/>
      </c>
      <c r="BS180" s="436" t="str">
        <f t="shared" si="22"/>
        <v/>
      </c>
      <c r="BT180" s="441"/>
      <c r="BU180" s="18"/>
      <c r="BV180" s="18"/>
      <c r="BW180" s="18"/>
      <c r="BX180" s="17"/>
      <c r="BY180" s="17"/>
      <c r="BZ180" s="18"/>
    </row>
    <row r="181" spans="1:78" x14ac:dyDescent="0.3">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434">
        <v>44951</v>
      </c>
      <c r="AW181" s="421">
        <v>1423</v>
      </c>
      <c r="AX181" s="18"/>
      <c r="AY181" s="434">
        <v>44951</v>
      </c>
      <c r="AZ181" s="421">
        <v>20478.25</v>
      </c>
      <c r="BA181" s="18"/>
      <c r="BB181" s="18"/>
      <c r="BC181" s="18"/>
      <c r="BD181" s="434"/>
      <c r="BE181" s="421"/>
      <c r="BF181" s="18"/>
      <c r="BG181" s="18"/>
      <c r="BH181" s="18"/>
      <c r="BI181" s="18"/>
      <c r="BJ181" s="18"/>
      <c r="BK181" s="18"/>
      <c r="BL181" s="435">
        <f t="shared" si="16"/>
        <v>44951</v>
      </c>
      <c r="BM181" s="436">
        <f t="shared" si="17"/>
        <v>14.23</v>
      </c>
      <c r="BN181" s="436">
        <f t="shared" si="18"/>
        <v>1</v>
      </c>
      <c r="BO181" s="436">
        <f t="shared" si="19"/>
        <v>14.23</v>
      </c>
      <c r="BP181" s="436" t="e">
        <f t="shared" si="20"/>
        <v>#N/A</v>
      </c>
      <c r="BQ181" s="436" t="e">
        <f t="shared" si="23"/>
        <v>#N/A</v>
      </c>
      <c r="BR181" s="436" t="str">
        <f t="shared" si="21"/>
        <v/>
      </c>
      <c r="BS181" s="436" t="str">
        <f t="shared" si="22"/>
        <v/>
      </c>
      <c r="BT181" s="441"/>
      <c r="BU181" s="18"/>
      <c r="BV181" s="18"/>
      <c r="BW181" s="18"/>
      <c r="BX181" s="17"/>
      <c r="BY181" s="17"/>
      <c r="BZ181" s="18"/>
    </row>
    <row r="182" spans="1:78" x14ac:dyDescent="0.3">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434">
        <v>44952</v>
      </c>
      <c r="AW182" s="421">
        <v>1455</v>
      </c>
      <c r="AX182" s="18"/>
      <c r="AY182" s="434">
        <v>44952</v>
      </c>
      <c r="AZ182" s="421">
        <v>20938.759999999998</v>
      </c>
      <c r="BA182" s="18"/>
      <c r="BB182" s="18"/>
      <c r="BC182" s="18"/>
      <c r="BD182" s="434"/>
      <c r="BE182" s="421"/>
      <c r="BF182" s="18"/>
      <c r="BG182" s="18"/>
      <c r="BH182" s="18"/>
      <c r="BI182" s="18"/>
      <c r="BJ182" s="18"/>
      <c r="BK182" s="18"/>
      <c r="BL182" s="435">
        <f t="shared" si="16"/>
        <v>44952</v>
      </c>
      <c r="BM182" s="436">
        <f t="shared" si="17"/>
        <v>14.55</v>
      </c>
      <c r="BN182" s="436">
        <f t="shared" si="18"/>
        <v>1</v>
      </c>
      <c r="BO182" s="436">
        <f t="shared" si="19"/>
        <v>14.55</v>
      </c>
      <c r="BP182" s="436" t="e">
        <f t="shared" si="20"/>
        <v>#N/A</v>
      </c>
      <c r="BQ182" s="436" t="e">
        <f t="shared" si="23"/>
        <v>#N/A</v>
      </c>
      <c r="BR182" s="436" t="str">
        <f t="shared" si="21"/>
        <v/>
      </c>
      <c r="BS182" s="436" t="str">
        <f t="shared" si="22"/>
        <v/>
      </c>
      <c r="BT182" s="441"/>
      <c r="BU182" s="18"/>
      <c r="BV182" s="18"/>
      <c r="BW182" s="18"/>
      <c r="BX182" s="17"/>
      <c r="BY182" s="17"/>
      <c r="BZ182" s="18"/>
    </row>
    <row r="183" spans="1:78" x14ac:dyDescent="0.3">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434">
        <v>44953</v>
      </c>
      <c r="AW183" s="421">
        <v>1457</v>
      </c>
      <c r="AX183" s="18"/>
      <c r="AY183" s="434">
        <v>44953</v>
      </c>
      <c r="AZ183" s="421">
        <v>20967.54</v>
      </c>
      <c r="BA183" s="18"/>
      <c r="BB183" s="18"/>
      <c r="BC183" s="18"/>
      <c r="BD183" s="434"/>
      <c r="BE183" s="421"/>
      <c r="BF183" s="18"/>
      <c r="BG183" s="18"/>
      <c r="BH183" s="18"/>
      <c r="BI183" s="18"/>
      <c r="BJ183" s="18"/>
      <c r="BK183" s="18"/>
      <c r="BL183" s="435">
        <f t="shared" si="16"/>
        <v>44953</v>
      </c>
      <c r="BM183" s="436">
        <f t="shared" si="17"/>
        <v>14.57</v>
      </c>
      <c r="BN183" s="436">
        <f t="shared" si="18"/>
        <v>1</v>
      </c>
      <c r="BO183" s="436">
        <f t="shared" si="19"/>
        <v>14.57</v>
      </c>
      <c r="BP183" s="436" t="e">
        <f t="shared" si="20"/>
        <v>#N/A</v>
      </c>
      <c r="BQ183" s="436" t="e">
        <f t="shared" si="23"/>
        <v>#N/A</v>
      </c>
      <c r="BR183" s="436" t="str">
        <f t="shared" si="21"/>
        <v/>
      </c>
      <c r="BS183" s="436" t="str">
        <f t="shared" si="22"/>
        <v/>
      </c>
      <c r="BT183" s="441"/>
      <c r="BU183" s="18"/>
      <c r="BV183" s="18"/>
      <c r="BW183" s="18"/>
      <c r="BX183" s="17"/>
      <c r="BY183" s="17"/>
      <c r="BZ183" s="18"/>
    </row>
    <row r="184" spans="1:78" x14ac:dyDescent="0.3">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434">
        <v>44956</v>
      </c>
      <c r="AW184" s="421">
        <v>1446</v>
      </c>
      <c r="AX184" s="18"/>
      <c r="AY184" s="434">
        <v>44956</v>
      </c>
      <c r="AZ184" s="421">
        <v>20809.240000000002</v>
      </c>
      <c r="BA184" s="18"/>
      <c r="BB184" s="18"/>
      <c r="BC184" s="18"/>
      <c r="BD184" s="434"/>
      <c r="BE184" s="421"/>
      <c r="BF184" s="18"/>
      <c r="BG184" s="18"/>
      <c r="BH184" s="18"/>
      <c r="BI184" s="18"/>
      <c r="BJ184" s="18"/>
      <c r="BK184" s="18"/>
      <c r="BL184" s="435">
        <f t="shared" si="16"/>
        <v>44956</v>
      </c>
      <c r="BM184" s="436">
        <f t="shared" si="17"/>
        <v>14.46</v>
      </c>
      <c r="BN184" s="436">
        <f t="shared" si="18"/>
        <v>1</v>
      </c>
      <c r="BO184" s="436">
        <f t="shared" si="19"/>
        <v>14.46</v>
      </c>
      <c r="BP184" s="436" t="e">
        <f t="shared" si="20"/>
        <v>#N/A</v>
      </c>
      <c r="BQ184" s="436" t="e">
        <f t="shared" si="23"/>
        <v>#N/A</v>
      </c>
      <c r="BR184" s="436" t="str">
        <f t="shared" si="21"/>
        <v/>
      </c>
      <c r="BS184" s="436" t="str">
        <f t="shared" si="22"/>
        <v/>
      </c>
      <c r="BT184" s="441"/>
      <c r="BU184" s="18"/>
      <c r="BV184" s="18"/>
      <c r="BW184" s="18"/>
      <c r="BX184" s="17"/>
      <c r="BY184" s="17"/>
      <c r="BZ184" s="18"/>
    </row>
    <row r="185" spans="1:78" x14ac:dyDescent="0.3">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434">
        <v>44957</v>
      </c>
      <c r="AW185" s="421">
        <v>1429</v>
      </c>
      <c r="AX185" s="18"/>
      <c r="AY185" s="434">
        <v>44957</v>
      </c>
      <c r="AZ185" s="421">
        <v>20564.599999999999</v>
      </c>
      <c r="BA185" s="18"/>
      <c r="BB185" s="18"/>
      <c r="BC185" s="18"/>
      <c r="BD185" s="434"/>
      <c r="BE185" s="421"/>
      <c r="BF185" s="18"/>
      <c r="BG185" s="18"/>
      <c r="BH185" s="18"/>
      <c r="BI185" s="18"/>
      <c r="BJ185" s="18"/>
      <c r="BK185" s="18"/>
      <c r="BL185" s="435">
        <f t="shared" si="16"/>
        <v>44957</v>
      </c>
      <c r="BM185" s="436">
        <f t="shared" si="17"/>
        <v>14.290000000000001</v>
      </c>
      <c r="BN185" s="436">
        <f t="shared" si="18"/>
        <v>1</v>
      </c>
      <c r="BO185" s="436">
        <f t="shared" si="19"/>
        <v>14.290000000000001</v>
      </c>
      <c r="BP185" s="436" t="e">
        <f t="shared" si="20"/>
        <v>#N/A</v>
      </c>
      <c r="BQ185" s="436" t="e">
        <f t="shared" si="23"/>
        <v>#N/A</v>
      </c>
      <c r="BR185" s="436" t="str">
        <f t="shared" si="21"/>
        <v/>
      </c>
      <c r="BS185" s="436" t="str">
        <f t="shared" si="22"/>
        <v/>
      </c>
      <c r="BT185" s="441"/>
      <c r="BU185" s="18"/>
      <c r="BV185" s="18"/>
      <c r="BW185" s="18"/>
      <c r="BX185" s="17"/>
      <c r="BY185" s="17"/>
      <c r="BZ185" s="18"/>
    </row>
    <row r="186" spans="1:78" x14ac:dyDescent="0.3">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434">
        <v>44958</v>
      </c>
      <c r="AW186" s="421">
        <v>1439</v>
      </c>
      <c r="AX186" s="18"/>
      <c r="AY186" s="434">
        <v>44958</v>
      </c>
      <c r="AZ186" s="421">
        <v>20708.509999999998</v>
      </c>
      <c r="BA186" s="18"/>
      <c r="BB186" s="18"/>
      <c r="BC186" s="18"/>
      <c r="BD186" s="434"/>
      <c r="BE186" s="421"/>
      <c r="BF186" s="18"/>
      <c r="BG186" s="18"/>
      <c r="BH186" s="18"/>
      <c r="BI186" s="18"/>
      <c r="BJ186" s="18"/>
      <c r="BK186" s="18"/>
      <c r="BL186" s="435">
        <f t="shared" si="16"/>
        <v>44958</v>
      </c>
      <c r="BM186" s="436">
        <f t="shared" si="17"/>
        <v>14.39</v>
      </c>
      <c r="BN186" s="436">
        <f t="shared" si="18"/>
        <v>1</v>
      </c>
      <c r="BO186" s="436">
        <f t="shared" si="19"/>
        <v>14.39</v>
      </c>
      <c r="BP186" s="436" t="e">
        <f t="shared" si="20"/>
        <v>#N/A</v>
      </c>
      <c r="BQ186" s="436" t="e">
        <f t="shared" si="23"/>
        <v>#N/A</v>
      </c>
      <c r="BR186" s="436" t="str">
        <f t="shared" si="21"/>
        <v/>
      </c>
      <c r="BS186" s="436" t="str">
        <f t="shared" si="22"/>
        <v/>
      </c>
      <c r="BT186" s="441"/>
      <c r="BU186" s="18"/>
      <c r="BV186" s="18"/>
      <c r="BW186" s="18"/>
      <c r="BX186" s="17"/>
      <c r="BY186" s="17"/>
      <c r="BZ186" s="18"/>
    </row>
    <row r="187" spans="1:78" x14ac:dyDescent="0.3">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434">
        <v>44959</v>
      </c>
      <c r="AW187" s="421">
        <v>1455</v>
      </c>
      <c r="AX187" s="18"/>
      <c r="AY187" s="434">
        <v>44959</v>
      </c>
      <c r="AZ187" s="421">
        <v>20938.759999999998</v>
      </c>
      <c r="BA187" s="18"/>
      <c r="BB187" s="18"/>
      <c r="BC187" s="18"/>
      <c r="BD187" s="434"/>
      <c r="BE187" s="421"/>
      <c r="BF187" s="18"/>
      <c r="BG187" s="18"/>
      <c r="BH187" s="18"/>
      <c r="BI187" s="18"/>
      <c r="BJ187" s="18"/>
      <c r="BK187" s="18"/>
      <c r="BL187" s="435">
        <f t="shared" si="16"/>
        <v>44959</v>
      </c>
      <c r="BM187" s="436">
        <f t="shared" si="17"/>
        <v>14.55</v>
      </c>
      <c r="BN187" s="436">
        <f t="shared" si="18"/>
        <v>1</v>
      </c>
      <c r="BO187" s="436">
        <f t="shared" si="19"/>
        <v>14.55</v>
      </c>
      <c r="BP187" s="436" t="e">
        <f t="shared" si="20"/>
        <v>#N/A</v>
      </c>
      <c r="BQ187" s="436" t="e">
        <f t="shared" si="23"/>
        <v>#N/A</v>
      </c>
      <c r="BR187" s="436" t="str">
        <f t="shared" si="21"/>
        <v/>
      </c>
      <c r="BS187" s="436" t="str">
        <f t="shared" si="22"/>
        <v/>
      </c>
      <c r="BT187" s="441"/>
      <c r="BU187" s="18"/>
      <c r="BV187" s="18"/>
      <c r="BW187" s="18"/>
      <c r="BX187" s="17"/>
      <c r="BY187" s="17"/>
      <c r="BZ187" s="18"/>
    </row>
    <row r="188" spans="1:78" x14ac:dyDescent="0.3">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434">
        <v>44960</v>
      </c>
      <c r="AW188" s="421">
        <v>1417</v>
      </c>
      <c r="AX188" s="18"/>
      <c r="AY188" s="434">
        <v>44960</v>
      </c>
      <c r="AZ188" s="421">
        <v>20391.91</v>
      </c>
      <c r="BA188" s="18"/>
      <c r="BB188" s="18"/>
      <c r="BC188" s="18"/>
      <c r="BD188" s="434"/>
      <c r="BE188" s="421"/>
      <c r="BF188" s="18"/>
      <c r="BG188" s="18"/>
      <c r="BH188" s="18"/>
      <c r="BI188" s="18"/>
      <c r="BJ188" s="18"/>
      <c r="BK188" s="18"/>
      <c r="BL188" s="435">
        <f t="shared" si="16"/>
        <v>44960</v>
      </c>
      <c r="BM188" s="436">
        <f t="shared" si="17"/>
        <v>14.17</v>
      </c>
      <c r="BN188" s="436">
        <f t="shared" si="18"/>
        <v>1</v>
      </c>
      <c r="BO188" s="436">
        <f t="shared" si="19"/>
        <v>14.17</v>
      </c>
      <c r="BP188" s="436" t="e">
        <f t="shared" si="20"/>
        <v>#N/A</v>
      </c>
      <c r="BQ188" s="436" t="e">
        <f t="shared" si="23"/>
        <v>#N/A</v>
      </c>
      <c r="BR188" s="436" t="str">
        <f t="shared" si="21"/>
        <v/>
      </c>
      <c r="BS188" s="436" t="str">
        <f t="shared" si="22"/>
        <v/>
      </c>
      <c r="BT188" s="441"/>
      <c r="BU188" s="18"/>
      <c r="BV188" s="18"/>
      <c r="BW188" s="18"/>
      <c r="BX188" s="17"/>
      <c r="BY188" s="17"/>
      <c r="BZ188" s="18"/>
    </row>
    <row r="189" spans="1:78" x14ac:dyDescent="0.3">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434">
        <v>44963</v>
      </c>
      <c r="AW189" s="421">
        <v>1422</v>
      </c>
      <c r="AX189" s="18"/>
      <c r="AY189" s="434">
        <v>44963</v>
      </c>
      <c r="AZ189" s="421">
        <v>20463.86</v>
      </c>
      <c r="BA189" s="18"/>
      <c r="BB189" s="18"/>
      <c r="BC189" s="18"/>
      <c r="BD189" s="434"/>
      <c r="BE189" s="421"/>
      <c r="BF189" s="18"/>
      <c r="BG189" s="18"/>
      <c r="BH189" s="18"/>
      <c r="BI189" s="18"/>
      <c r="BJ189" s="18"/>
      <c r="BK189" s="18"/>
      <c r="BL189" s="435">
        <f t="shared" si="16"/>
        <v>44963</v>
      </c>
      <c r="BM189" s="436">
        <f t="shared" si="17"/>
        <v>14.22</v>
      </c>
      <c r="BN189" s="436">
        <f t="shared" si="18"/>
        <v>1</v>
      </c>
      <c r="BO189" s="436">
        <f t="shared" si="19"/>
        <v>14.22</v>
      </c>
      <c r="BP189" s="436" t="e">
        <f t="shared" si="20"/>
        <v>#N/A</v>
      </c>
      <c r="BQ189" s="436" t="e">
        <f t="shared" si="23"/>
        <v>#N/A</v>
      </c>
      <c r="BR189" s="436" t="str">
        <f t="shared" si="21"/>
        <v/>
      </c>
      <c r="BS189" s="436" t="str">
        <f t="shared" si="22"/>
        <v/>
      </c>
      <c r="BT189" s="441"/>
      <c r="BU189" s="18"/>
      <c r="BV189" s="18"/>
      <c r="BW189" s="18"/>
      <c r="BX189" s="17"/>
      <c r="BY189" s="17"/>
      <c r="BZ189" s="18"/>
    </row>
    <row r="190" spans="1:78" x14ac:dyDescent="0.3">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434">
        <v>44964</v>
      </c>
      <c r="AW190" s="421">
        <v>1417</v>
      </c>
      <c r="AX190" s="18"/>
      <c r="AY190" s="434">
        <v>44964</v>
      </c>
      <c r="AZ190" s="421">
        <v>20391.91</v>
      </c>
      <c r="BA190" s="18"/>
      <c r="BB190" s="18"/>
      <c r="BC190" s="18"/>
      <c r="BD190" s="434"/>
      <c r="BE190" s="421"/>
      <c r="BF190" s="18"/>
      <c r="BG190" s="18"/>
      <c r="BH190" s="18"/>
      <c r="BI190" s="18"/>
      <c r="BJ190" s="18"/>
      <c r="BK190" s="18"/>
      <c r="BL190" s="435">
        <f t="shared" si="16"/>
        <v>44964</v>
      </c>
      <c r="BM190" s="436">
        <f t="shared" si="17"/>
        <v>14.17</v>
      </c>
      <c r="BN190" s="436">
        <f t="shared" si="18"/>
        <v>1</v>
      </c>
      <c r="BO190" s="436">
        <f t="shared" si="19"/>
        <v>14.17</v>
      </c>
      <c r="BP190" s="436" t="e">
        <f t="shared" si="20"/>
        <v>#N/A</v>
      </c>
      <c r="BQ190" s="436" t="e">
        <f t="shared" si="23"/>
        <v>#N/A</v>
      </c>
      <c r="BR190" s="436" t="str">
        <f t="shared" si="21"/>
        <v/>
      </c>
      <c r="BS190" s="436" t="str">
        <f t="shared" si="22"/>
        <v/>
      </c>
      <c r="BT190" s="441"/>
      <c r="BU190" s="18"/>
      <c r="BV190" s="18"/>
      <c r="BW190" s="18"/>
      <c r="BX190" s="17"/>
      <c r="BY190" s="17"/>
      <c r="BZ190" s="18"/>
    </row>
    <row r="191" spans="1:78" x14ac:dyDescent="0.3">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434">
        <v>44965</v>
      </c>
      <c r="AW191" s="421">
        <v>1374</v>
      </c>
      <c r="AX191" s="18"/>
      <c r="AY191" s="434">
        <v>44965</v>
      </c>
      <c r="AZ191" s="421">
        <v>19773.099999999999</v>
      </c>
      <c r="BA191" s="18"/>
      <c r="BB191" s="18"/>
      <c r="BC191" s="18"/>
      <c r="BD191" s="434"/>
      <c r="BE191" s="421"/>
      <c r="BF191" s="18"/>
      <c r="BG191" s="18"/>
      <c r="BH191" s="18"/>
      <c r="BI191" s="18"/>
      <c r="BJ191" s="18"/>
      <c r="BK191" s="18"/>
      <c r="BL191" s="435">
        <f t="shared" si="16"/>
        <v>44965</v>
      </c>
      <c r="BM191" s="436">
        <f t="shared" si="17"/>
        <v>13.74</v>
      </c>
      <c r="BN191" s="436">
        <f t="shared" si="18"/>
        <v>1</v>
      </c>
      <c r="BO191" s="436">
        <f t="shared" si="19"/>
        <v>13.74</v>
      </c>
      <c r="BP191" s="436" t="e">
        <f t="shared" si="20"/>
        <v>#N/A</v>
      </c>
      <c r="BQ191" s="436" t="e">
        <f t="shared" si="23"/>
        <v>#N/A</v>
      </c>
      <c r="BR191" s="436" t="str">
        <f t="shared" si="21"/>
        <v/>
      </c>
      <c r="BS191" s="436" t="str">
        <f t="shared" si="22"/>
        <v/>
      </c>
      <c r="BT191" s="441"/>
      <c r="BU191" s="18"/>
      <c r="BV191" s="18"/>
      <c r="BW191" s="18"/>
      <c r="BX191" s="17"/>
      <c r="BY191" s="17"/>
      <c r="BZ191" s="18"/>
    </row>
    <row r="192" spans="1:78" x14ac:dyDescent="0.3">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434">
        <v>44966</v>
      </c>
      <c r="AW192" s="421">
        <v>1374</v>
      </c>
      <c r="AX192" s="18"/>
      <c r="AY192" s="434">
        <v>44966</v>
      </c>
      <c r="AZ192" s="421">
        <v>19773.099999999999</v>
      </c>
      <c r="BA192" s="18"/>
      <c r="BB192" s="18"/>
      <c r="BC192" s="18"/>
      <c r="BD192" s="434"/>
      <c r="BE192" s="421"/>
      <c r="BF192" s="18"/>
      <c r="BG192" s="18"/>
      <c r="BH192" s="18"/>
      <c r="BI192" s="18"/>
      <c r="BJ192" s="18"/>
      <c r="BK192" s="18"/>
      <c r="BL192" s="435">
        <f t="shared" si="16"/>
        <v>44966</v>
      </c>
      <c r="BM192" s="436">
        <f t="shared" si="17"/>
        <v>13.74</v>
      </c>
      <c r="BN192" s="436">
        <f t="shared" si="18"/>
        <v>1</v>
      </c>
      <c r="BO192" s="436">
        <f t="shared" si="19"/>
        <v>13.74</v>
      </c>
      <c r="BP192" s="436" t="e">
        <f t="shared" si="20"/>
        <v>#N/A</v>
      </c>
      <c r="BQ192" s="436" t="e">
        <f t="shared" si="23"/>
        <v>#N/A</v>
      </c>
      <c r="BR192" s="436" t="str">
        <f t="shared" si="21"/>
        <v/>
      </c>
      <c r="BS192" s="436" t="str">
        <f t="shared" si="22"/>
        <v/>
      </c>
      <c r="BT192" s="441"/>
      <c r="BU192" s="18"/>
      <c r="BV192" s="18"/>
      <c r="BW192" s="18"/>
      <c r="BX192" s="17"/>
      <c r="BY192" s="17"/>
      <c r="BZ192" s="18"/>
    </row>
    <row r="193" spans="1:78" x14ac:dyDescent="0.3">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434">
        <v>44967</v>
      </c>
      <c r="AW193" s="421">
        <v>1375</v>
      </c>
      <c r="AX193" s="18"/>
      <c r="AY193" s="434">
        <v>44967</v>
      </c>
      <c r="AZ193" s="421">
        <v>19787.490000000002</v>
      </c>
      <c r="BA193" s="18"/>
      <c r="BB193" s="18"/>
      <c r="BC193" s="18"/>
      <c r="BD193" s="434"/>
      <c r="BE193" s="421"/>
      <c r="BF193" s="18"/>
      <c r="BG193" s="18"/>
      <c r="BH193" s="18"/>
      <c r="BI193" s="18"/>
      <c r="BJ193" s="18"/>
      <c r="BK193" s="18"/>
      <c r="BL193" s="435">
        <f t="shared" si="16"/>
        <v>44967</v>
      </c>
      <c r="BM193" s="436">
        <f t="shared" si="17"/>
        <v>13.75</v>
      </c>
      <c r="BN193" s="436">
        <f t="shared" si="18"/>
        <v>1</v>
      </c>
      <c r="BO193" s="436">
        <f t="shared" si="19"/>
        <v>13.75</v>
      </c>
      <c r="BP193" s="436" t="e">
        <f t="shared" si="20"/>
        <v>#N/A</v>
      </c>
      <c r="BQ193" s="436" t="e">
        <f t="shared" si="23"/>
        <v>#N/A</v>
      </c>
      <c r="BR193" s="436" t="str">
        <f t="shared" si="21"/>
        <v/>
      </c>
      <c r="BS193" s="436" t="str">
        <f t="shared" si="22"/>
        <v/>
      </c>
      <c r="BT193" s="441"/>
      <c r="BU193" s="18"/>
      <c r="BV193" s="18"/>
      <c r="BW193" s="18"/>
      <c r="BX193" s="17"/>
      <c r="BY193" s="17"/>
      <c r="BZ193" s="18"/>
    </row>
    <row r="194" spans="1:78" x14ac:dyDescent="0.3">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434">
        <v>44970</v>
      </c>
      <c r="AW194" s="421">
        <v>1400</v>
      </c>
      <c r="AX194" s="18"/>
      <c r="AY194" s="434">
        <v>44970</v>
      </c>
      <c r="AZ194" s="421">
        <v>20147.259999999998</v>
      </c>
      <c r="BA194" s="18"/>
      <c r="BB194" s="18"/>
      <c r="BC194" s="18"/>
      <c r="BD194" s="434"/>
      <c r="BE194" s="421"/>
      <c r="BF194" s="18"/>
      <c r="BG194" s="18"/>
      <c r="BH194" s="18"/>
      <c r="BI194" s="18"/>
      <c r="BJ194" s="18"/>
      <c r="BK194" s="18"/>
      <c r="BL194" s="435">
        <f t="shared" si="16"/>
        <v>44970</v>
      </c>
      <c r="BM194" s="436">
        <f t="shared" si="17"/>
        <v>14</v>
      </c>
      <c r="BN194" s="436">
        <f t="shared" si="18"/>
        <v>1</v>
      </c>
      <c r="BO194" s="436">
        <f t="shared" si="19"/>
        <v>14</v>
      </c>
      <c r="BP194" s="436" t="e">
        <f t="shared" si="20"/>
        <v>#N/A</v>
      </c>
      <c r="BQ194" s="436" t="e">
        <f t="shared" si="23"/>
        <v>#N/A</v>
      </c>
      <c r="BR194" s="436" t="str">
        <f t="shared" si="21"/>
        <v/>
      </c>
      <c r="BS194" s="436" t="str">
        <f t="shared" si="22"/>
        <v/>
      </c>
      <c r="BT194" s="441"/>
      <c r="BU194" s="18"/>
      <c r="BV194" s="18"/>
      <c r="BW194" s="18"/>
      <c r="BX194" s="17"/>
      <c r="BY194" s="17"/>
      <c r="BZ194" s="18"/>
    </row>
    <row r="195" spans="1:78" x14ac:dyDescent="0.3">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434">
        <v>44971</v>
      </c>
      <c r="AW195" s="421">
        <v>1406</v>
      </c>
      <c r="AX195" s="18"/>
      <c r="AY195" s="434">
        <v>44971</v>
      </c>
      <c r="AZ195" s="421">
        <v>20233.61</v>
      </c>
      <c r="BA195" s="18"/>
      <c r="BB195" s="18"/>
      <c r="BC195" s="18"/>
      <c r="BD195" s="434"/>
      <c r="BE195" s="421"/>
      <c r="BF195" s="18"/>
      <c r="BG195" s="18"/>
      <c r="BH195" s="18"/>
      <c r="BI195" s="18"/>
      <c r="BJ195" s="18"/>
      <c r="BK195" s="18"/>
      <c r="BL195" s="435">
        <f t="shared" si="16"/>
        <v>44971</v>
      </c>
      <c r="BM195" s="436">
        <f t="shared" si="17"/>
        <v>14.06</v>
      </c>
      <c r="BN195" s="436">
        <f t="shared" si="18"/>
        <v>1</v>
      </c>
      <c r="BO195" s="436">
        <f t="shared" si="19"/>
        <v>14.06</v>
      </c>
      <c r="BP195" s="436" t="e">
        <f t="shared" si="20"/>
        <v>#N/A</v>
      </c>
      <c r="BQ195" s="436" t="e">
        <f t="shared" si="23"/>
        <v>#N/A</v>
      </c>
      <c r="BR195" s="436" t="str">
        <f t="shared" si="21"/>
        <v/>
      </c>
      <c r="BS195" s="436" t="str">
        <f t="shared" si="22"/>
        <v/>
      </c>
      <c r="BT195" s="441"/>
      <c r="BU195" s="18"/>
      <c r="BV195" s="18"/>
      <c r="BW195" s="18"/>
      <c r="BX195" s="17"/>
      <c r="BY195" s="17"/>
      <c r="BZ195" s="18"/>
    </row>
    <row r="196" spans="1:78" x14ac:dyDescent="0.3">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434">
        <v>44972</v>
      </c>
      <c r="AW196" s="421">
        <v>1471</v>
      </c>
      <c r="AX196" s="18"/>
      <c r="AY196" s="434">
        <v>44972</v>
      </c>
      <c r="AZ196" s="421">
        <v>21169.01</v>
      </c>
      <c r="BA196" s="18"/>
      <c r="BB196" s="18"/>
      <c r="BC196" s="18"/>
      <c r="BD196" s="434"/>
      <c r="BE196" s="421"/>
      <c r="BF196" s="18"/>
      <c r="BG196" s="18"/>
      <c r="BH196" s="18"/>
      <c r="BI196" s="18"/>
      <c r="BJ196" s="18"/>
      <c r="BK196" s="18"/>
      <c r="BL196" s="435">
        <f t="shared" si="16"/>
        <v>44972</v>
      </c>
      <c r="BM196" s="436">
        <f t="shared" si="17"/>
        <v>14.71</v>
      </c>
      <c r="BN196" s="436">
        <f t="shared" si="18"/>
        <v>1</v>
      </c>
      <c r="BO196" s="436">
        <f t="shared" si="19"/>
        <v>14.71</v>
      </c>
      <c r="BP196" s="436" t="e">
        <f t="shared" si="20"/>
        <v>#N/A</v>
      </c>
      <c r="BQ196" s="436" t="e">
        <f t="shared" si="23"/>
        <v>#N/A</v>
      </c>
      <c r="BR196" s="436" t="str">
        <f t="shared" si="21"/>
        <v/>
      </c>
      <c r="BS196" s="436" t="str">
        <f t="shared" si="22"/>
        <v/>
      </c>
      <c r="BT196" s="441"/>
      <c r="BU196" s="18"/>
      <c r="BV196" s="18"/>
      <c r="BW196" s="18"/>
      <c r="BX196" s="17"/>
      <c r="BY196" s="17"/>
      <c r="BZ196" s="18"/>
    </row>
    <row r="197" spans="1:78" x14ac:dyDescent="0.3">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434">
        <v>44973</v>
      </c>
      <c r="AW197" s="421">
        <v>1463</v>
      </c>
      <c r="AX197" s="18"/>
      <c r="AY197" s="434">
        <v>44973</v>
      </c>
      <c r="AZ197" s="421">
        <v>21053.89</v>
      </c>
      <c r="BA197" s="18"/>
      <c r="BB197" s="18"/>
      <c r="BC197" s="18"/>
      <c r="BD197" s="434"/>
      <c r="BE197" s="421"/>
      <c r="BF197" s="18"/>
      <c r="BG197" s="18"/>
      <c r="BH197" s="18"/>
      <c r="BI197" s="18"/>
      <c r="BJ197" s="18"/>
      <c r="BK197" s="18"/>
      <c r="BL197" s="435">
        <f t="shared" si="16"/>
        <v>44973</v>
      </c>
      <c r="BM197" s="436">
        <f t="shared" si="17"/>
        <v>14.63</v>
      </c>
      <c r="BN197" s="436">
        <f t="shared" si="18"/>
        <v>1</v>
      </c>
      <c r="BO197" s="436">
        <f t="shared" si="19"/>
        <v>14.63</v>
      </c>
      <c r="BP197" s="436" t="e">
        <f t="shared" si="20"/>
        <v>#N/A</v>
      </c>
      <c r="BQ197" s="436" t="e">
        <f t="shared" si="23"/>
        <v>#N/A</v>
      </c>
      <c r="BR197" s="436" t="str">
        <f t="shared" si="21"/>
        <v/>
      </c>
      <c r="BS197" s="436" t="str">
        <f t="shared" si="22"/>
        <v/>
      </c>
      <c r="BT197" s="441"/>
      <c r="BU197" s="18"/>
      <c r="BV197" s="18"/>
      <c r="BW197" s="18"/>
      <c r="BX197" s="17"/>
      <c r="BY197" s="17"/>
      <c r="BZ197" s="18"/>
    </row>
    <row r="198" spans="1:78" x14ac:dyDescent="0.3">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434">
        <v>44974</v>
      </c>
      <c r="AW198" s="421">
        <v>1444</v>
      </c>
      <c r="AX198" s="18"/>
      <c r="AY198" s="434">
        <v>44974</v>
      </c>
      <c r="AZ198" s="421">
        <v>20780.46</v>
      </c>
      <c r="BA198" s="18"/>
      <c r="BB198" s="18"/>
      <c r="BC198" s="18"/>
      <c r="BD198" s="434"/>
      <c r="BE198" s="421"/>
      <c r="BF198" s="18"/>
      <c r="BG198" s="18"/>
      <c r="BH198" s="18"/>
      <c r="BI198" s="18"/>
      <c r="BJ198" s="18"/>
      <c r="BK198" s="18"/>
      <c r="BL198" s="435">
        <f t="shared" si="16"/>
        <v>44974</v>
      </c>
      <c r="BM198" s="436">
        <f t="shared" si="17"/>
        <v>14.44</v>
      </c>
      <c r="BN198" s="436">
        <f t="shared" si="18"/>
        <v>1</v>
      </c>
      <c r="BO198" s="436">
        <f t="shared" si="19"/>
        <v>14.44</v>
      </c>
      <c r="BP198" s="436" t="e">
        <f t="shared" si="20"/>
        <v>#N/A</v>
      </c>
      <c r="BQ198" s="436" t="e">
        <f t="shared" si="23"/>
        <v>#N/A</v>
      </c>
      <c r="BR198" s="436" t="str">
        <f t="shared" si="21"/>
        <v/>
      </c>
      <c r="BS198" s="436" t="str">
        <f t="shared" si="22"/>
        <v/>
      </c>
      <c r="BT198" s="441"/>
      <c r="BU198" s="18"/>
      <c r="BV198" s="18"/>
      <c r="BW198" s="18"/>
      <c r="BX198" s="17"/>
      <c r="BY198" s="17"/>
      <c r="BZ198" s="18"/>
    </row>
    <row r="199" spans="1:78" x14ac:dyDescent="0.3">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434">
        <v>44977</v>
      </c>
      <c r="AW199" s="421">
        <v>1474</v>
      </c>
      <c r="AX199" s="18"/>
      <c r="AY199" s="434">
        <v>44977</v>
      </c>
      <c r="AZ199" s="421">
        <v>21212.19</v>
      </c>
      <c r="BA199" s="18"/>
      <c r="BB199" s="18"/>
      <c r="BC199" s="18"/>
      <c r="BD199" s="434"/>
      <c r="BE199" s="421"/>
      <c r="BF199" s="18"/>
      <c r="BG199" s="18"/>
      <c r="BH199" s="18"/>
      <c r="BI199" s="18"/>
      <c r="BJ199" s="18"/>
      <c r="BK199" s="18"/>
      <c r="BL199" s="435">
        <f t="shared" si="16"/>
        <v>44977</v>
      </c>
      <c r="BM199" s="436">
        <f t="shared" si="17"/>
        <v>14.74</v>
      </c>
      <c r="BN199" s="436">
        <f t="shared" si="18"/>
        <v>1</v>
      </c>
      <c r="BO199" s="436">
        <f t="shared" si="19"/>
        <v>14.74</v>
      </c>
      <c r="BP199" s="436" t="e">
        <f t="shared" si="20"/>
        <v>#N/A</v>
      </c>
      <c r="BQ199" s="436" t="e">
        <f t="shared" si="23"/>
        <v>#N/A</v>
      </c>
      <c r="BR199" s="436" t="str">
        <f t="shared" si="21"/>
        <v/>
      </c>
      <c r="BS199" s="436" t="str">
        <f t="shared" si="22"/>
        <v/>
      </c>
      <c r="BT199" s="441"/>
      <c r="BU199" s="18"/>
      <c r="BV199" s="18"/>
      <c r="BW199" s="18"/>
      <c r="BX199" s="17"/>
      <c r="BY199" s="17"/>
      <c r="BZ199" s="18"/>
    </row>
    <row r="200" spans="1:78" x14ac:dyDescent="0.3">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434">
        <v>44978</v>
      </c>
      <c r="AW200" s="421">
        <v>1490</v>
      </c>
      <c r="AX200" s="18"/>
      <c r="AY200" s="434">
        <v>44978</v>
      </c>
      <c r="AZ200" s="421">
        <v>21442.44</v>
      </c>
      <c r="BA200" s="18"/>
      <c r="BB200" s="18"/>
      <c r="BC200" s="18"/>
      <c r="BD200" s="434"/>
      <c r="BE200" s="421"/>
      <c r="BF200" s="18"/>
      <c r="BG200" s="18"/>
      <c r="BH200" s="18"/>
      <c r="BI200" s="18"/>
      <c r="BJ200" s="18"/>
      <c r="BK200" s="18"/>
      <c r="BL200" s="435">
        <f t="shared" si="16"/>
        <v>44978</v>
      </c>
      <c r="BM200" s="436">
        <f t="shared" si="17"/>
        <v>14.9</v>
      </c>
      <c r="BN200" s="436">
        <f t="shared" si="18"/>
        <v>1</v>
      </c>
      <c r="BO200" s="436">
        <f t="shared" si="19"/>
        <v>14.9</v>
      </c>
      <c r="BP200" s="436" t="e">
        <f t="shared" si="20"/>
        <v>#N/A</v>
      </c>
      <c r="BQ200" s="436" t="e">
        <f t="shared" si="23"/>
        <v>#N/A</v>
      </c>
      <c r="BR200" s="436" t="str">
        <f t="shared" si="21"/>
        <v/>
      </c>
      <c r="BS200" s="436" t="str">
        <f t="shared" si="22"/>
        <v/>
      </c>
      <c r="BT200" s="441"/>
      <c r="BU200" s="18"/>
      <c r="BV200" s="18"/>
      <c r="BW200" s="18"/>
      <c r="BX200" s="17"/>
      <c r="BY200" s="17"/>
      <c r="BZ200" s="18"/>
    </row>
    <row r="201" spans="1:78" x14ac:dyDescent="0.3">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434">
        <v>44979</v>
      </c>
      <c r="AW201" s="421">
        <v>1528</v>
      </c>
      <c r="AX201" s="18"/>
      <c r="AY201" s="434">
        <v>44979</v>
      </c>
      <c r="AZ201" s="421">
        <v>21989.3</v>
      </c>
      <c r="BA201" s="18"/>
      <c r="BB201" s="18"/>
      <c r="BC201" s="18"/>
      <c r="BD201" s="434"/>
      <c r="BE201" s="421"/>
      <c r="BF201" s="18"/>
      <c r="BG201" s="18"/>
      <c r="BH201" s="18"/>
      <c r="BI201" s="18"/>
      <c r="BJ201" s="18"/>
      <c r="BK201" s="18"/>
      <c r="BL201" s="435">
        <f t="shared" si="16"/>
        <v>44979</v>
      </c>
      <c r="BM201" s="436">
        <f t="shared" si="17"/>
        <v>15.280000000000001</v>
      </c>
      <c r="BN201" s="436">
        <f t="shared" si="18"/>
        <v>1</v>
      </c>
      <c r="BO201" s="436">
        <f t="shared" si="19"/>
        <v>15.280000000000001</v>
      </c>
      <c r="BP201" s="436" t="e">
        <f t="shared" si="20"/>
        <v>#N/A</v>
      </c>
      <c r="BQ201" s="436" t="e">
        <f t="shared" si="23"/>
        <v>#N/A</v>
      </c>
      <c r="BR201" s="436" t="str">
        <f t="shared" si="21"/>
        <v/>
      </c>
      <c r="BS201" s="436" t="str">
        <f t="shared" si="22"/>
        <v/>
      </c>
      <c r="BT201" s="441"/>
      <c r="BU201" s="18"/>
      <c r="BV201" s="18"/>
      <c r="BW201" s="18"/>
      <c r="BX201" s="17"/>
      <c r="BY201" s="17"/>
      <c r="BZ201" s="18"/>
    </row>
    <row r="202" spans="1:78" x14ac:dyDescent="0.3">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434">
        <v>44980</v>
      </c>
      <c r="AW202" s="421">
        <v>1565</v>
      </c>
      <c r="AX202" s="18"/>
      <c r="AY202" s="434">
        <v>44980</v>
      </c>
      <c r="AZ202" s="421">
        <v>22521.759999999998</v>
      </c>
      <c r="BA202" s="18"/>
      <c r="BB202" s="18"/>
      <c r="BC202" s="18"/>
      <c r="BD202" s="434"/>
      <c r="BE202" s="421"/>
      <c r="BF202" s="18"/>
      <c r="BG202" s="18"/>
      <c r="BH202" s="18"/>
      <c r="BI202" s="18"/>
      <c r="BJ202" s="18"/>
      <c r="BK202" s="18"/>
      <c r="BL202" s="435">
        <f t="shared" ref="BL202:BL265" si="24">IF($AV202="",NA(),AV202)</f>
        <v>44980</v>
      </c>
      <c r="BM202" s="436">
        <f t="shared" ref="BM202:BM265" si="25">IF($AV202="","-",AW202*$AW$3)</f>
        <v>15.65</v>
      </c>
      <c r="BN202" s="436">
        <f t="shared" ref="BN202:BN265" si="26">IF($C$17&lt;&gt;$C$18,VLOOKUP(BL202,$BD$10:$BE$301,2,0),1)</f>
        <v>1</v>
      </c>
      <c r="BO202" s="436">
        <f t="shared" ref="BO202:BO265" si="27">IF(BL202="","-",IF($C$17&lt;&gt;$C$18,(BM202)/VLOOKUP(BL202,$BD$10:$BE$301,2,1),BM202))</f>
        <v>15.65</v>
      </c>
      <c r="BP202" s="436" t="e">
        <f t="shared" ref="BP202:BP265" si="28">IF($BL202=$D$20,BO202,NA())</f>
        <v>#N/A</v>
      </c>
      <c r="BQ202" s="436" t="e">
        <f t="shared" si="23"/>
        <v>#N/A</v>
      </c>
      <c r="BR202" s="436" t="str">
        <f t="shared" ref="BR202:BR265" si="29">IF(ISNA(BQ202),"",TEXT($C$29,"# ##0.00") &amp; " ("&amp;TEXT($C$30,"+0.0%;-0.0%;0%")&amp;")")</f>
        <v/>
      </c>
      <c r="BS202" s="436" t="str">
        <f t="shared" ref="BS202:BS265" si="30">IF(ISNA(BP202),"",TEXT(BP202,"# ##0.00") &amp; " ("&amp;TEXT($BO$6,"+0.0%;-0.0%;0%")&amp;")")</f>
        <v/>
      </c>
      <c r="BT202" s="441"/>
      <c r="BU202" s="18"/>
      <c r="BV202" s="18"/>
      <c r="BW202" s="18"/>
      <c r="BX202" s="17"/>
      <c r="BY202" s="17"/>
      <c r="BZ202" s="18"/>
    </row>
    <row r="203" spans="1:78" x14ac:dyDescent="0.3">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434">
        <v>44981</v>
      </c>
      <c r="AW203" s="421">
        <v>1553</v>
      </c>
      <c r="AX203" s="18"/>
      <c r="AY203" s="434">
        <v>44981</v>
      </c>
      <c r="AZ203" s="421">
        <v>22349.07</v>
      </c>
      <c r="BA203" s="18"/>
      <c r="BB203" s="18"/>
      <c r="BC203" s="18"/>
      <c r="BD203" s="434"/>
      <c r="BE203" s="421"/>
      <c r="BF203" s="18"/>
      <c r="BG203" s="18"/>
      <c r="BH203" s="18"/>
      <c r="BI203" s="18"/>
      <c r="BJ203" s="18"/>
      <c r="BK203" s="18"/>
      <c r="BL203" s="435">
        <f t="shared" si="24"/>
        <v>44981</v>
      </c>
      <c r="BM203" s="436">
        <f t="shared" si="25"/>
        <v>15.530000000000001</v>
      </c>
      <c r="BN203" s="436">
        <f t="shared" si="26"/>
        <v>1</v>
      </c>
      <c r="BO203" s="436">
        <f t="shared" si="27"/>
        <v>15.530000000000001</v>
      </c>
      <c r="BP203" s="436" t="e">
        <f t="shared" si="28"/>
        <v>#N/A</v>
      </c>
      <c r="BQ203" s="436" t="e">
        <f t="shared" ref="BQ203:BQ266" si="31">IF(BL203=$D$20,$C$29,NA())</f>
        <v>#N/A</v>
      </c>
      <c r="BR203" s="436" t="str">
        <f t="shared" si="29"/>
        <v/>
      </c>
      <c r="BS203" s="436" t="str">
        <f t="shared" si="30"/>
        <v/>
      </c>
      <c r="BT203" s="441"/>
      <c r="BU203" s="18"/>
      <c r="BV203" s="18"/>
      <c r="BW203" s="18"/>
      <c r="BX203" s="17"/>
      <c r="BY203" s="17"/>
      <c r="BZ203" s="18"/>
    </row>
    <row r="204" spans="1:78" x14ac:dyDescent="0.3">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434">
        <v>44984</v>
      </c>
      <c r="AW204" s="421">
        <v>1545</v>
      </c>
      <c r="AX204" s="18"/>
      <c r="AY204" s="434">
        <v>44984</v>
      </c>
      <c r="AZ204" s="421">
        <v>22233.94</v>
      </c>
      <c r="BA204" s="18"/>
      <c r="BB204" s="18"/>
      <c r="BC204" s="18"/>
      <c r="BD204" s="434"/>
      <c r="BE204" s="421"/>
      <c r="BF204" s="18"/>
      <c r="BG204" s="18"/>
      <c r="BH204" s="18"/>
      <c r="BI204" s="18"/>
      <c r="BJ204" s="18"/>
      <c r="BK204" s="18"/>
      <c r="BL204" s="435">
        <f t="shared" si="24"/>
        <v>44984</v>
      </c>
      <c r="BM204" s="436">
        <f t="shared" si="25"/>
        <v>15.450000000000001</v>
      </c>
      <c r="BN204" s="436">
        <f t="shared" si="26"/>
        <v>1</v>
      </c>
      <c r="BO204" s="436">
        <f t="shared" si="27"/>
        <v>15.450000000000001</v>
      </c>
      <c r="BP204" s="436" t="e">
        <f t="shared" si="28"/>
        <v>#N/A</v>
      </c>
      <c r="BQ204" s="436" t="e">
        <f t="shared" si="31"/>
        <v>#N/A</v>
      </c>
      <c r="BR204" s="436" t="str">
        <f t="shared" si="29"/>
        <v/>
      </c>
      <c r="BS204" s="436" t="str">
        <f t="shared" si="30"/>
        <v/>
      </c>
      <c r="BT204" s="441"/>
      <c r="BU204" s="18"/>
      <c r="BV204" s="18"/>
      <c r="BW204" s="18"/>
      <c r="BX204" s="17"/>
      <c r="BY204" s="17"/>
      <c r="BZ204" s="18"/>
    </row>
    <row r="205" spans="1:78" x14ac:dyDescent="0.3">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434">
        <v>44985</v>
      </c>
      <c r="AW205" s="421">
        <v>1524</v>
      </c>
      <c r="AX205" s="18"/>
      <c r="AY205" s="434">
        <v>44985</v>
      </c>
      <c r="AZ205" s="421">
        <v>21931.73</v>
      </c>
      <c r="BA205" s="18"/>
      <c r="BB205" s="18"/>
      <c r="BC205" s="18"/>
      <c r="BD205" s="434"/>
      <c r="BE205" s="421"/>
      <c r="BF205" s="18"/>
      <c r="BG205" s="18"/>
      <c r="BH205" s="18"/>
      <c r="BI205" s="18"/>
      <c r="BJ205" s="18"/>
      <c r="BK205" s="18"/>
      <c r="BL205" s="435">
        <f t="shared" si="24"/>
        <v>44985</v>
      </c>
      <c r="BM205" s="436">
        <f t="shared" si="25"/>
        <v>15.24</v>
      </c>
      <c r="BN205" s="436">
        <f t="shared" si="26"/>
        <v>1</v>
      </c>
      <c r="BO205" s="436">
        <f t="shared" si="27"/>
        <v>15.24</v>
      </c>
      <c r="BP205" s="436" t="e">
        <f t="shared" si="28"/>
        <v>#N/A</v>
      </c>
      <c r="BQ205" s="436" t="e">
        <f t="shared" si="31"/>
        <v>#N/A</v>
      </c>
      <c r="BR205" s="436" t="str">
        <f t="shared" si="29"/>
        <v/>
      </c>
      <c r="BS205" s="436" t="str">
        <f t="shared" si="30"/>
        <v/>
      </c>
      <c r="BT205" s="441"/>
      <c r="BU205" s="18"/>
      <c r="BV205" s="18"/>
      <c r="BW205" s="18"/>
      <c r="BX205" s="17"/>
      <c r="BY205" s="17"/>
      <c r="BZ205" s="18"/>
    </row>
    <row r="206" spans="1:78" x14ac:dyDescent="0.3">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434">
        <v>44986</v>
      </c>
      <c r="AW206" s="421">
        <v>1536</v>
      </c>
      <c r="AX206" s="18"/>
      <c r="AY206" s="434">
        <v>44986</v>
      </c>
      <c r="AZ206" s="421">
        <v>22104.42</v>
      </c>
      <c r="BA206" s="18"/>
      <c r="BB206" s="18"/>
      <c r="BC206" s="18"/>
      <c r="BD206" s="434"/>
      <c r="BE206" s="421"/>
      <c r="BF206" s="18"/>
      <c r="BG206" s="18"/>
      <c r="BH206" s="18"/>
      <c r="BI206" s="18"/>
      <c r="BJ206" s="18"/>
      <c r="BK206" s="18"/>
      <c r="BL206" s="435">
        <f t="shared" si="24"/>
        <v>44986</v>
      </c>
      <c r="BM206" s="436">
        <f t="shared" si="25"/>
        <v>15.36</v>
      </c>
      <c r="BN206" s="436">
        <f t="shared" si="26"/>
        <v>1</v>
      </c>
      <c r="BO206" s="436">
        <f t="shared" si="27"/>
        <v>15.36</v>
      </c>
      <c r="BP206" s="436" t="e">
        <f t="shared" si="28"/>
        <v>#N/A</v>
      </c>
      <c r="BQ206" s="436" t="e">
        <f t="shared" si="31"/>
        <v>#N/A</v>
      </c>
      <c r="BR206" s="436" t="str">
        <f t="shared" si="29"/>
        <v/>
      </c>
      <c r="BS206" s="436" t="str">
        <f t="shared" si="30"/>
        <v/>
      </c>
      <c r="BT206" s="441"/>
      <c r="BU206" s="18"/>
      <c r="BV206" s="18"/>
      <c r="BW206" s="18"/>
      <c r="BX206" s="17"/>
      <c r="BY206" s="17"/>
      <c r="BZ206" s="18"/>
    </row>
    <row r="207" spans="1:78" x14ac:dyDescent="0.3">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434">
        <v>44987</v>
      </c>
      <c r="AW207" s="421">
        <v>1515</v>
      </c>
      <c r="AX207" s="18"/>
      <c r="AY207" s="434">
        <v>44987</v>
      </c>
      <c r="AZ207" s="421">
        <v>21802.21</v>
      </c>
      <c r="BA207" s="18"/>
      <c r="BB207" s="18"/>
      <c r="BC207" s="18"/>
      <c r="BD207" s="434"/>
      <c r="BE207" s="421"/>
      <c r="BF207" s="18"/>
      <c r="BG207" s="18"/>
      <c r="BH207" s="18"/>
      <c r="BI207" s="18"/>
      <c r="BJ207" s="18"/>
      <c r="BK207" s="18"/>
      <c r="BL207" s="435">
        <f t="shared" si="24"/>
        <v>44987</v>
      </c>
      <c r="BM207" s="436">
        <f t="shared" si="25"/>
        <v>15.15</v>
      </c>
      <c r="BN207" s="436">
        <f t="shared" si="26"/>
        <v>1</v>
      </c>
      <c r="BO207" s="436">
        <f t="shared" si="27"/>
        <v>15.15</v>
      </c>
      <c r="BP207" s="436" t="e">
        <f t="shared" si="28"/>
        <v>#N/A</v>
      </c>
      <c r="BQ207" s="436" t="e">
        <f t="shared" si="31"/>
        <v>#N/A</v>
      </c>
      <c r="BR207" s="436" t="str">
        <f t="shared" si="29"/>
        <v/>
      </c>
      <c r="BS207" s="436" t="str">
        <f t="shared" si="30"/>
        <v/>
      </c>
      <c r="BT207" s="441"/>
      <c r="BU207" s="18"/>
      <c r="BV207" s="18"/>
      <c r="BW207" s="18"/>
      <c r="BX207" s="17"/>
      <c r="BY207" s="17"/>
      <c r="BZ207" s="18"/>
    </row>
    <row r="208" spans="1:78" x14ac:dyDescent="0.3">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434">
        <v>44988</v>
      </c>
      <c r="AW208" s="421">
        <v>1512</v>
      </c>
      <c r="AX208" s="18"/>
      <c r="AY208" s="434">
        <v>44988</v>
      </c>
      <c r="AZ208" s="421">
        <v>21759.0409</v>
      </c>
      <c r="BA208" s="18"/>
      <c r="BB208" s="18"/>
      <c r="BC208" s="18"/>
      <c r="BD208" s="434"/>
      <c r="BE208" s="421"/>
      <c r="BF208" s="18"/>
      <c r="BG208" s="18"/>
      <c r="BH208" s="18"/>
      <c r="BI208" s="18"/>
      <c r="BJ208" s="18"/>
      <c r="BK208" s="18"/>
      <c r="BL208" s="435">
        <f t="shared" si="24"/>
        <v>44988</v>
      </c>
      <c r="BM208" s="436">
        <f t="shared" si="25"/>
        <v>15.120000000000001</v>
      </c>
      <c r="BN208" s="436">
        <f t="shared" si="26"/>
        <v>1</v>
      </c>
      <c r="BO208" s="436">
        <f t="shared" si="27"/>
        <v>15.120000000000001</v>
      </c>
      <c r="BP208" s="436" t="e">
        <f t="shared" si="28"/>
        <v>#N/A</v>
      </c>
      <c r="BQ208" s="436" t="e">
        <f t="shared" si="31"/>
        <v>#N/A</v>
      </c>
      <c r="BR208" s="436" t="str">
        <f t="shared" si="29"/>
        <v/>
      </c>
      <c r="BS208" s="436" t="str">
        <f t="shared" si="30"/>
        <v/>
      </c>
      <c r="BT208" s="441"/>
      <c r="BU208" s="18"/>
      <c r="BV208" s="18"/>
      <c r="BW208" s="18"/>
      <c r="BX208" s="17"/>
      <c r="BY208" s="17"/>
      <c r="BZ208" s="18"/>
    </row>
    <row r="209" spans="1:78" x14ac:dyDescent="0.3">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434">
        <v>44991</v>
      </c>
      <c r="AW209" s="421">
        <v>1519</v>
      </c>
      <c r="AX209" s="18"/>
      <c r="AY209" s="434">
        <v>44991</v>
      </c>
      <c r="AZ209" s="421">
        <v>21859.78</v>
      </c>
      <c r="BA209" s="18"/>
      <c r="BB209" s="18"/>
      <c r="BC209" s="18"/>
      <c r="BD209" s="434"/>
      <c r="BE209" s="421"/>
      <c r="BF209" s="18"/>
      <c r="BG209" s="18"/>
      <c r="BH209" s="18"/>
      <c r="BI209" s="18"/>
      <c r="BJ209" s="18"/>
      <c r="BK209" s="18"/>
      <c r="BL209" s="435">
        <f t="shared" si="24"/>
        <v>44991</v>
      </c>
      <c r="BM209" s="436">
        <f t="shared" si="25"/>
        <v>15.19</v>
      </c>
      <c r="BN209" s="436">
        <f t="shared" si="26"/>
        <v>1</v>
      </c>
      <c r="BO209" s="436">
        <f t="shared" si="27"/>
        <v>15.19</v>
      </c>
      <c r="BP209" s="436" t="e">
        <f t="shared" si="28"/>
        <v>#N/A</v>
      </c>
      <c r="BQ209" s="436" t="e">
        <f t="shared" si="31"/>
        <v>#N/A</v>
      </c>
      <c r="BR209" s="436" t="str">
        <f t="shared" si="29"/>
        <v/>
      </c>
      <c r="BS209" s="436" t="str">
        <f t="shared" si="30"/>
        <v/>
      </c>
      <c r="BT209" s="441"/>
      <c r="BU209" s="18"/>
      <c r="BV209" s="18"/>
      <c r="BW209" s="18"/>
      <c r="BX209" s="17"/>
      <c r="BY209" s="17"/>
      <c r="BZ209" s="18"/>
    </row>
    <row r="210" spans="1:78" x14ac:dyDescent="0.3">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434">
        <v>44992</v>
      </c>
      <c r="AW210" s="421">
        <v>1491</v>
      </c>
      <c r="AX210" s="18"/>
      <c r="AY210" s="434">
        <v>44992</v>
      </c>
      <c r="AZ210" s="421">
        <v>21456.83</v>
      </c>
      <c r="BA210" s="18"/>
      <c r="BB210" s="18"/>
      <c r="BC210" s="18"/>
      <c r="BD210" s="434"/>
      <c r="BE210" s="421"/>
      <c r="BF210" s="18"/>
      <c r="BG210" s="18"/>
      <c r="BH210" s="18"/>
      <c r="BI210" s="18"/>
      <c r="BJ210" s="18"/>
      <c r="BK210" s="18"/>
      <c r="BL210" s="435">
        <f t="shared" si="24"/>
        <v>44992</v>
      </c>
      <c r="BM210" s="436">
        <f t="shared" si="25"/>
        <v>14.91</v>
      </c>
      <c r="BN210" s="436">
        <f t="shared" si="26"/>
        <v>1</v>
      </c>
      <c r="BO210" s="436">
        <f t="shared" si="27"/>
        <v>14.91</v>
      </c>
      <c r="BP210" s="436" t="e">
        <f t="shared" si="28"/>
        <v>#N/A</v>
      </c>
      <c r="BQ210" s="436" t="e">
        <f t="shared" si="31"/>
        <v>#N/A</v>
      </c>
      <c r="BR210" s="436" t="str">
        <f t="shared" si="29"/>
        <v/>
      </c>
      <c r="BS210" s="436" t="str">
        <f t="shared" si="30"/>
        <v/>
      </c>
      <c r="BT210" s="441"/>
      <c r="BU210" s="18"/>
      <c r="BV210" s="18"/>
      <c r="BW210" s="18"/>
      <c r="BX210" s="17"/>
      <c r="BY210" s="17"/>
      <c r="BZ210" s="18"/>
    </row>
    <row r="211" spans="1:78" x14ac:dyDescent="0.3">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434">
        <v>44993</v>
      </c>
      <c r="AW211" s="421">
        <v>1503</v>
      </c>
      <c r="AX211" s="18"/>
      <c r="AY211" s="434">
        <v>44993</v>
      </c>
      <c r="AZ211" s="421">
        <v>21629.52</v>
      </c>
      <c r="BA211" s="18"/>
      <c r="BB211" s="18"/>
      <c r="BC211" s="18"/>
      <c r="BD211" s="434"/>
      <c r="BE211" s="421"/>
      <c r="BF211" s="18"/>
      <c r="BG211" s="18"/>
      <c r="BH211" s="18"/>
      <c r="BI211" s="18"/>
      <c r="BJ211" s="18"/>
      <c r="BK211" s="18"/>
      <c r="BL211" s="435">
        <f t="shared" si="24"/>
        <v>44993</v>
      </c>
      <c r="BM211" s="436">
        <f t="shared" si="25"/>
        <v>15.030000000000001</v>
      </c>
      <c r="BN211" s="436">
        <f t="shared" si="26"/>
        <v>1</v>
      </c>
      <c r="BO211" s="436">
        <f t="shared" si="27"/>
        <v>15.030000000000001</v>
      </c>
      <c r="BP211" s="436" t="e">
        <f t="shared" si="28"/>
        <v>#N/A</v>
      </c>
      <c r="BQ211" s="436" t="e">
        <f t="shared" si="31"/>
        <v>#N/A</v>
      </c>
      <c r="BR211" s="436" t="str">
        <f t="shared" si="29"/>
        <v/>
      </c>
      <c r="BS211" s="436" t="str">
        <f t="shared" si="30"/>
        <v/>
      </c>
      <c r="BT211" s="441"/>
      <c r="BU211" s="18"/>
      <c r="BV211" s="18"/>
      <c r="BW211" s="18"/>
      <c r="BX211" s="17"/>
      <c r="BY211" s="17"/>
      <c r="BZ211" s="18"/>
    </row>
    <row r="212" spans="1:78" x14ac:dyDescent="0.3">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434">
        <v>44994</v>
      </c>
      <c r="AW212" s="421">
        <v>1497</v>
      </c>
      <c r="AX212" s="18"/>
      <c r="AY212" s="434">
        <v>44994</v>
      </c>
      <c r="AZ212" s="421">
        <v>21543.18</v>
      </c>
      <c r="BA212" s="18"/>
      <c r="BB212" s="18"/>
      <c r="BC212" s="18"/>
      <c r="BD212" s="434"/>
      <c r="BE212" s="421"/>
      <c r="BF212" s="18"/>
      <c r="BG212" s="18"/>
      <c r="BH212" s="18"/>
      <c r="BI212" s="18"/>
      <c r="BJ212" s="18"/>
      <c r="BK212" s="18"/>
      <c r="BL212" s="435">
        <f t="shared" si="24"/>
        <v>44994</v>
      </c>
      <c r="BM212" s="436">
        <f t="shared" si="25"/>
        <v>14.97</v>
      </c>
      <c r="BN212" s="436">
        <f t="shared" si="26"/>
        <v>1</v>
      </c>
      <c r="BO212" s="436">
        <f t="shared" si="27"/>
        <v>14.97</v>
      </c>
      <c r="BP212" s="436" t="e">
        <f t="shared" si="28"/>
        <v>#N/A</v>
      </c>
      <c r="BQ212" s="436" t="e">
        <f t="shared" si="31"/>
        <v>#N/A</v>
      </c>
      <c r="BR212" s="436" t="str">
        <f t="shared" si="29"/>
        <v/>
      </c>
      <c r="BS212" s="436" t="str">
        <f t="shared" si="30"/>
        <v/>
      </c>
      <c r="BT212" s="441"/>
      <c r="BU212" s="18"/>
      <c r="BV212" s="18"/>
      <c r="BW212" s="18"/>
      <c r="BX212" s="17"/>
      <c r="BY212" s="17"/>
      <c r="BZ212" s="18"/>
    </row>
    <row r="213" spans="1:78" x14ac:dyDescent="0.3">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434">
        <v>44995</v>
      </c>
      <c r="AW213" s="421">
        <v>1490</v>
      </c>
      <c r="AX213" s="18"/>
      <c r="AY213" s="434">
        <v>44995</v>
      </c>
      <c r="AZ213" s="421">
        <v>21442.44</v>
      </c>
      <c r="BA213" s="18"/>
      <c r="BB213" s="18"/>
      <c r="BC213" s="18"/>
      <c r="BD213" s="434"/>
      <c r="BE213" s="421"/>
      <c r="BF213" s="18"/>
      <c r="BG213" s="18"/>
      <c r="BH213" s="18"/>
      <c r="BI213" s="18"/>
      <c r="BJ213" s="18"/>
      <c r="BK213" s="18"/>
      <c r="BL213" s="435">
        <f t="shared" si="24"/>
        <v>44995</v>
      </c>
      <c r="BM213" s="436">
        <f t="shared" si="25"/>
        <v>14.9</v>
      </c>
      <c r="BN213" s="436">
        <f t="shared" si="26"/>
        <v>1</v>
      </c>
      <c r="BO213" s="436">
        <f t="shared" si="27"/>
        <v>14.9</v>
      </c>
      <c r="BP213" s="436" t="e">
        <f t="shared" si="28"/>
        <v>#N/A</v>
      </c>
      <c r="BQ213" s="436" t="e">
        <f t="shared" si="31"/>
        <v>#N/A</v>
      </c>
      <c r="BR213" s="436" t="str">
        <f t="shared" si="29"/>
        <v/>
      </c>
      <c r="BS213" s="436" t="str">
        <f t="shared" si="30"/>
        <v/>
      </c>
      <c r="BT213" s="441"/>
      <c r="BU213" s="18"/>
      <c r="BV213" s="18"/>
      <c r="BW213" s="18"/>
      <c r="BX213" s="17"/>
      <c r="BY213" s="17"/>
      <c r="BZ213" s="18"/>
    </row>
    <row r="214" spans="1:78" x14ac:dyDescent="0.3">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434">
        <v>44998</v>
      </c>
      <c r="AW214" s="421">
        <v>1486</v>
      </c>
      <c r="AX214" s="18"/>
      <c r="AY214" s="434">
        <v>44998</v>
      </c>
      <c r="AZ214" s="421">
        <v>21384.880000000001</v>
      </c>
      <c r="BA214" s="18"/>
      <c r="BB214" s="18"/>
      <c r="BC214" s="18"/>
      <c r="BD214" s="434"/>
      <c r="BE214" s="421"/>
      <c r="BF214" s="18"/>
      <c r="BG214" s="18"/>
      <c r="BH214" s="18"/>
      <c r="BI214" s="18"/>
      <c r="BJ214" s="18"/>
      <c r="BK214" s="18"/>
      <c r="BL214" s="435">
        <f t="shared" si="24"/>
        <v>44998</v>
      </c>
      <c r="BM214" s="436">
        <f t="shared" si="25"/>
        <v>14.86</v>
      </c>
      <c r="BN214" s="436">
        <f t="shared" si="26"/>
        <v>1</v>
      </c>
      <c r="BO214" s="436">
        <f t="shared" si="27"/>
        <v>14.86</v>
      </c>
      <c r="BP214" s="436" t="e">
        <f t="shared" si="28"/>
        <v>#N/A</v>
      </c>
      <c r="BQ214" s="436" t="e">
        <f t="shared" si="31"/>
        <v>#N/A</v>
      </c>
      <c r="BR214" s="436" t="str">
        <f t="shared" si="29"/>
        <v/>
      </c>
      <c r="BS214" s="436" t="str">
        <f t="shared" si="30"/>
        <v/>
      </c>
      <c r="BT214" s="441"/>
      <c r="BU214" s="18"/>
      <c r="BV214" s="18"/>
      <c r="BW214" s="18"/>
      <c r="BX214" s="17"/>
      <c r="BY214" s="17"/>
      <c r="BZ214" s="18"/>
    </row>
    <row r="215" spans="1:78" x14ac:dyDescent="0.3">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434">
        <v>44999</v>
      </c>
      <c r="AW215" s="421">
        <v>1476</v>
      </c>
      <c r="AX215" s="18"/>
      <c r="AY215" s="434">
        <v>44999</v>
      </c>
      <c r="AZ215" s="421">
        <v>21240.97</v>
      </c>
      <c r="BA215" s="18"/>
      <c r="BB215" s="18"/>
      <c r="BC215" s="18"/>
      <c r="BD215" s="434"/>
      <c r="BE215" s="421"/>
      <c r="BF215" s="18"/>
      <c r="BG215" s="18"/>
      <c r="BH215" s="18"/>
      <c r="BI215" s="18"/>
      <c r="BJ215" s="18"/>
      <c r="BK215" s="18"/>
      <c r="BL215" s="435">
        <f t="shared" si="24"/>
        <v>44999</v>
      </c>
      <c r="BM215" s="436">
        <f t="shared" si="25"/>
        <v>14.76</v>
      </c>
      <c r="BN215" s="436">
        <f t="shared" si="26"/>
        <v>1</v>
      </c>
      <c r="BO215" s="436">
        <f t="shared" si="27"/>
        <v>14.76</v>
      </c>
      <c r="BP215" s="436" t="e">
        <f t="shared" si="28"/>
        <v>#N/A</v>
      </c>
      <c r="BQ215" s="436" t="e">
        <f t="shared" si="31"/>
        <v>#N/A</v>
      </c>
      <c r="BR215" s="436" t="str">
        <f t="shared" si="29"/>
        <v/>
      </c>
      <c r="BS215" s="436" t="str">
        <f t="shared" si="30"/>
        <v/>
      </c>
      <c r="BT215" s="441"/>
      <c r="BU215" s="18"/>
      <c r="BV215" s="18"/>
      <c r="BW215" s="18"/>
      <c r="BX215" s="17"/>
      <c r="BY215" s="17"/>
      <c r="BZ215" s="18"/>
    </row>
    <row r="216" spans="1:78" x14ac:dyDescent="0.3">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434">
        <v>45000</v>
      </c>
      <c r="AW216" s="421">
        <v>1451</v>
      </c>
      <c r="AX216" s="18"/>
      <c r="AY216" s="434">
        <v>45000</v>
      </c>
      <c r="AZ216" s="421">
        <v>20881.2</v>
      </c>
      <c r="BA216" s="18"/>
      <c r="BB216" s="18"/>
      <c r="BC216" s="18"/>
      <c r="BD216" s="434"/>
      <c r="BE216" s="421"/>
      <c r="BF216" s="18"/>
      <c r="BG216" s="18"/>
      <c r="BH216" s="18"/>
      <c r="BI216" s="18"/>
      <c r="BJ216" s="18"/>
      <c r="BK216" s="18"/>
      <c r="BL216" s="435">
        <f t="shared" si="24"/>
        <v>45000</v>
      </c>
      <c r="BM216" s="436">
        <f t="shared" si="25"/>
        <v>14.51</v>
      </c>
      <c r="BN216" s="436">
        <f t="shared" si="26"/>
        <v>1</v>
      </c>
      <c r="BO216" s="436">
        <f t="shared" si="27"/>
        <v>14.51</v>
      </c>
      <c r="BP216" s="436" t="e">
        <f t="shared" si="28"/>
        <v>#N/A</v>
      </c>
      <c r="BQ216" s="436" t="e">
        <f t="shared" si="31"/>
        <v>#N/A</v>
      </c>
      <c r="BR216" s="436" t="str">
        <f t="shared" si="29"/>
        <v/>
      </c>
      <c r="BS216" s="436" t="str">
        <f t="shared" si="30"/>
        <v/>
      </c>
      <c r="BT216" s="441"/>
      <c r="BU216" s="18"/>
      <c r="BV216" s="18"/>
      <c r="BW216" s="18"/>
      <c r="BX216" s="17"/>
      <c r="BY216" s="17"/>
      <c r="BZ216" s="18"/>
    </row>
    <row r="217" spans="1:78" x14ac:dyDescent="0.3">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434">
        <v>45001</v>
      </c>
      <c r="AW217" s="421">
        <v>1425</v>
      </c>
      <c r="AX217" s="18"/>
      <c r="AY217" s="434">
        <v>45001</v>
      </c>
      <c r="AZ217" s="421">
        <v>20507.03</v>
      </c>
      <c r="BA217" s="18"/>
      <c r="BB217" s="18"/>
      <c r="BC217" s="18"/>
      <c r="BD217" s="434"/>
      <c r="BE217" s="421"/>
      <c r="BF217" s="18"/>
      <c r="BG217" s="18"/>
      <c r="BH217" s="18"/>
      <c r="BI217" s="18"/>
      <c r="BJ217" s="18"/>
      <c r="BK217" s="18"/>
      <c r="BL217" s="435">
        <f t="shared" si="24"/>
        <v>45001</v>
      </c>
      <c r="BM217" s="436">
        <f t="shared" si="25"/>
        <v>14.25</v>
      </c>
      <c r="BN217" s="436">
        <f t="shared" si="26"/>
        <v>1</v>
      </c>
      <c r="BO217" s="436">
        <f t="shared" si="27"/>
        <v>14.25</v>
      </c>
      <c r="BP217" s="436" t="e">
        <f t="shared" si="28"/>
        <v>#N/A</v>
      </c>
      <c r="BQ217" s="436" t="e">
        <f t="shared" si="31"/>
        <v>#N/A</v>
      </c>
      <c r="BR217" s="436" t="str">
        <f t="shared" si="29"/>
        <v/>
      </c>
      <c r="BS217" s="436" t="str">
        <f t="shared" si="30"/>
        <v/>
      </c>
      <c r="BT217" s="441"/>
      <c r="BU217" s="18"/>
      <c r="BV217" s="18"/>
      <c r="BW217" s="18"/>
      <c r="BX217" s="17"/>
      <c r="BY217" s="17"/>
      <c r="BZ217" s="18"/>
    </row>
    <row r="218" spans="1:78" x14ac:dyDescent="0.3">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434">
        <v>45002</v>
      </c>
      <c r="AW218" s="421">
        <v>1419</v>
      </c>
      <c r="AX218" s="18"/>
      <c r="AY218" s="434">
        <v>45002</v>
      </c>
      <c r="AZ218" s="421">
        <v>20420.689999999999</v>
      </c>
      <c r="BA218" s="18"/>
      <c r="BB218" s="18"/>
      <c r="BC218" s="18"/>
      <c r="BD218" s="434"/>
      <c r="BE218" s="421"/>
      <c r="BF218" s="18"/>
      <c r="BG218" s="18"/>
      <c r="BH218" s="18"/>
      <c r="BI218" s="18"/>
      <c r="BJ218" s="18"/>
      <c r="BK218" s="18"/>
      <c r="BL218" s="435">
        <f t="shared" si="24"/>
        <v>45002</v>
      </c>
      <c r="BM218" s="436">
        <f t="shared" si="25"/>
        <v>14.19</v>
      </c>
      <c r="BN218" s="436">
        <f t="shared" si="26"/>
        <v>1</v>
      </c>
      <c r="BO218" s="436">
        <f t="shared" si="27"/>
        <v>14.19</v>
      </c>
      <c r="BP218" s="436" t="e">
        <f t="shared" si="28"/>
        <v>#N/A</v>
      </c>
      <c r="BQ218" s="436" t="e">
        <f t="shared" si="31"/>
        <v>#N/A</v>
      </c>
      <c r="BR218" s="436" t="str">
        <f t="shared" si="29"/>
        <v/>
      </c>
      <c r="BS218" s="436" t="str">
        <f t="shared" si="30"/>
        <v/>
      </c>
      <c r="BT218" s="441"/>
      <c r="BU218" s="18"/>
      <c r="BV218" s="18"/>
      <c r="BW218" s="18"/>
      <c r="BX218" s="17"/>
      <c r="BY218" s="17"/>
      <c r="BZ218" s="18"/>
    </row>
    <row r="219" spans="1:78" x14ac:dyDescent="0.3">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434">
        <v>45005</v>
      </c>
      <c r="AW219" s="421">
        <v>1428</v>
      </c>
      <c r="AX219" s="18"/>
      <c r="AY219" s="434">
        <v>45005</v>
      </c>
      <c r="AZ219" s="421">
        <v>20550.21</v>
      </c>
      <c r="BA219" s="18"/>
      <c r="BB219" s="18"/>
      <c r="BC219" s="18"/>
      <c r="BD219" s="434"/>
      <c r="BE219" s="421"/>
      <c r="BF219" s="18"/>
      <c r="BG219" s="18"/>
      <c r="BH219" s="18"/>
      <c r="BI219" s="18"/>
      <c r="BJ219" s="18"/>
      <c r="BK219" s="18"/>
      <c r="BL219" s="435">
        <f t="shared" si="24"/>
        <v>45005</v>
      </c>
      <c r="BM219" s="436">
        <f t="shared" si="25"/>
        <v>14.280000000000001</v>
      </c>
      <c r="BN219" s="436">
        <f t="shared" si="26"/>
        <v>1</v>
      </c>
      <c r="BO219" s="436">
        <f t="shared" si="27"/>
        <v>14.280000000000001</v>
      </c>
      <c r="BP219" s="436" t="e">
        <f t="shared" si="28"/>
        <v>#N/A</v>
      </c>
      <c r="BQ219" s="436" t="e">
        <f t="shared" si="31"/>
        <v>#N/A</v>
      </c>
      <c r="BR219" s="436" t="str">
        <f t="shared" si="29"/>
        <v/>
      </c>
      <c r="BS219" s="436" t="str">
        <f t="shared" si="30"/>
        <v/>
      </c>
      <c r="BT219" s="441"/>
      <c r="BU219" s="18"/>
      <c r="BV219" s="18"/>
      <c r="BW219" s="18"/>
      <c r="BX219" s="17"/>
      <c r="BY219" s="17"/>
      <c r="BZ219" s="18"/>
    </row>
    <row r="220" spans="1:78" x14ac:dyDescent="0.3">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434">
        <v>45007</v>
      </c>
      <c r="AW220" s="421">
        <v>1429</v>
      </c>
      <c r="AX220" s="18"/>
      <c r="AY220" s="434">
        <v>45007</v>
      </c>
      <c r="AZ220" s="421">
        <v>20564.599999999999</v>
      </c>
      <c r="BA220" s="18"/>
      <c r="BB220" s="18"/>
      <c r="BC220" s="18"/>
      <c r="BD220" s="434"/>
      <c r="BE220" s="421"/>
      <c r="BF220" s="18"/>
      <c r="BG220" s="18"/>
      <c r="BH220" s="18"/>
      <c r="BI220" s="18"/>
      <c r="BJ220" s="18"/>
      <c r="BK220" s="18"/>
      <c r="BL220" s="435">
        <f t="shared" si="24"/>
        <v>45007</v>
      </c>
      <c r="BM220" s="436">
        <f t="shared" si="25"/>
        <v>14.290000000000001</v>
      </c>
      <c r="BN220" s="436">
        <f t="shared" si="26"/>
        <v>1</v>
      </c>
      <c r="BO220" s="436">
        <f t="shared" si="27"/>
        <v>14.290000000000001</v>
      </c>
      <c r="BP220" s="436" t="e">
        <f t="shared" si="28"/>
        <v>#N/A</v>
      </c>
      <c r="BQ220" s="436" t="e">
        <f t="shared" si="31"/>
        <v>#N/A</v>
      </c>
      <c r="BR220" s="436" t="str">
        <f t="shared" si="29"/>
        <v/>
      </c>
      <c r="BS220" s="436" t="str">
        <f t="shared" si="30"/>
        <v/>
      </c>
      <c r="BT220" s="441"/>
      <c r="BU220" s="18"/>
      <c r="BV220" s="18"/>
      <c r="BW220" s="18"/>
      <c r="BX220" s="17"/>
      <c r="BY220" s="17"/>
      <c r="BZ220" s="18"/>
    </row>
    <row r="221" spans="1:78" x14ac:dyDescent="0.3">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434">
        <v>45008</v>
      </c>
      <c r="AW221" s="421">
        <v>1435</v>
      </c>
      <c r="AX221" s="18"/>
      <c r="AY221" s="434">
        <v>45008</v>
      </c>
      <c r="AZ221" s="421">
        <v>20650.939999999999</v>
      </c>
      <c r="BA221" s="18"/>
      <c r="BB221" s="18"/>
      <c r="BC221" s="18"/>
      <c r="BD221" s="434"/>
      <c r="BE221" s="421"/>
      <c r="BF221" s="18"/>
      <c r="BG221" s="18"/>
      <c r="BH221" s="18"/>
      <c r="BI221" s="18"/>
      <c r="BJ221" s="18"/>
      <c r="BK221" s="18"/>
      <c r="BL221" s="435">
        <f t="shared" si="24"/>
        <v>45008</v>
      </c>
      <c r="BM221" s="436">
        <f t="shared" si="25"/>
        <v>14.35</v>
      </c>
      <c r="BN221" s="436">
        <f t="shared" si="26"/>
        <v>1</v>
      </c>
      <c r="BO221" s="436">
        <f t="shared" si="27"/>
        <v>14.35</v>
      </c>
      <c r="BP221" s="436" t="e">
        <f t="shared" si="28"/>
        <v>#N/A</v>
      </c>
      <c r="BQ221" s="436" t="e">
        <f t="shared" si="31"/>
        <v>#N/A</v>
      </c>
      <c r="BR221" s="436" t="str">
        <f t="shared" si="29"/>
        <v/>
      </c>
      <c r="BS221" s="436" t="str">
        <f t="shared" si="30"/>
        <v/>
      </c>
      <c r="BT221" s="441"/>
      <c r="BU221" s="18"/>
      <c r="BV221" s="18"/>
      <c r="BW221" s="18"/>
      <c r="BX221" s="17"/>
      <c r="BY221" s="17"/>
      <c r="BZ221" s="18"/>
    </row>
    <row r="222" spans="1:78" x14ac:dyDescent="0.3">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434">
        <v>45009</v>
      </c>
      <c r="AW222" s="421">
        <v>1421</v>
      </c>
      <c r="AX222" s="18"/>
      <c r="AY222" s="434">
        <v>45009</v>
      </c>
      <c r="AZ222" s="421">
        <v>20449.47</v>
      </c>
      <c r="BA222" s="18"/>
      <c r="BB222" s="18"/>
      <c r="BC222" s="18"/>
      <c r="BD222" s="434"/>
      <c r="BE222" s="421"/>
      <c r="BF222" s="18"/>
      <c r="BG222" s="18"/>
      <c r="BH222" s="18"/>
      <c r="BI222" s="18"/>
      <c r="BJ222" s="18"/>
      <c r="BK222" s="18"/>
      <c r="BL222" s="435">
        <f t="shared" si="24"/>
        <v>45009</v>
      </c>
      <c r="BM222" s="436">
        <f t="shared" si="25"/>
        <v>14.21</v>
      </c>
      <c r="BN222" s="436">
        <f t="shared" si="26"/>
        <v>1</v>
      </c>
      <c r="BO222" s="436">
        <f t="shared" si="27"/>
        <v>14.21</v>
      </c>
      <c r="BP222" s="436" t="e">
        <f t="shared" si="28"/>
        <v>#N/A</v>
      </c>
      <c r="BQ222" s="436" t="e">
        <f t="shared" si="31"/>
        <v>#N/A</v>
      </c>
      <c r="BR222" s="436" t="str">
        <f t="shared" si="29"/>
        <v/>
      </c>
      <c r="BS222" s="436" t="str">
        <f t="shared" si="30"/>
        <v/>
      </c>
      <c r="BT222" s="441"/>
      <c r="BU222" s="18"/>
      <c r="BV222" s="18"/>
      <c r="BW222" s="18"/>
      <c r="BX222" s="17"/>
      <c r="BY222" s="17"/>
      <c r="BZ222" s="18"/>
    </row>
    <row r="223" spans="1:78" x14ac:dyDescent="0.3">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434">
        <v>45012</v>
      </c>
      <c r="AW223" s="421">
        <v>1436</v>
      </c>
      <c r="AX223" s="18"/>
      <c r="AY223" s="434">
        <v>45012</v>
      </c>
      <c r="AZ223" s="421">
        <v>20665.330000000002</v>
      </c>
      <c r="BA223" s="18"/>
      <c r="BB223" s="18"/>
      <c r="BC223" s="18"/>
      <c r="BD223" s="434"/>
      <c r="BE223" s="421"/>
      <c r="BF223" s="18"/>
      <c r="BG223" s="18"/>
      <c r="BH223" s="18"/>
      <c r="BI223" s="18"/>
      <c r="BJ223" s="18"/>
      <c r="BK223" s="18"/>
      <c r="BL223" s="435">
        <f t="shared" si="24"/>
        <v>45012</v>
      </c>
      <c r="BM223" s="436">
        <f t="shared" si="25"/>
        <v>14.36</v>
      </c>
      <c r="BN223" s="436">
        <f t="shared" si="26"/>
        <v>1</v>
      </c>
      <c r="BO223" s="436">
        <f t="shared" si="27"/>
        <v>14.36</v>
      </c>
      <c r="BP223" s="436" t="e">
        <f t="shared" si="28"/>
        <v>#N/A</v>
      </c>
      <c r="BQ223" s="436" t="e">
        <f t="shared" si="31"/>
        <v>#N/A</v>
      </c>
      <c r="BR223" s="436" t="str">
        <f t="shared" si="29"/>
        <v/>
      </c>
      <c r="BS223" s="436" t="str">
        <f t="shared" si="30"/>
        <v/>
      </c>
      <c r="BT223" s="441"/>
      <c r="BU223" s="18"/>
      <c r="BV223" s="18"/>
      <c r="BW223" s="18"/>
      <c r="BX223" s="17"/>
      <c r="BY223" s="17"/>
      <c r="BZ223" s="18"/>
    </row>
    <row r="224" spans="1:78" x14ac:dyDescent="0.3">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434">
        <v>45013</v>
      </c>
      <c r="AW224" s="421">
        <v>1436</v>
      </c>
      <c r="AX224" s="18"/>
      <c r="AY224" s="434">
        <v>45013</v>
      </c>
      <c r="AZ224" s="421">
        <v>20665.330000000002</v>
      </c>
      <c r="BA224" s="18"/>
      <c r="BB224" s="18"/>
      <c r="BC224" s="18"/>
      <c r="BD224" s="434"/>
      <c r="BE224" s="421"/>
      <c r="BF224" s="18"/>
      <c r="BG224" s="18"/>
      <c r="BH224" s="18"/>
      <c r="BI224" s="18"/>
      <c r="BJ224" s="18"/>
      <c r="BK224" s="18"/>
      <c r="BL224" s="435">
        <f t="shared" si="24"/>
        <v>45013</v>
      </c>
      <c r="BM224" s="436">
        <f t="shared" si="25"/>
        <v>14.36</v>
      </c>
      <c r="BN224" s="436">
        <f t="shared" si="26"/>
        <v>1</v>
      </c>
      <c r="BO224" s="436">
        <f t="shared" si="27"/>
        <v>14.36</v>
      </c>
      <c r="BP224" s="436" t="e">
        <f t="shared" si="28"/>
        <v>#N/A</v>
      </c>
      <c r="BQ224" s="436" t="e">
        <f t="shared" si="31"/>
        <v>#N/A</v>
      </c>
      <c r="BR224" s="436" t="str">
        <f t="shared" si="29"/>
        <v/>
      </c>
      <c r="BS224" s="436" t="str">
        <f t="shared" si="30"/>
        <v/>
      </c>
      <c r="BT224" s="441"/>
      <c r="BU224" s="18"/>
      <c r="BV224" s="18"/>
      <c r="BW224" s="18"/>
      <c r="BX224" s="17"/>
      <c r="BY224" s="17"/>
      <c r="BZ224" s="18"/>
    </row>
    <row r="225" spans="1:78" x14ac:dyDescent="0.3">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434">
        <v>45014</v>
      </c>
      <c r="AW225" s="421">
        <v>1444</v>
      </c>
      <c r="AX225" s="18"/>
      <c r="AY225" s="434">
        <v>45014</v>
      </c>
      <c r="AZ225" s="421">
        <v>20780.46</v>
      </c>
      <c r="BA225" s="18"/>
      <c r="BB225" s="18"/>
      <c r="BC225" s="18"/>
      <c r="BD225" s="434"/>
      <c r="BE225" s="421"/>
      <c r="BF225" s="18"/>
      <c r="BG225" s="18"/>
      <c r="BH225" s="18"/>
      <c r="BI225" s="18"/>
      <c r="BJ225" s="18"/>
      <c r="BK225" s="18"/>
      <c r="BL225" s="435">
        <f t="shared" si="24"/>
        <v>45014</v>
      </c>
      <c r="BM225" s="436">
        <f t="shared" si="25"/>
        <v>14.44</v>
      </c>
      <c r="BN225" s="436">
        <f t="shared" si="26"/>
        <v>1</v>
      </c>
      <c r="BO225" s="436">
        <f t="shared" si="27"/>
        <v>14.44</v>
      </c>
      <c r="BP225" s="436" t="e">
        <f t="shared" si="28"/>
        <v>#N/A</v>
      </c>
      <c r="BQ225" s="436" t="e">
        <f t="shared" si="31"/>
        <v>#N/A</v>
      </c>
      <c r="BR225" s="436" t="str">
        <f t="shared" si="29"/>
        <v/>
      </c>
      <c r="BS225" s="436" t="str">
        <f t="shared" si="30"/>
        <v/>
      </c>
      <c r="BT225" s="441"/>
      <c r="BU225" s="18"/>
      <c r="BV225" s="18"/>
      <c r="BW225" s="18"/>
      <c r="BX225" s="17"/>
      <c r="BY225" s="17"/>
      <c r="BZ225" s="18"/>
    </row>
    <row r="226" spans="1:78" x14ac:dyDescent="0.3">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434">
        <v>45015</v>
      </c>
      <c r="AW226" s="421">
        <v>1467</v>
      </c>
      <c r="AX226" s="18"/>
      <c r="AY226" s="434">
        <v>45015</v>
      </c>
      <c r="AZ226" s="421">
        <v>21111.45</v>
      </c>
      <c r="BA226" s="18"/>
      <c r="BB226" s="18"/>
      <c r="BC226" s="18"/>
      <c r="BD226" s="434"/>
      <c r="BE226" s="421"/>
      <c r="BF226" s="18"/>
      <c r="BG226" s="18"/>
      <c r="BH226" s="18"/>
      <c r="BI226" s="18"/>
      <c r="BJ226" s="18"/>
      <c r="BK226" s="18"/>
      <c r="BL226" s="435">
        <f t="shared" si="24"/>
        <v>45015</v>
      </c>
      <c r="BM226" s="436">
        <f t="shared" si="25"/>
        <v>14.67</v>
      </c>
      <c r="BN226" s="436">
        <f t="shared" si="26"/>
        <v>1</v>
      </c>
      <c r="BO226" s="436">
        <f t="shared" si="27"/>
        <v>14.67</v>
      </c>
      <c r="BP226" s="436" t="e">
        <f t="shared" si="28"/>
        <v>#N/A</v>
      </c>
      <c r="BQ226" s="436" t="e">
        <f t="shared" si="31"/>
        <v>#N/A</v>
      </c>
      <c r="BR226" s="436" t="str">
        <f t="shared" si="29"/>
        <v/>
      </c>
      <c r="BS226" s="436" t="str">
        <f t="shared" si="30"/>
        <v/>
      </c>
      <c r="BT226" s="441"/>
      <c r="BU226" s="18"/>
      <c r="BV226" s="18"/>
      <c r="BW226" s="18"/>
      <c r="BX226" s="17"/>
      <c r="BY226" s="17"/>
      <c r="BZ226" s="18"/>
    </row>
    <row r="227" spans="1:78" x14ac:dyDescent="0.3">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434">
        <v>45016</v>
      </c>
      <c r="AW227" s="421">
        <v>1481</v>
      </c>
      <c r="AX227" s="18"/>
      <c r="AY227" s="434">
        <v>45016</v>
      </c>
      <c r="AZ227" s="421">
        <v>21312.92</v>
      </c>
      <c r="BA227" s="18"/>
      <c r="BB227" s="18"/>
      <c r="BC227" s="18"/>
      <c r="BD227" s="434"/>
      <c r="BE227" s="421"/>
      <c r="BF227" s="18"/>
      <c r="BG227" s="18"/>
      <c r="BH227" s="18"/>
      <c r="BI227" s="18"/>
      <c r="BJ227" s="18"/>
      <c r="BK227" s="18"/>
      <c r="BL227" s="435">
        <f t="shared" si="24"/>
        <v>45016</v>
      </c>
      <c r="BM227" s="436">
        <f t="shared" si="25"/>
        <v>14.81</v>
      </c>
      <c r="BN227" s="436">
        <f t="shared" si="26"/>
        <v>1</v>
      </c>
      <c r="BO227" s="436">
        <f t="shared" si="27"/>
        <v>14.81</v>
      </c>
      <c r="BP227" s="436" t="e">
        <f t="shared" si="28"/>
        <v>#N/A</v>
      </c>
      <c r="BQ227" s="436" t="e">
        <f t="shared" si="31"/>
        <v>#N/A</v>
      </c>
      <c r="BR227" s="436" t="str">
        <f t="shared" si="29"/>
        <v/>
      </c>
      <c r="BS227" s="436" t="str">
        <f t="shared" si="30"/>
        <v/>
      </c>
      <c r="BT227" s="441"/>
      <c r="BU227" s="18"/>
      <c r="BV227" s="18"/>
      <c r="BW227" s="18"/>
      <c r="BX227" s="17"/>
      <c r="BY227" s="17"/>
      <c r="BZ227" s="18"/>
    </row>
    <row r="228" spans="1:78" x14ac:dyDescent="0.3">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434">
        <v>45019</v>
      </c>
      <c r="AW228" s="421">
        <v>1468</v>
      </c>
      <c r="AX228" s="18"/>
      <c r="AY228" s="434">
        <v>45019</v>
      </c>
      <c r="AZ228" s="421">
        <v>21125.84</v>
      </c>
      <c r="BA228" s="18"/>
      <c r="BB228" s="18"/>
      <c r="BC228" s="18"/>
      <c r="BD228" s="434"/>
      <c r="BE228" s="421"/>
      <c r="BF228" s="18"/>
      <c r="BG228" s="18"/>
      <c r="BH228" s="18"/>
      <c r="BI228" s="18"/>
      <c r="BJ228" s="18"/>
      <c r="BK228" s="18"/>
      <c r="BL228" s="435">
        <f t="shared" si="24"/>
        <v>45019</v>
      </c>
      <c r="BM228" s="436">
        <f t="shared" si="25"/>
        <v>14.68</v>
      </c>
      <c r="BN228" s="436">
        <f t="shared" si="26"/>
        <v>1</v>
      </c>
      <c r="BO228" s="436">
        <f t="shared" si="27"/>
        <v>14.68</v>
      </c>
      <c r="BP228" s="436" t="e">
        <f t="shared" si="28"/>
        <v>#N/A</v>
      </c>
      <c r="BQ228" s="436" t="e">
        <f t="shared" si="31"/>
        <v>#N/A</v>
      </c>
      <c r="BR228" s="436" t="str">
        <f t="shared" si="29"/>
        <v/>
      </c>
      <c r="BS228" s="436" t="str">
        <f t="shared" si="30"/>
        <v/>
      </c>
      <c r="BT228" s="441"/>
      <c r="BU228" s="18"/>
      <c r="BV228" s="18"/>
      <c r="BW228" s="18"/>
      <c r="BX228" s="17"/>
      <c r="BY228" s="17"/>
      <c r="BZ228" s="18"/>
    </row>
    <row r="229" spans="1:78" x14ac:dyDescent="0.3">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434">
        <v>45020</v>
      </c>
      <c r="AW229" s="421">
        <v>1486</v>
      </c>
      <c r="AX229" s="18"/>
      <c r="AY229" s="434">
        <v>45020</v>
      </c>
      <c r="AZ229" s="421">
        <v>21384.880000000001</v>
      </c>
      <c r="BA229" s="18"/>
      <c r="BB229" s="18"/>
      <c r="BC229" s="18"/>
      <c r="BD229" s="434"/>
      <c r="BE229" s="421"/>
      <c r="BF229" s="18"/>
      <c r="BG229" s="18"/>
      <c r="BH229" s="18"/>
      <c r="BI229" s="18"/>
      <c r="BJ229" s="18"/>
      <c r="BK229" s="18"/>
      <c r="BL229" s="435">
        <f t="shared" si="24"/>
        <v>45020</v>
      </c>
      <c r="BM229" s="436">
        <f t="shared" si="25"/>
        <v>14.86</v>
      </c>
      <c r="BN229" s="436">
        <f t="shared" si="26"/>
        <v>1</v>
      </c>
      <c r="BO229" s="436">
        <f t="shared" si="27"/>
        <v>14.86</v>
      </c>
      <c r="BP229" s="436" t="e">
        <f t="shared" si="28"/>
        <v>#N/A</v>
      </c>
      <c r="BQ229" s="436" t="e">
        <f t="shared" si="31"/>
        <v>#N/A</v>
      </c>
      <c r="BR229" s="436" t="str">
        <f t="shared" si="29"/>
        <v/>
      </c>
      <c r="BS229" s="436" t="str">
        <f t="shared" si="30"/>
        <v/>
      </c>
      <c r="BT229" s="441"/>
      <c r="BU229" s="18"/>
      <c r="BV229" s="18"/>
      <c r="BW229" s="18"/>
      <c r="BX229" s="17"/>
      <c r="BY229" s="17"/>
      <c r="BZ229" s="18"/>
    </row>
    <row r="230" spans="1:78" x14ac:dyDescent="0.3">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434">
        <v>45021</v>
      </c>
      <c r="AW230" s="421">
        <v>1485</v>
      </c>
      <c r="AX230" s="18"/>
      <c r="AY230" s="434">
        <v>45021</v>
      </c>
      <c r="AZ230" s="421">
        <v>21370.49</v>
      </c>
      <c r="BA230" s="18"/>
      <c r="BB230" s="18"/>
      <c r="BC230" s="18"/>
      <c r="BD230" s="434"/>
      <c r="BE230" s="421"/>
      <c r="BF230" s="18"/>
      <c r="BG230" s="18"/>
      <c r="BH230" s="18"/>
      <c r="BI230" s="18"/>
      <c r="BJ230" s="18"/>
      <c r="BK230" s="18"/>
      <c r="BL230" s="435">
        <f t="shared" si="24"/>
        <v>45021</v>
      </c>
      <c r="BM230" s="436">
        <f t="shared" si="25"/>
        <v>14.85</v>
      </c>
      <c r="BN230" s="436">
        <f t="shared" si="26"/>
        <v>1</v>
      </c>
      <c r="BO230" s="436">
        <f t="shared" si="27"/>
        <v>14.85</v>
      </c>
      <c r="BP230" s="436" t="e">
        <f t="shared" si="28"/>
        <v>#N/A</v>
      </c>
      <c r="BQ230" s="436" t="e">
        <f t="shared" si="31"/>
        <v>#N/A</v>
      </c>
      <c r="BR230" s="436" t="str">
        <f t="shared" si="29"/>
        <v/>
      </c>
      <c r="BS230" s="436" t="str">
        <f t="shared" si="30"/>
        <v/>
      </c>
      <c r="BT230" s="441"/>
      <c r="BU230" s="18"/>
      <c r="BV230" s="18"/>
      <c r="BW230" s="18"/>
      <c r="BX230" s="17"/>
      <c r="BY230" s="17"/>
      <c r="BZ230" s="18"/>
    </row>
    <row r="231" spans="1:78" x14ac:dyDescent="0.3">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434">
        <v>45022</v>
      </c>
      <c r="AW231" s="421">
        <v>1504</v>
      </c>
      <c r="AX231" s="18"/>
      <c r="AY231" s="434">
        <v>45022</v>
      </c>
      <c r="AZ231" s="421">
        <v>21643.91</v>
      </c>
      <c r="BA231" s="18"/>
      <c r="BB231" s="18"/>
      <c r="BC231" s="18"/>
      <c r="BD231" s="434"/>
      <c r="BE231" s="421"/>
      <c r="BF231" s="18"/>
      <c r="BG231" s="18"/>
      <c r="BH231" s="18"/>
      <c r="BI231" s="18"/>
      <c r="BJ231" s="18"/>
      <c r="BK231" s="18"/>
      <c r="BL231" s="435">
        <f t="shared" si="24"/>
        <v>45022</v>
      </c>
      <c r="BM231" s="436">
        <f t="shared" si="25"/>
        <v>15.040000000000001</v>
      </c>
      <c r="BN231" s="436">
        <f t="shared" si="26"/>
        <v>1</v>
      </c>
      <c r="BO231" s="436">
        <f t="shared" si="27"/>
        <v>15.040000000000001</v>
      </c>
      <c r="BP231" s="436" t="e">
        <f t="shared" si="28"/>
        <v>#N/A</v>
      </c>
      <c r="BQ231" s="436" t="e">
        <f t="shared" si="31"/>
        <v>#N/A</v>
      </c>
      <c r="BR231" s="436" t="str">
        <f t="shared" si="29"/>
        <v/>
      </c>
      <c r="BS231" s="436" t="str">
        <f t="shared" si="30"/>
        <v/>
      </c>
      <c r="BT231" s="441"/>
      <c r="BU231" s="18"/>
      <c r="BV231" s="18"/>
      <c r="BW231" s="18"/>
      <c r="BX231" s="17"/>
      <c r="BY231" s="17"/>
      <c r="BZ231" s="18"/>
    </row>
    <row r="232" spans="1:78" x14ac:dyDescent="0.3">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434">
        <v>45027</v>
      </c>
      <c r="AW232" s="421">
        <v>1501</v>
      </c>
      <c r="AX232" s="18"/>
      <c r="AY232" s="434">
        <v>45027</v>
      </c>
      <c r="AZ232" s="421">
        <v>21600.74</v>
      </c>
      <c r="BA232" s="18"/>
      <c r="BB232" s="18"/>
      <c r="BC232" s="18"/>
      <c r="BD232" s="434"/>
      <c r="BE232" s="421"/>
      <c r="BF232" s="18"/>
      <c r="BG232" s="18"/>
      <c r="BH232" s="18"/>
      <c r="BI232" s="18"/>
      <c r="BJ232" s="18"/>
      <c r="BK232" s="18"/>
      <c r="BL232" s="435">
        <f t="shared" si="24"/>
        <v>45027</v>
      </c>
      <c r="BM232" s="436">
        <f t="shared" si="25"/>
        <v>15.01</v>
      </c>
      <c r="BN232" s="436">
        <f t="shared" si="26"/>
        <v>1</v>
      </c>
      <c r="BO232" s="436">
        <f t="shared" si="27"/>
        <v>15.01</v>
      </c>
      <c r="BP232" s="436" t="e">
        <f t="shared" si="28"/>
        <v>#N/A</v>
      </c>
      <c r="BQ232" s="436" t="e">
        <f t="shared" si="31"/>
        <v>#N/A</v>
      </c>
      <c r="BR232" s="436" t="str">
        <f t="shared" si="29"/>
        <v/>
      </c>
      <c r="BS232" s="436" t="str">
        <f t="shared" si="30"/>
        <v/>
      </c>
      <c r="BT232" s="441"/>
      <c r="BU232" s="18"/>
      <c r="BV232" s="18"/>
      <c r="BW232" s="18"/>
      <c r="BX232" s="17"/>
      <c r="BY232" s="17"/>
      <c r="BZ232" s="18"/>
    </row>
    <row r="233" spans="1:78" x14ac:dyDescent="0.3">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434">
        <v>45028</v>
      </c>
      <c r="AW233" s="421">
        <v>1494</v>
      </c>
      <c r="AX233" s="18"/>
      <c r="AY233" s="434">
        <v>45028</v>
      </c>
      <c r="AZ233" s="421">
        <v>21500</v>
      </c>
      <c r="BA233" s="18"/>
      <c r="BB233" s="18"/>
      <c r="BC233" s="18"/>
      <c r="BD233" s="434"/>
      <c r="BE233" s="421"/>
      <c r="BF233" s="18"/>
      <c r="BG233" s="18"/>
      <c r="BH233" s="18"/>
      <c r="BI233" s="18"/>
      <c r="BJ233" s="18"/>
      <c r="BK233" s="18"/>
      <c r="BL233" s="435">
        <f t="shared" si="24"/>
        <v>45028</v>
      </c>
      <c r="BM233" s="436">
        <f t="shared" si="25"/>
        <v>14.94</v>
      </c>
      <c r="BN233" s="436">
        <f t="shared" si="26"/>
        <v>1</v>
      </c>
      <c r="BO233" s="436">
        <f t="shared" si="27"/>
        <v>14.94</v>
      </c>
      <c r="BP233" s="436" t="e">
        <f t="shared" si="28"/>
        <v>#N/A</v>
      </c>
      <c r="BQ233" s="436" t="e">
        <f t="shared" si="31"/>
        <v>#N/A</v>
      </c>
      <c r="BR233" s="436" t="str">
        <f t="shared" si="29"/>
        <v/>
      </c>
      <c r="BS233" s="436" t="str">
        <f t="shared" si="30"/>
        <v/>
      </c>
      <c r="BT233" s="441"/>
      <c r="BU233" s="18"/>
      <c r="BV233" s="18"/>
      <c r="BW233" s="18"/>
      <c r="BX233" s="17"/>
      <c r="BY233" s="17"/>
      <c r="BZ233" s="18"/>
    </row>
    <row r="234" spans="1:78" x14ac:dyDescent="0.3">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434">
        <v>45029</v>
      </c>
      <c r="AW234" s="421">
        <v>1481</v>
      </c>
      <c r="AX234" s="18"/>
      <c r="AY234" s="434">
        <v>45029</v>
      </c>
      <c r="AZ234" s="421">
        <v>21312.92</v>
      </c>
      <c r="BA234" s="18"/>
      <c r="BB234" s="18"/>
      <c r="BC234" s="18"/>
      <c r="BD234" s="434"/>
      <c r="BE234" s="421"/>
      <c r="BF234" s="18"/>
      <c r="BG234" s="18"/>
      <c r="BH234" s="18"/>
      <c r="BI234" s="18"/>
      <c r="BJ234" s="18"/>
      <c r="BK234" s="18"/>
      <c r="BL234" s="435">
        <f t="shared" si="24"/>
        <v>45029</v>
      </c>
      <c r="BM234" s="436">
        <f t="shared" si="25"/>
        <v>14.81</v>
      </c>
      <c r="BN234" s="436">
        <f t="shared" si="26"/>
        <v>1</v>
      </c>
      <c r="BO234" s="436">
        <f t="shared" si="27"/>
        <v>14.81</v>
      </c>
      <c r="BP234" s="436" t="e">
        <f t="shared" si="28"/>
        <v>#N/A</v>
      </c>
      <c r="BQ234" s="436" t="e">
        <f t="shared" si="31"/>
        <v>#N/A</v>
      </c>
      <c r="BR234" s="436" t="str">
        <f t="shared" si="29"/>
        <v/>
      </c>
      <c r="BS234" s="436" t="str">
        <f t="shared" si="30"/>
        <v/>
      </c>
      <c r="BT234" s="441"/>
      <c r="BU234" s="18"/>
      <c r="BV234" s="18"/>
      <c r="BW234" s="18"/>
      <c r="BX234" s="17"/>
      <c r="BY234" s="17"/>
      <c r="BZ234" s="18"/>
    </row>
    <row r="235" spans="1:78" x14ac:dyDescent="0.3">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434">
        <v>45030</v>
      </c>
      <c r="AW235" s="421">
        <v>1484</v>
      </c>
      <c r="AX235" s="18"/>
      <c r="AY235" s="434">
        <v>45030</v>
      </c>
      <c r="AZ235" s="421">
        <v>21356.1</v>
      </c>
      <c r="BA235" s="18"/>
      <c r="BB235" s="18"/>
      <c r="BC235" s="18"/>
      <c r="BD235" s="434"/>
      <c r="BE235" s="421"/>
      <c r="BF235" s="18"/>
      <c r="BG235" s="18"/>
      <c r="BH235" s="18"/>
      <c r="BI235" s="18"/>
      <c r="BJ235" s="18"/>
      <c r="BK235" s="18"/>
      <c r="BL235" s="435">
        <f t="shared" si="24"/>
        <v>45030</v>
      </c>
      <c r="BM235" s="436">
        <f t="shared" si="25"/>
        <v>14.84</v>
      </c>
      <c r="BN235" s="436">
        <f t="shared" si="26"/>
        <v>1</v>
      </c>
      <c r="BO235" s="436">
        <f t="shared" si="27"/>
        <v>14.84</v>
      </c>
      <c r="BP235" s="436" t="e">
        <f t="shared" si="28"/>
        <v>#N/A</v>
      </c>
      <c r="BQ235" s="436" t="e">
        <f t="shared" si="31"/>
        <v>#N/A</v>
      </c>
      <c r="BR235" s="436" t="str">
        <f t="shared" si="29"/>
        <v/>
      </c>
      <c r="BS235" s="436" t="str">
        <f t="shared" si="30"/>
        <v/>
      </c>
      <c r="BT235" s="441"/>
      <c r="BU235" s="18"/>
      <c r="BV235" s="18"/>
      <c r="BW235" s="18"/>
      <c r="BX235" s="17"/>
      <c r="BY235" s="17"/>
      <c r="BZ235" s="18"/>
    </row>
    <row r="236" spans="1:78" x14ac:dyDescent="0.3">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434">
        <v>45033</v>
      </c>
      <c r="AW236" s="421">
        <v>1468</v>
      </c>
      <c r="AX236" s="18"/>
      <c r="AY236" s="434">
        <v>45033</v>
      </c>
      <c r="AZ236" s="421">
        <v>21125.84</v>
      </c>
      <c r="BA236" s="18"/>
      <c r="BB236" s="18"/>
      <c r="BC236" s="18"/>
      <c r="BD236" s="434"/>
      <c r="BE236" s="421"/>
      <c r="BF236" s="18"/>
      <c r="BG236" s="18"/>
      <c r="BH236" s="18"/>
      <c r="BI236" s="18"/>
      <c r="BJ236" s="18"/>
      <c r="BK236" s="18"/>
      <c r="BL236" s="435">
        <f t="shared" si="24"/>
        <v>45033</v>
      </c>
      <c r="BM236" s="436">
        <f t="shared" si="25"/>
        <v>14.68</v>
      </c>
      <c r="BN236" s="436">
        <f t="shared" si="26"/>
        <v>1</v>
      </c>
      <c r="BO236" s="436">
        <f t="shared" si="27"/>
        <v>14.68</v>
      </c>
      <c r="BP236" s="436" t="e">
        <f t="shared" si="28"/>
        <v>#N/A</v>
      </c>
      <c r="BQ236" s="436" t="e">
        <f t="shared" si="31"/>
        <v>#N/A</v>
      </c>
      <c r="BR236" s="436" t="str">
        <f t="shared" si="29"/>
        <v/>
      </c>
      <c r="BS236" s="436" t="str">
        <f t="shared" si="30"/>
        <v/>
      </c>
      <c r="BT236" s="441"/>
      <c r="BU236" s="18"/>
      <c r="BV236" s="18"/>
      <c r="BW236" s="18"/>
      <c r="BX236" s="17"/>
      <c r="BY236" s="17"/>
      <c r="BZ236" s="18"/>
    </row>
    <row r="237" spans="1:78" x14ac:dyDescent="0.3">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434">
        <v>45034</v>
      </c>
      <c r="AW237" s="421">
        <v>1476</v>
      </c>
      <c r="AX237" s="18"/>
      <c r="AY237" s="434">
        <v>45034</v>
      </c>
      <c r="AZ237" s="421">
        <v>21240.97</v>
      </c>
      <c r="BA237" s="18"/>
      <c r="BB237" s="18"/>
      <c r="BC237" s="18"/>
      <c r="BD237" s="434"/>
      <c r="BE237" s="421"/>
      <c r="BF237" s="18"/>
      <c r="BG237" s="18"/>
      <c r="BH237" s="18"/>
      <c r="BI237" s="18"/>
      <c r="BJ237" s="18"/>
      <c r="BK237" s="18"/>
      <c r="BL237" s="435">
        <f t="shared" si="24"/>
        <v>45034</v>
      </c>
      <c r="BM237" s="436">
        <f t="shared" si="25"/>
        <v>14.76</v>
      </c>
      <c r="BN237" s="436">
        <f t="shared" si="26"/>
        <v>1</v>
      </c>
      <c r="BO237" s="436">
        <f t="shared" si="27"/>
        <v>14.76</v>
      </c>
      <c r="BP237" s="436" t="e">
        <f t="shared" si="28"/>
        <v>#N/A</v>
      </c>
      <c r="BQ237" s="436" t="e">
        <f t="shared" si="31"/>
        <v>#N/A</v>
      </c>
      <c r="BR237" s="436" t="str">
        <f t="shared" si="29"/>
        <v/>
      </c>
      <c r="BS237" s="436" t="str">
        <f t="shared" si="30"/>
        <v/>
      </c>
      <c r="BT237" s="441"/>
      <c r="BU237" s="18"/>
      <c r="BV237" s="18"/>
      <c r="BW237" s="18"/>
      <c r="BX237" s="17"/>
      <c r="BY237" s="17"/>
      <c r="BZ237" s="18"/>
    </row>
    <row r="238" spans="1:78" x14ac:dyDescent="0.3">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434">
        <v>45035</v>
      </c>
      <c r="AW238" s="421">
        <v>1491</v>
      </c>
      <c r="AX238" s="18"/>
      <c r="AY238" s="434">
        <v>45035</v>
      </c>
      <c r="AZ238" s="421">
        <v>21456.83</v>
      </c>
      <c r="BA238" s="18"/>
      <c r="BB238" s="18"/>
      <c r="BC238" s="18"/>
      <c r="BD238" s="434"/>
      <c r="BE238" s="421"/>
      <c r="BF238" s="18"/>
      <c r="BG238" s="18"/>
      <c r="BH238" s="18"/>
      <c r="BI238" s="18"/>
      <c r="BJ238" s="18"/>
      <c r="BK238" s="18"/>
      <c r="BL238" s="435">
        <f t="shared" si="24"/>
        <v>45035</v>
      </c>
      <c r="BM238" s="436">
        <f t="shared" si="25"/>
        <v>14.91</v>
      </c>
      <c r="BN238" s="436">
        <f t="shared" si="26"/>
        <v>1</v>
      </c>
      <c r="BO238" s="436">
        <f t="shared" si="27"/>
        <v>14.91</v>
      </c>
      <c r="BP238" s="436" t="e">
        <f t="shared" si="28"/>
        <v>#N/A</v>
      </c>
      <c r="BQ238" s="436" t="e">
        <f t="shared" si="31"/>
        <v>#N/A</v>
      </c>
      <c r="BR238" s="436" t="str">
        <f t="shared" si="29"/>
        <v/>
      </c>
      <c r="BS238" s="436" t="str">
        <f t="shared" si="30"/>
        <v/>
      </c>
      <c r="BT238" s="441"/>
      <c r="BU238" s="18"/>
      <c r="BV238" s="18"/>
      <c r="BW238" s="18"/>
      <c r="BX238" s="17"/>
      <c r="BY238" s="17"/>
      <c r="BZ238" s="18"/>
    </row>
    <row r="239" spans="1:78" x14ac:dyDescent="0.3">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434">
        <v>45036</v>
      </c>
      <c r="AW239" s="421">
        <v>1500</v>
      </c>
      <c r="AX239" s="18"/>
      <c r="AY239" s="434">
        <v>45036</v>
      </c>
      <c r="AZ239" s="421">
        <v>21586.35</v>
      </c>
      <c r="BA239" s="18"/>
      <c r="BB239" s="18"/>
      <c r="BC239" s="18"/>
      <c r="BD239" s="434"/>
      <c r="BE239" s="421"/>
      <c r="BF239" s="18"/>
      <c r="BG239" s="18"/>
      <c r="BH239" s="18"/>
      <c r="BI239" s="18"/>
      <c r="BJ239" s="18"/>
      <c r="BK239" s="18"/>
      <c r="BL239" s="435">
        <f t="shared" si="24"/>
        <v>45036</v>
      </c>
      <c r="BM239" s="436">
        <f t="shared" si="25"/>
        <v>15</v>
      </c>
      <c r="BN239" s="436">
        <f t="shared" si="26"/>
        <v>1</v>
      </c>
      <c r="BO239" s="436">
        <f t="shared" si="27"/>
        <v>15</v>
      </c>
      <c r="BP239" s="436" t="e">
        <f t="shared" si="28"/>
        <v>#N/A</v>
      </c>
      <c r="BQ239" s="436" t="e">
        <f t="shared" si="31"/>
        <v>#N/A</v>
      </c>
      <c r="BR239" s="436" t="str">
        <f t="shared" si="29"/>
        <v/>
      </c>
      <c r="BS239" s="436" t="str">
        <f t="shared" si="30"/>
        <v/>
      </c>
      <c r="BT239" s="441"/>
      <c r="BU239" s="18"/>
      <c r="BV239" s="18"/>
      <c r="BW239" s="18"/>
      <c r="BX239" s="17"/>
      <c r="BY239" s="17"/>
      <c r="BZ239" s="18"/>
    </row>
    <row r="240" spans="1:78" x14ac:dyDescent="0.3">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434">
        <v>45037</v>
      </c>
      <c r="AW240" s="421">
        <v>1515</v>
      </c>
      <c r="AX240" s="18"/>
      <c r="AY240" s="434">
        <v>45037</v>
      </c>
      <c r="AZ240" s="421">
        <v>21802.21</v>
      </c>
      <c r="BA240" s="18"/>
      <c r="BB240" s="18"/>
      <c r="BC240" s="18"/>
      <c r="BD240" s="434"/>
      <c r="BE240" s="421"/>
      <c r="BF240" s="18"/>
      <c r="BG240" s="18"/>
      <c r="BH240" s="18"/>
      <c r="BI240" s="18"/>
      <c r="BJ240" s="18"/>
      <c r="BK240" s="18"/>
      <c r="BL240" s="435">
        <f t="shared" si="24"/>
        <v>45037</v>
      </c>
      <c r="BM240" s="436">
        <f t="shared" si="25"/>
        <v>15.15</v>
      </c>
      <c r="BN240" s="436">
        <f t="shared" si="26"/>
        <v>1</v>
      </c>
      <c r="BO240" s="436">
        <f t="shared" si="27"/>
        <v>15.15</v>
      </c>
      <c r="BP240" s="436" t="e">
        <f t="shared" si="28"/>
        <v>#N/A</v>
      </c>
      <c r="BQ240" s="436" t="e">
        <f t="shared" si="31"/>
        <v>#N/A</v>
      </c>
      <c r="BR240" s="436" t="str">
        <f t="shared" si="29"/>
        <v/>
      </c>
      <c r="BS240" s="436" t="str">
        <f t="shared" si="30"/>
        <v/>
      </c>
      <c r="BT240" s="441"/>
      <c r="BU240" s="18"/>
      <c r="BV240" s="18"/>
      <c r="BW240" s="18"/>
      <c r="BX240" s="17"/>
      <c r="BY240" s="17"/>
      <c r="BZ240" s="18"/>
    </row>
    <row r="241" spans="1:78" x14ac:dyDescent="0.3">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434">
        <v>45040</v>
      </c>
      <c r="AW241" s="421">
        <v>1550</v>
      </c>
      <c r="AX241" s="18"/>
      <c r="AY241" s="434">
        <v>45040</v>
      </c>
      <c r="AZ241" s="421">
        <v>22305.9</v>
      </c>
      <c r="BA241" s="18"/>
      <c r="BB241" s="18"/>
      <c r="BC241" s="18"/>
      <c r="BD241" s="434"/>
      <c r="BE241" s="421"/>
      <c r="BF241" s="18"/>
      <c r="BG241" s="18"/>
      <c r="BH241" s="18"/>
      <c r="BI241" s="18"/>
      <c r="BJ241" s="18"/>
      <c r="BK241" s="18"/>
      <c r="BL241" s="435">
        <f t="shared" si="24"/>
        <v>45040</v>
      </c>
      <c r="BM241" s="436">
        <f t="shared" si="25"/>
        <v>15.5</v>
      </c>
      <c r="BN241" s="436">
        <f t="shared" si="26"/>
        <v>1</v>
      </c>
      <c r="BO241" s="436">
        <f t="shared" si="27"/>
        <v>15.5</v>
      </c>
      <c r="BP241" s="436" t="e">
        <f t="shared" si="28"/>
        <v>#N/A</v>
      </c>
      <c r="BQ241" s="436" t="e">
        <f t="shared" si="31"/>
        <v>#N/A</v>
      </c>
      <c r="BR241" s="436" t="str">
        <f t="shared" si="29"/>
        <v/>
      </c>
      <c r="BS241" s="436" t="str">
        <f t="shared" si="30"/>
        <v/>
      </c>
      <c r="BT241" s="441"/>
      <c r="BU241" s="18"/>
      <c r="BV241" s="18"/>
      <c r="BW241" s="18"/>
      <c r="BX241" s="17"/>
      <c r="BY241" s="17"/>
      <c r="BZ241" s="18"/>
    </row>
    <row r="242" spans="1:78" x14ac:dyDescent="0.3">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434">
        <v>45041</v>
      </c>
      <c r="AW242" s="421">
        <v>1539</v>
      </c>
      <c r="AX242" s="18"/>
      <c r="AY242" s="434">
        <v>45041</v>
      </c>
      <c r="AZ242" s="421">
        <v>22147.599999999999</v>
      </c>
      <c r="BA242" s="18"/>
      <c r="BB242" s="18"/>
      <c r="BC242" s="18"/>
      <c r="BD242" s="434"/>
      <c r="BE242" s="421"/>
      <c r="BF242" s="18"/>
      <c r="BG242" s="18"/>
      <c r="BH242" s="18"/>
      <c r="BI242" s="18"/>
      <c r="BJ242" s="18"/>
      <c r="BK242" s="18"/>
      <c r="BL242" s="435">
        <f t="shared" si="24"/>
        <v>45041</v>
      </c>
      <c r="BM242" s="436">
        <f t="shared" si="25"/>
        <v>15.39</v>
      </c>
      <c r="BN242" s="436">
        <f t="shared" si="26"/>
        <v>1</v>
      </c>
      <c r="BO242" s="436">
        <f t="shared" si="27"/>
        <v>15.39</v>
      </c>
      <c r="BP242" s="436" t="e">
        <f t="shared" si="28"/>
        <v>#N/A</v>
      </c>
      <c r="BQ242" s="436" t="e">
        <f t="shared" si="31"/>
        <v>#N/A</v>
      </c>
      <c r="BR242" s="436" t="str">
        <f t="shared" si="29"/>
        <v/>
      </c>
      <c r="BS242" s="436" t="str">
        <f t="shared" si="30"/>
        <v/>
      </c>
      <c r="BT242" s="441"/>
      <c r="BU242" s="18"/>
      <c r="BV242" s="18"/>
      <c r="BW242" s="18"/>
      <c r="BX242" s="17"/>
      <c r="BY242" s="17"/>
      <c r="BZ242" s="18"/>
    </row>
    <row r="243" spans="1:78" x14ac:dyDescent="0.3">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434">
        <v>45042</v>
      </c>
      <c r="AW243" s="421">
        <v>1554</v>
      </c>
      <c r="AX243" s="18"/>
      <c r="AY243" s="434">
        <v>45042</v>
      </c>
      <c r="AZ243" s="421">
        <v>22363.46</v>
      </c>
      <c r="BA243" s="18"/>
      <c r="BB243" s="18"/>
      <c r="BC243" s="18"/>
      <c r="BD243" s="434"/>
      <c r="BE243" s="421"/>
      <c r="BF243" s="18"/>
      <c r="BG243" s="18"/>
      <c r="BH243" s="18"/>
      <c r="BI243" s="18"/>
      <c r="BJ243" s="18"/>
      <c r="BK243" s="18"/>
      <c r="BL243" s="435">
        <f t="shared" si="24"/>
        <v>45042</v>
      </c>
      <c r="BM243" s="436">
        <f t="shared" si="25"/>
        <v>15.540000000000001</v>
      </c>
      <c r="BN243" s="436">
        <f t="shared" si="26"/>
        <v>1</v>
      </c>
      <c r="BO243" s="436">
        <f t="shared" si="27"/>
        <v>15.540000000000001</v>
      </c>
      <c r="BP243" s="436" t="e">
        <f t="shared" si="28"/>
        <v>#N/A</v>
      </c>
      <c r="BQ243" s="436" t="e">
        <f t="shared" si="31"/>
        <v>#N/A</v>
      </c>
      <c r="BR243" s="436" t="str">
        <f t="shared" si="29"/>
        <v/>
      </c>
      <c r="BS243" s="436" t="str">
        <f t="shared" si="30"/>
        <v/>
      </c>
      <c r="BT243" s="441"/>
      <c r="BU243" s="18"/>
      <c r="BV243" s="18"/>
      <c r="BW243" s="18"/>
      <c r="BX243" s="17"/>
      <c r="BY243" s="17"/>
      <c r="BZ243" s="18"/>
    </row>
    <row r="244" spans="1:78" x14ac:dyDescent="0.3">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434">
        <v>45044</v>
      </c>
      <c r="AW244" s="421">
        <v>1595</v>
      </c>
      <c r="AX244" s="18"/>
      <c r="AY244" s="434">
        <v>45044</v>
      </c>
      <c r="AZ244" s="421">
        <v>22953.49</v>
      </c>
      <c r="BA244" s="18"/>
      <c r="BB244" s="18"/>
      <c r="BC244" s="18"/>
      <c r="BD244" s="434"/>
      <c r="BE244" s="421"/>
      <c r="BF244" s="18"/>
      <c r="BG244" s="18"/>
      <c r="BH244" s="18"/>
      <c r="BI244" s="18"/>
      <c r="BJ244" s="18"/>
      <c r="BK244" s="18"/>
      <c r="BL244" s="435">
        <f t="shared" si="24"/>
        <v>45044</v>
      </c>
      <c r="BM244" s="436">
        <f t="shared" si="25"/>
        <v>15.950000000000001</v>
      </c>
      <c r="BN244" s="436">
        <f t="shared" si="26"/>
        <v>1</v>
      </c>
      <c r="BO244" s="436">
        <f t="shared" si="27"/>
        <v>15.950000000000001</v>
      </c>
      <c r="BP244" s="436" t="e">
        <f t="shared" si="28"/>
        <v>#N/A</v>
      </c>
      <c r="BQ244" s="436" t="e">
        <f t="shared" si="31"/>
        <v>#N/A</v>
      </c>
      <c r="BR244" s="436" t="str">
        <f t="shared" si="29"/>
        <v/>
      </c>
      <c r="BS244" s="436" t="str">
        <f t="shared" si="30"/>
        <v/>
      </c>
      <c r="BT244" s="441"/>
      <c r="BU244" s="18"/>
      <c r="BV244" s="18"/>
      <c r="BW244" s="18"/>
      <c r="BX244" s="17"/>
      <c r="BY244" s="17"/>
      <c r="BZ244" s="18"/>
    </row>
    <row r="245" spans="1:78" x14ac:dyDescent="0.3">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434">
        <v>45048</v>
      </c>
      <c r="AW245" s="421">
        <v>1595</v>
      </c>
      <c r="AX245" s="18"/>
      <c r="AY245" s="434">
        <v>45048</v>
      </c>
      <c r="AZ245" s="421">
        <v>22953.49</v>
      </c>
      <c r="BA245" s="18"/>
      <c r="BB245" s="18"/>
      <c r="BC245" s="18"/>
      <c r="BD245" s="434"/>
      <c r="BE245" s="421"/>
      <c r="BF245" s="18"/>
      <c r="BG245" s="18"/>
      <c r="BH245" s="18"/>
      <c r="BI245" s="18"/>
      <c r="BJ245" s="18"/>
      <c r="BK245" s="18"/>
      <c r="BL245" s="435">
        <f t="shared" si="24"/>
        <v>45048</v>
      </c>
      <c r="BM245" s="436">
        <f t="shared" si="25"/>
        <v>15.950000000000001</v>
      </c>
      <c r="BN245" s="436">
        <f t="shared" si="26"/>
        <v>1</v>
      </c>
      <c r="BO245" s="436">
        <f t="shared" si="27"/>
        <v>15.950000000000001</v>
      </c>
      <c r="BP245" s="436" t="e">
        <f t="shared" si="28"/>
        <v>#N/A</v>
      </c>
      <c r="BQ245" s="436" t="e">
        <f t="shared" si="31"/>
        <v>#N/A</v>
      </c>
      <c r="BR245" s="436" t="str">
        <f t="shared" si="29"/>
        <v/>
      </c>
      <c r="BS245" s="436" t="str">
        <f t="shared" si="30"/>
        <v/>
      </c>
      <c r="BT245" s="441"/>
      <c r="BU245" s="18"/>
      <c r="BV245" s="18"/>
      <c r="BW245" s="18"/>
      <c r="BX245" s="17"/>
      <c r="BY245" s="17"/>
      <c r="BZ245" s="18"/>
    </row>
    <row r="246" spans="1:78" x14ac:dyDescent="0.3">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434">
        <v>45049</v>
      </c>
      <c r="AW246" s="421">
        <v>1590</v>
      </c>
      <c r="AX246" s="18"/>
      <c r="AY246" s="434">
        <v>45049</v>
      </c>
      <c r="AZ246" s="421">
        <v>22881.53</v>
      </c>
      <c r="BA246" s="18"/>
      <c r="BB246" s="18"/>
      <c r="BC246" s="18"/>
      <c r="BD246" s="434"/>
      <c r="BE246" s="421"/>
      <c r="BF246" s="18"/>
      <c r="BG246" s="18"/>
      <c r="BH246" s="18"/>
      <c r="BI246" s="18"/>
      <c r="BJ246" s="18"/>
      <c r="BK246" s="18"/>
      <c r="BL246" s="435">
        <f t="shared" si="24"/>
        <v>45049</v>
      </c>
      <c r="BM246" s="436">
        <f t="shared" si="25"/>
        <v>15.9</v>
      </c>
      <c r="BN246" s="436">
        <f t="shared" si="26"/>
        <v>1</v>
      </c>
      <c r="BO246" s="436">
        <f t="shared" si="27"/>
        <v>15.9</v>
      </c>
      <c r="BP246" s="436" t="e">
        <f t="shared" si="28"/>
        <v>#N/A</v>
      </c>
      <c r="BQ246" s="436" t="e">
        <f t="shared" si="31"/>
        <v>#N/A</v>
      </c>
      <c r="BR246" s="436" t="str">
        <f t="shared" si="29"/>
        <v/>
      </c>
      <c r="BS246" s="436" t="str">
        <f t="shared" si="30"/>
        <v/>
      </c>
      <c r="BT246" s="441"/>
      <c r="BU246" s="18"/>
      <c r="BV246" s="18"/>
      <c r="BW246" s="18"/>
      <c r="BX246" s="17"/>
      <c r="BY246" s="17"/>
      <c r="BZ246" s="18"/>
    </row>
    <row r="247" spans="1:78" x14ac:dyDescent="0.3">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434">
        <v>45050</v>
      </c>
      <c r="AW247" s="421">
        <v>1589</v>
      </c>
      <c r="AX247" s="18"/>
      <c r="AY247" s="434">
        <v>45050</v>
      </c>
      <c r="AZ247" s="421">
        <v>22867.14</v>
      </c>
      <c r="BA247" s="18"/>
      <c r="BB247" s="18"/>
      <c r="BC247" s="18"/>
      <c r="BD247" s="434"/>
      <c r="BE247" s="421"/>
      <c r="BF247" s="18"/>
      <c r="BG247" s="18"/>
      <c r="BH247" s="18"/>
      <c r="BI247" s="18"/>
      <c r="BJ247" s="18"/>
      <c r="BK247" s="18"/>
      <c r="BL247" s="435">
        <f t="shared" si="24"/>
        <v>45050</v>
      </c>
      <c r="BM247" s="436">
        <f t="shared" si="25"/>
        <v>15.89</v>
      </c>
      <c r="BN247" s="436">
        <f t="shared" si="26"/>
        <v>1</v>
      </c>
      <c r="BO247" s="436">
        <f t="shared" si="27"/>
        <v>15.89</v>
      </c>
      <c r="BP247" s="436" t="e">
        <f t="shared" si="28"/>
        <v>#N/A</v>
      </c>
      <c r="BQ247" s="436" t="e">
        <f t="shared" si="31"/>
        <v>#N/A</v>
      </c>
      <c r="BR247" s="436" t="str">
        <f t="shared" si="29"/>
        <v/>
      </c>
      <c r="BS247" s="436" t="str">
        <f t="shared" si="30"/>
        <v/>
      </c>
      <c r="BT247" s="441"/>
      <c r="BU247" s="18"/>
      <c r="BV247" s="18"/>
      <c r="BW247" s="18"/>
      <c r="BX247" s="17"/>
      <c r="BY247" s="17"/>
      <c r="BZ247" s="18"/>
    </row>
    <row r="248" spans="1:78" x14ac:dyDescent="0.3">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434">
        <v>45051</v>
      </c>
      <c r="AW248" s="421">
        <v>1609</v>
      </c>
      <c r="AX248" s="18"/>
      <c r="AY248" s="434">
        <v>45051</v>
      </c>
      <c r="AZ248" s="421">
        <v>23154.959999999999</v>
      </c>
      <c r="BA248" s="18"/>
      <c r="BB248" s="18"/>
      <c r="BC248" s="18"/>
      <c r="BD248" s="434"/>
      <c r="BE248" s="421"/>
      <c r="BF248" s="18"/>
      <c r="BG248" s="18"/>
      <c r="BH248" s="18"/>
      <c r="BI248" s="18"/>
      <c r="BJ248" s="18"/>
      <c r="BK248" s="18"/>
      <c r="BL248" s="435">
        <f t="shared" si="24"/>
        <v>45051</v>
      </c>
      <c r="BM248" s="436">
        <f t="shared" si="25"/>
        <v>16.09</v>
      </c>
      <c r="BN248" s="436">
        <f t="shared" si="26"/>
        <v>1</v>
      </c>
      <c r="BO248" s="436">
        <f t="shared" si="27"/>
        <v>16.09</v>
      </c>
      <c r="BP248" s="436" t="e">
        <f t="shared" si="28"/>
        <v>#N/A</v>
      </c>
      <c r="BQ248" s="436" t="e">
        <f t="shared" si="31"/>
        <v>#N/A</v>
      </c>
      <c r="BR248" s="436" t="str">
        <f t="shared" si="29"/>
        <v/>
      </c>
      <c r="BS248" s="436" t="str">
        <f t="shared" si="30"/>
        <v/>
      </c>
      <c r="BT248" s="441"/>
      <c r="BU248" s="18"/>
      <c r="BV248" s="18"/>
      <c r="BW248" s="18"/>
      <c r="BX248" s="17"/>
      <c r="BY248" s="17"/>
      <c r="BZ248" s="18"/>
    </row>
    <row r="249" spans="1:78" x14ac:dyDescent="0.3">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434">
        <v>45054</v>
      </c>
      <c r="AW249" s="421">
        <v>1607</v>
      </c>
      <c r="AX249" s="18"/>
      <c r="AY249" s="434">
        <v>45054</v>
      </c>
      <c r="AZ249" s="421">
        <v>23126.18</v>
      </c>
      <c r="BA249" s="18"/>
      <c r="BB249" s="18"/>
      <c r="BC249" s="18"/>
      <c r="BD249" s="434"/>
      <c r="BE249" s="421"/>
      <c r="BF249" s="18"/>
      <c r="BG249" s="18"/>
      <c r="BH249" s="18"/>
      <c r="BI249" s="18"/>
      <c r="BJ249" s="18"/>
      <c r="BK249" s="18"/>
      <c r="BL249" s="435">
        <f t="shared" si="24"/>
        <v>45054</v>
      </c>
      <c r="BM249" s="436">
        <f t="shared" si="25"/>
        <v>16.07</v>
      </c>
      <c r="BN249" s="436">
        <f t="shared" si="26"/>
        <v>1</v>
      </c>
      <c r="BO249" s="436">
        <f t="shared" si="27"/>
        <v>16.07</v>
      </c>
      <c r="BP249" s="436" t="e">
        <f t="shared" si="28"/>
        <v>#N/A</v>
      </c>
      <c r="BQ249" s="436" t="e">
        <f t="shared" si="31"/>
        <v>#N/A</v>
      </c>
      <c r="BR249" s="436" t="str">
        <f t="shared" si="29"/>
        <v/>
      </c>
      <c r="BS249" s="436" t="str">
        <f t="shared" si="30"/>
        <v/>
      </c>
      <c r="BT249" s="441"/>
      <c r="BU249" s="18"/>
      <c r="BV249" s="18"/>
      <c r="BW249" s="18"/>
      <c r="BX249" s="17"/>
      <c r="BY249" s="17"/>
      <c r="BZ249" s="18"/>
    </row>
    <row r="250" spans="1:78" x14ac:dyDescent="0.3">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434">
        <v>45055</v>
      </c>
      <c r="AW250" s="421">
        <v>1608</v>
      </c>
      <c r="AX250" s="18"/>
      <c r="AY250" s="434">
        <v>45055</v>
      </c>
      <c r="AZ250" s="421">
        <v>23140.57</v>
      </c>
      <c r="BA250" s="18"/>
      <c r="BB250" s="18"/>
      <c r="BC250" s="18"/>
      <c r="BD250" s="434"/>
      <c r="BE250" s="421"/>
      <c r="BF250" s="18"/>
      <c r="BG250" s="18"/>
      <c r="BH250" s="18"/>
      <c r="BI250" s="18"/>
      <c r="BJ250" s="18"/>
      <c r="BK250" s="18"/>
      <c r="BL250" s="435">
        <f t="shared" si="24"/>
        <v>45055</v>
      </c>
      <c r="BM250" s="436">
        <f t="shared" si="25"/>
        <v>16.080000000000002</v>
      </c>
      <c r="BN250" s="436">
        <f t="shared" si="26"/>
        <v>1</v>
      </c>
      <c r="BO250" s="436">
        <f t="shared" si="27"/>
        <v>16.080000000000002</v>
      </c>
      <c r="BP250" s="436" t="e">
        <f t="shared" si="28"/>
        <v>#N/A</v>
      </c>
      <c r="BQ250" s="436" t="e">
        <f t="shared" si="31"/>
        <v>#N/A</v>
      </c>
      <c r="BR250" s="436" t="str">
        <f t="shared" si="29"/>
        <v/>
      </c>
      <c r="BS250" s="436" t="str">
        <f t="shared" si="30"/>
        <v/>
      </c>
      <c r="BT250" s="441"/>
      <c r="BU250" s="18"/>
      <c r="BV250" s="18"/>
      <c r="BW250" s="18"/>
      <c r="BX250" s="17"/>
      <c r="BY250" s="17"/>
      <c r="BZ250" s="18"/>
    </row>
    <row r="251" spans="1:78" x14ac:dyDescent="0.3">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434">
        <v>45056</v>
      </c>
      <c r="AW251" s="421">
        <v>1610</v>
      </c>
      <c r="AX251" s="18"/>
      <c r="AY251" s="434">
        <v>45056</v>
      </c>
      <c r="AZ251" s="421">
        <v>23169.35</v>
      </c>
      <c r="BA251" s="18"/>
      <c r="BB251" s="18"/>
      <c r="BC251" s="18"/>
      <c r="BD251" s="434"/>
      <c r="BE251" s="421"/>
      <c r="BF251" s="18"/>
      <c r="BG251" s="18"/>
      <c r="BH251" s="18"/>
      <c r="BI251" s="18"/>
      <c r="BJ251" s="18"/>
      <c r="BK251" s="18"/>
      <c r="BL251" s="435">
        <f t="shared" si="24"/>
        <v>45056</v>
      </c>
      <c r="BM251" s="436">
        <f t="shared" si="25"/>
        <v>16.100000000000001</v>
      </c>
      <c r="BN251" s="436">
        <f t="shared" si="26"/>
        <v>1</v>
      </c>
      <c r="BO251" s="436">
        <f t="shared" si="27"/>
        <v>16.100000000000001</v>
      </c>
      <c r="BP251" s="436" t="e">
        <f t="shared" si="28"/>
        <v>#N/A</v>
      </c>
      <c r="BQ251" s="436" t="e">
        <f t="shared" si="31"/>
        <v>#N/A</v>
      </c>
      <c r="BR251" s="436" t="str">
        <f t="shared" si="29"/>
        <v/>
      </c>
      <c r="BS251" s="436" t="str">
        <f t="shared" si="30"/>
        <v/>
      </c>
      <c r="BT251" s="441"/>
      <c r="BU251" s="18"/>
      <c r="BV251" s="18"/>
      <c r="BW251" s="18"/>
      <c r="BX251" s="17"/>
      <c r="BY251" s="17"/>
      <c r="BZ251" s="18"/>
    </row>
    <row r="252" spans="1:78" x14ac:dyDescent="0.3">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434">
        <v>45057</v>
      </c>
      <c r="AW252" s="421">
        <v>1599</v>
      </c>
      <c r="AX252" s="18"/>
      <c r="AY252" s="434">
        <v>45057</v>
      </c>
      <c r="AZ252" s="421">
        <v>23011.05</v>
      </c>
      <c r="BA252" s="18"/>
      <c r="BB252" s="18"/>
      <c r="BC252" s="18"/>
      <c r="BD252" s="434"/>
      <c r="BE252" s="421"/>
      <c r="BF252" s="18"/>
      <c r="BG252" s="18"/>
      <c r="BH252" s="18"/>
      <c r="BI252" s="18"/>
      <c r="BJ252" s="18"/>
      <c r="BK252" s="18"/>
      <c r="BL252" s="435">
        <f t="shared" si="24"/>
        <v>45057</v>
      </c>
      <c r="BM252" s="436">
        <f t="shared" si="25"/>
        <v>15.99</v>
      </c>
      <c r="BN252" s="436">
        <f t="shared" si="26"/>
        <v>1</v>
      </c>
      <c r="BO252" s="436">
        <f t="shared" si="27"/>
        <v>15.99</v>
      </c>
      <c r="BP252" s="436" t="e">
        <f t="shared" si="28"/>
        <v>#N/A</v>
      </c>
      <c r="BQ252" s="436" t="e">
        <f t="shared" si="31"/>
        <v>#N/A</v>
      </c>
      <c r="BR252" s="436" t="str">
        <f t="shared" si="29"/>
        <v/>
      </c>
      <c r="BS252" s="436" t="str">
        <f t="shared" si="30"/>
        <v/>
      </c>
      <c r="BT252" s="441"/>
      <c r="BU252" s="18"/>
      <c r="BV252" s="18"/>
      <c r="BW252" s="18"/>
      <c r="BX252" s="17"/>
      <c r="BY252" s="17"/>
      <c r="BZ252" s="18"/>
    </row>
    <row r="253" spans="1:78" x14ac:dyDescent="0.3">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434">
        <v>45058</v>
      </c>
      <c r="AW253" s="421">
        <v>1592</v>
      </c>
      <c r="AX253" s="18"/>
      <c r="AY253" s="434">
        <v>45058</v>
      </c>
      <c r="AZ253" s="421">
        <v>22910.31</v>
      </c>
      <c r="BA253" s="18"/>
      <c r="BB253" s="18"/>
      <c r="BC253" s="18"/>
      <c r="BD253" s="434"/>
      <c r="BE253" s="421"/>
      <c r="BF253" s="18"/>
      <c r="BG253" s="18"/>
      <c r="BH253" s="18"/>
      <c r="BI253" s="18"/>
      <c r="BJ253" s="18"/>
      <c r="BK253" s="18"/>
      <c r="BL253" s="435">
        <f t="shared" si="24"/>
        <v>45058</v>
      </c>
      <c r="BM253" s="436">
        <f t="shared" si="25"/>
        <v>15.92</v>
      </c>
      <c r="BN253" s="436">
        <f t="shared" si="26"/>
        <v>1</v>
      </c>
      <c r="BO253" s="436">
        <f t="shared" si="27"/>
        <v>15.92</v>
      </c>
      <c r="BP253" s="436" t="e">
        <f t="shared" si="28"/>
        <v>#N/A</v>
      </c>
      <c r="BQ253" s="436" t="e">
        <f t="shared" si="31"/>
        <v>#N/A</v>
      </c>
      <c r="BR253" s="436" t="str">
        <f t="shared" si="29"/>
        <v/>
      </c>
      <c r="BS253" s="436" t="str">
        <f t="shared" si="30"/>
        <v/>
      </c>
      <c r="BT253" s="441"/>
      <c r="BU253" s="18"/>
      <c r="BV253" s="18"/>
      <c r="BW253" s="18"/>
      <c r="BX253" s="17"/>
      <c r="BY253" s="17"/>
      <c r="BZ253" s="18"/>
    </row>
    <row r="254" spans="1:78" x14ac:dyDescent="0.3">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434">
        <v>45061</v>
      </c>
      <c r="AW254" s="421">
        <v>1577</v>
      </c>
      <c r="AX254" s="18"/>
      <c r="AY254" s="434">
        <v>45061</v>
      </c>
      <c r="AZ254" s="421">
        <v>22694.45</v>
      </c>
      <c r="BA254" s="18"/>
      <c r="BB254" s="18"/>
      <c r="BC254" s="18"/>
      <c r="BD254" s="434"/>
      <c r="BE254" s="421"/>
      <c r="BF254" s="18"/>
      <c r="BG254" s="18"/>
      <c r="BH254" s="18"/>
      <c r="BI254" s="18"/>
      <c r="BJ254" s="18"/>
      <c r="BK254" s="18"/>
      <c r="BL254" s="435">
        <f t="shared" si="24"/>
        <v>45061</v>
      </c>
      <c r="BM254" s="436">
        <f t="shared" si="25"/>
        <v>15.77</v>
      </c>
      <c r="BN254" s="436">
        <f t="shared" si="26"/>
        <v>1</v>
      </c>
      <c r="BO254" s="436">
        <f t="shared" si="27"/>
        <v>15.77</v>
      </c>
      <c r="BP254" s="436" t="e">
        <f t="shared" si="28"/>
        <v>#N/A</v>
      </c>
      <c r="BQ254" s="436" t="e">
        <f t="shared" si="31"/>
        <v>#N/A</v>
      </c>
      <c r="BR254" s="436" t="str">
        <f t="shared" si="29"/>
        <v/>
      </c>
      <c r="BS254" s="436" t="str">
        <f t="shared" si="30"/>
        <v/>
      </c>
      <c r="BT254" s="441"/>
      <c r="BU254" s="18"/>
      <c r="BV254" s="18"/>
      <c r="BW254" s="18"/>
      <c r="BX254" s="17"/>
      <c r="BY254" s="17"/>
      <c r="BZ254" s="18"/>
    </row>
    <row r="255" spans="1:78" x14ac:dyDescent="0.3">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434">
        <v>45062</v>
      </c>
      <c r="AW255" s="421">
        <v>1570</v>
      </c>
      <c r="AX255" s="18"/>
      <c r="AY255" s="434">
        <v>45062</v>
      </c>
      <c r="AZ255" s="421">
        <v>22593.71</v>
      </c>
      <c r="BA255" s="18"/>
      <c r="BB255" s="18"/>
      <c r="BC255" s="18"/>
      <c r="BD255" s="434"/>
      <c r="BE255" s="421"/>
      <c r="BF255" s="18"/>
      <c r="BG255" s="18"/>
      <c r="BH255" s="18"/>
      <c r="BI255" s="18"/>
      <c r="BJ255" s="18"/>
      <c r="BK255" s="18"/>
      <c r="BL255" s="435">
        <f t="shared" si="24"/>
        <v>45062</v>
      </c>
      <c r="BM255" s="436">
        <f t="shared" si="25"/>
        <v>15.700000000000001</v>
      </c>
      <c r="BN255" s="436">
        <f t="shared" si="26"/>
        <v>1</v>
      </c>
      <c r="BO255" s="436">
        <f t="shared" si="27"/>
        <v>15.700000000000001</v>
      </c>
      <c r="BP255" s="436" t="e">
        <f t="shared" si="28"/>
        <v>#N/A</v>
      </c>
      <c r="BQ255" s="436" t="e">
        <f t="shared" si="31"/>
        <v>#N/A</v>
      </c>
      <c r="BR255" s="436" t="str">
        <f t="shared" si="29"/>
        <v/>
      </c>
      <c r="BS255" s="436" t="str">
        <f t="shared" si="30"/>
        <v/>
      </c>
      <c r="BT255" s="441"/>
      <c r="BU255" s="18"/>
      <c r="BV255" s="18"/>
      <c r="BW255" s="18"/>
      <c r="BX255" s="17"/>
      <c r="BY255" s="17"/>
      <c r="BZ255" s="18"/>
    </row>
    <row r="256" spans="1:78" x14ac:dyDescent="0.3">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434">
        <v>45063</v>
      </c>
      <c r="AW256" s="421">
        <v>1545</v>
      </c>
      <c r="AX256" s="18"/>
      <c r="AY256" s="434">
        <v>45063</v>
      </c>
      <c r="AZ256" s="421">
        <v>22233.94</v>
      </c>
      <c r="BA256" s="18"/>
      <c r="BB256" s="18"/>
      <c r="BC256" s="18"/>
      <c r="BD256" s="434"/>
      <c r="BE256" s="421"/>
      <c r="BF256" s="18"/>
      <c r="BG256" s="18"/>
      <c r="BH256" s="18"/>
      <c r="BI256" s="18"/>
      <c r="BJ256" s="18"/>
      <c r="BK256" s="18"/>
      <c r="BL256" s="435">
        <f t="shared" si="24"/>
        <v>45063</v>
      </c>
      <c r="BM256" s="436">
        <f t="shared" si="25"/>
        <v>15.450000000000001</v>
      </c>
      <c r="BN256" s="436">
        <f t="shared" si="26"/>
        <v>1</v>
      </c>
      <c r="BO256" s="436">
        <f t="shared" si="27"/>
        <v>15.450000000000001</v>
      </c>
      <c r="BP256" s="436" t="e">
        <f t="shared" si="28"/>
        <v>#N/A</v>
      </c>
      <c r="BQ256" s="436" t="e">
        <f t="shared" si="31"/>
        <v>#N/A</v>
      </c>
      <c r="BR256" s="436" t="str">
        <f t="shared" si="29"/>
        <v/>
      </c>
      <c r="BS256" s="436" t="str">
        <f t="shared" si="30"/>
        <v/>
      </c>
      <c r="BT256" s="441"/>
      <c r="BU256" s="18"/>
      <c r="BV256" s="18"/>
      <c r="BW256" s="18"/>
      <c r="BX256" s="17"/>
      <c r="BY256" s="17"/>
      <c r="BZ256" s="18"/>
    </row>
    <row r="257" spans="1:78" x14ac:dyDescent="0.3">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434">
        <v>45064</v>
      </c>
      <c r="AW257" s="421">
        <v>1495</v>
      </c>
      <c r="AX257" s="18"/>
      <c r="AY257" s="434">
        <v>45064</v>
      </c>
      <c r="AZ257" s="421">
        <v>21514.400000000001</v>
      </c>
      <c r="BA257" s="18"/>
      <c r="BB257" s="18"/>
      <c r="BC257" s="18"/>
      <c r="BD257" s="434"/>
      <c r="BE257" s="421"/>
      <c r="BF257" s="18"/>
      <c r="BG257" s="18"/>
      <c r="BH257" s="18"/>
      <c r="BI257" s="18"/>
      <c r="BJ257" s="18"/>
      <c r="BK257" s="18"/>
      <c r="BL257" s="435">
        <f t="shared" si="24"/>
        <v>45064</v>
      </c>
      <c r="BM257" s="436">
        <f t="shared" si="25"/>
        <v>14.950000000000001</v>
      </c>
      <c r="BN257" s="436">
        <f t="shared" si="26"/>
        <v>1</v>
      </c>
      <c r="BO257" s="436">
        <f t="shared" si="27"/>
        <v>14.950000000000001</v>
      </c>
      <c r="BP257" s="436" t="e">
        <f t="shared" si="28"/>
        <v>#N/A</v>
      </c>
      <c r="BQ257" s="436" t="e">
        <f t="shared" si="31"/>
        <v>#N/A</v>
      </c>
      <c r="BR257" s="436" t="str">
        <f t="shared" si="29"/>
        <v/>
      </c>
      <c r="BS257" s="436" t="str">
        <f t="shared" si="30"/>
        <v/>
      </c>
      <c r="BT257" s="441"/>
      <c r="BU257" s="18"/>
      <c r="BV257" s="18"/>
      <c r="BW257" s="18"/>
      <c r="BX257" s="17"/>
      <c r="BY257" s="17"/>
      <c r="BZ257" s="18"/>
    </row>
    <row r="258" spans="1:78" x14ac:dyDescent="0.3">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434">
        <v>45065</v>
      </c>
      <c r="AW258" s="421">
        <v>1498</v>
      </c>
      <c r="AX258" s="18"/>
      <c r="AY258" s="434">
        <v>45065</v>
      </c>
      <c r="AZ258" s="421">
        <v>21557.57</v>
      </c>
      <c r="BA258" s="18"/>
      <c r="BB258" s="18"/>
      <c r="BC258" s="18"/>
      <c r="BD258" s="434"/>
      <c r="BE258" s="421"/>
      <c r="BF258" s="18"/>
      <c r="BG258" s="18"/>
      <c r="BH258" s="18"/>
      <c r="BI258" s="18"/>
      <c r="BJ258" s="18"/>
      <c r="BK258" s="18"/>
      <c r="BL258" s="435">
        <f t="shared" si="24"/>
        <v>45065</v>
      </c>
      <c r="BM258" s="436">
        <f t="shared" si="25"/>
        <v>14.98</v>
      </c>
      <c r="BN258" s="436">
        <f t="shared" si="26"/>
        <v>1</v>
      </c>
      <c r="BO258" s="436">
        <f t="shared" si="27"/>
        <v>14.98</v>
      </c>
      <c r="BP258" s="436" t="e">
        <f t="shared" si="28"/>
        <v>#N/A</v>
      </c>
      <c r="BQ258" s="436" t="e">
        <f t="shared" si="31"/>
        <v>#N/A</v>
      </c>
      <c r="BR258" s="436" t="str">
        <f t="shared" si="29"/>
        <v/>
      </c>
      <c r="BS258" s="436" t="str">
        <f t="shared" si="30"/>
        <v/>
      </c>
      <c r="BT258" s="441"/>
      <c r="BU258" s="18"/>
      <c r="BV258" s="18"/>
      <c r="BW258" s="18"/>
      <c r="BX258" s="17"/>
      <c r="BY258" s="17"/>
      <c r="BZ258" s="18"/>
    </row>
    <row r="259" spans="1:78" x14ac:dyDescent="0.3">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434">
        <v>45068</v>
      </c>
      <c r="AW259" s="421">
        <v>1474</v>
      </c>
      <c r="AX259" s="18"/>
      <c r="AY259" s="434">
        <v>45068</v>
      </c>
      <c r="AZ259" s="421">
        <v>21212.19</v>
      </c>
      <c r="BA259" s="18"/>
      <c r="BB259" s="18"/>
      <c r="BC259" s="18"/>
      <c r="BD259" s="434"/>
      <c r="BE259" s="421"/>
      <c r="BF259" s="18"/>
      <c r="BG259" s="18"/>
      <c r="BH259" s="18"/>
      <c r="BI259" s="18"/>
      <c r="BJ259" s="18"/>
      <c r="BK259" s="18"/>
      <c r="BL259" s="435">
        <f t="shared" si="24"/>
        <v>45068</v>
      </c>
      <c r="BM259" s="436">
        <f t="shared" si="25"/>
        <v>14.74</v>
      </c>
      <c r="BN259" s="436">
        <f t="shared" si="26"/>
        <v>1</v>
      </c>
      <c r="BO259" s="436">
        <f t="shared" si="27"/>
        <v>14.74</v>
      </c>
      <c r="BP259" s="436" t="e">
        <f t="shared" si="28"/>
        <v>#N/A</v>
      </c>
      <c r="BQ259" s="436" t="e">
        <f t="shared" si="31"/>
        <v>#N/A</v>
      </c>
      <c r="BR259" s="436" t="str">
        <f t="shared" si="29"/>
        <v/>
      </c>
      <c r="BS259" s="436" t="str">
        <f t="shared" si="30"/>
        <v/>
      </c>
      <c r="BT259" s="18"/>
      <c r="BU259" s="18"/>
      <c r="BV259" s="18"/>
      <c r="BW259" s="18"/>
      <c r="BX259" s="17"/>
      <c r="BY259" s="17"/>
      <c r="BZ259" s="18"/>
    </row>
    <row r="260" spans="1:78" x14ac:dyDescent="0.3">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434">
        <v>45069</v>
      </c>
      <c r="AW260" s="421">
        <v>1454</v>
      </c>
      <c r="AX260" s="18"/>
      <c r="AY260" s="434">
        <v>45069</v>
      </c>
      <c r="AZ260" s="421">
        <v>20924.37</v>
      </c>
      <c r="BA260" s="18"/>
      <c r="BB260" s="18"/>
      <c r="BC260" s="18"/>
      <c r="BD260" s="434"/>
      <c r="BE260" s="421"/>
      <c r="BF260" s="18"/>
      <c r="BG260" s="18"/>
      <c r="BH260" s="18"/>
      <c r="BI260" s="18"/>
      <c r="BJ260" s="18"/>
      <c r="BK260" s="18"/>
      <c r="BL260" s="435">
        <f t="shared" si="24"/>
        <v>45069</v>
      </c>
      <c r="BM260" s="436">
        <f t="shared" si="25"/>
        <v>14.540000000000001</v>
      </c>
      <c r="BN260" s="436">
        <f t="shared" si="26"/>
        <v>1</v>
      </c>
      <c r="BO260" s="436">
        <f t="shared" si="27"/>
        <v>14.540000000000001</v>
      </c>
      <c r="BP260" s="436" t="e">
        <f t="shared" si="28"/>
        <v>#N/A</v>
      </c>
      <c r="BQ260" s="436" t="e">
        <f t="shared" si="31"/>
        <v>#N/A</v>
      </c>
      <c r="BR260" s="436" t="str">
        <f t="shared" si="29"/>
        <v/>
      </c>
      <c r="BS260" s="436" t="str">
        <f t="shared" si="30"/>
        <v/>
      </c>
      <c r="BT260" s="18"/>
      <c r="BU260" s="18"/>
      <c r="BV260" s="18"/>
      <c r="BW260" s="18"/>
      <c r="BX260" s="17"/>
      <c r="BY260" s="17"/>
      <c r="BZ260" s="18"/>
    </row>
    <row r="261" spans="1:78" x14ac:dyDescent="0.3">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434">
        <v>45070</v>
      </c>
      <c r="AW261" s="421">
        <v>1475</v>
      </c>
      <c r="AX261" s="18"/>
      <c r="AY261" s="434">
        <v>45070</v>
      </c>
      <c r="AZ261" s="421">
        <v>21226.58</v>
      </c>
      <c r="BA261" s="18"/>
      <c r="BB261" s="18"/>
      <c r="BC261" s="18"/>
      <c r="BD261" s="434"/>
      <c r="BE261" s="421"/>
      <c r="BF261" s="18"/>
      <c r="BG261" s="18"/>
      <c r="BH261" s="18"/>
      <c r="BI261" s="18"/>
      <c r="BJ261" s="18"/>
      <c r="BK261" s="18"/>
      <c r="BL261" s="435">
        <f t="shared" si="24"/>
        <v>45070</v>
      </c>
      <c r="BM261" s="436">
        <f t="shared" si="25"/>
        <v>14.75</v>
      </c>
      <c r="BN261" s="436">
        <f t="shared" si="26"/>
        <v>1</v>
      </c>
      <c r="BO261" s="436">
        <f t="shared" si="27"/>
        <v>14.75</v>
      </c>
      <c r="BP261" s="436" t="e">
        <f t="shared" si="28"/>
        <v>#N/A</v>
      </c>
      <c r="BQ261" s="436" t="e">
        <f t="shared" si="31"/>
        <v>#N/A</v>
      </c>
      <c r="BR261" s="436" t="str">
        <f t="shared" si="29"/>
        <v/>
      </c>
      <c r="BS261" s="436" t="str">
        <f t="shared" si="30"/>
        <v/>
      </c>
      <c r="BT261" s="18"/>
      <c r="BU261" s="18"/>
      <c r="BV261" s="18"/>
      <c r="BW261" s="18"/>
      <c r="BX261" s="17"/>
      <c r="BY261" s="17"/>
      <c r="BZ261" s="18"/>
    </row>
    <row r="262" spans="1:78" x14ac:dyDescent="0.3">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434">
        <v>45071</v>
      </c>
      <c r="AW262" s="421">
        <v>1426</v>
      </c>
      <c r="AX262" s="18"/>
      <c r="AY262" s="434">
        <v>45071</v>
      </c>
      <c r="AZ262" s="421">
        <v>20521.419999999998</v>
      </c>
      <c r="BA262" s="18"/>
      <c r="BB262" s="18"/>
      <c r="BC262" s="18"/>
      <c r="BD262" s="434"/>
      <c r="BE262" s="421"/>
      <c r="BF262" s="18"/>
      <c r="BG262" s="18"/>
      <c r="BH262" s="18"/>
      <c r="BI262" s="18"/>
      <c r="BJ262" s="18"/>
      <c r="BK262" s="18"/>
      <c r="BL262" s="435">
        <f t="shared" si="24"/>
        <v>45071</v>
      </c>
      <c r="BM262" s="436">
        <f t="shared" si="25"/>
        <v>14.26</v>
      </c>
      <c r="BN262" s="436">
        <f t="shared" si="26"/>
        <v>1</v>
      </c>
      <c r="BO262" s="436">
        <f t="shared" si="27"/>
        <v>14.26</v>
      </c>
      <c r="BP262" s="436">
        <f t="shared" si="28"/>
        <v>14.26</v>
      </c>
      <c r="BQ262" s="436">
        <f t="shared" ca="1" si="31"/>
        <v>20.204677144327977</v>
      </c>
      <c r="BR262" s="436" t="str">
        <f t="shared" ca="1" si="29"/>
        <v xml:space="preserve"> 20.20 (+41.7%)</v>
      </c>
      <c r="BS262" s="436" t="str">
        <f t="shared" si="30"/>
        <v xml:space="preserve"> 14.26 (-1.0%)</v>
      </c>
      <c r="BT262" s="18"/>
      <c r="BU262" s="18"/>
      <c r="BV262" s="18"/>
      <c r="BW262" s="18"/>
      <c r="BX262" s="17"/>
      <c r="BY262" s="17"/>
      <c r="BZ262" s="18"/>
    </row>
    <row r="263" spans="1:78" x14ac:dyDescent="0.3">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434"/>
      <c r="AW263" s="421"/>
      <c r="AX263" s="18"/>
      <c r="AY263" s="434"/>
      <c r="AZ263" s="421"/>
      <c r="BA263" s="18"/>
      <c r="BB263" s="18"/>
      <c r="BC263" s="18"/>
      <c r="BD263" s="434"/>
      <c r="BE263" s="421"/>
      <c r="BF263" s="18"/>
      <c r="BG263" s="18"/>
      <c r="BH263" s="18"/>
      <c r="BI263" s="18"/>
      <c r="BJ263" s="18"/>
      <c r="BK263" s="18"/>
      <c r="BL263" s="435" t="e">
        <f t="shared" si="24"/>
        <v>#N/A</v>
      </c>
      <c r="BM263" s="436" t="str">
        <f t="shared" si="25"/>
        <v>-</v>
      </c>
      <c r="BN263" s="436">
        <f t="shared" si="26"/>
        <v>1</v>
      </c>
      <c r="BO263" s="436" t="e">
        <f t="shared" si="27"/>
        <v>#N/A</v>
      </c>
      <c r="BP263" s="436" t="e">
        <f t="shared" si="28"/>
        <v>#N/A</v>
      </c>
      <c r="BQ263" s="436" t="e">
        <f t="shared" si="31"/>
        <v>#N/A</v>
      </c>
      <c r="BR263" s="436" t="str">
        <f t="shared" si="29"/>
        <v/>
      </c>
      <c r="BS263" s="436" t="str">
        <f t="shared" si="30"/>
        <v/>
      </c>
      <c r="BT263" s="18"/>
      <c r="BU263" s="18"/>
      <c r="BV263" s="18"/>
      <c r="BW263" s="18"/>
      <c r="BX263" s="17"/>
      <c r="BY263" s="17"/>
      <c r="BZ263" s="18"/>
    </row>
    <row r="264" spans="1:78" x14ac:dyDescent="0.3">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434"/>
      <c r="AW264" s="421"/>
      <c r="AX264" s="18"/>
      <c r="AY264" s="434"/>
      <c r="AZ264" s="421"/>
      <c r="BA264" s="18"/>
      <c r="BB264" s="18"/>
      <c r="BC264" s="18"/>
      <c r="BD264" s="434"/>
      <c r="BE264" s="421"/>
      <c r="BF264" s="18"/>
      <c r="BG264" s="18"/>
      <c r="BH264" s="18"/>
      <c r="BI264" s="18"/>
      <c r="BJ264" s="18"/>
      <c r="BK264" s="18"/>
      <c r="BL264" s="435" t="e">
        <f t="shared" si="24"/>
        <v>#N/A</v>
      </c>
      <c r="BM264" s="436" t="str">
        <f t="shared" si="25"/>
        <v>-</v>
      </c>
      <c r="BN264" s="436">
        <f t="shared" si="26"/>
        <v>1</v>
      </c>
      <c r="BO264" s="436" t="e">
        <f t="shared" si="27"/>
        <v>#N/A</v>
      </c>
      <c r="BP264" s="436" t="e">
        <f t="shared" si="28"/>
        <v>#N/A</v>
      </c>
      <c r="BQ264" s="436" t="e">
        <f t="shared" si="31"/>
        <v>#N/A</v>
      </c>
      <c r="BR264" s="436" t="str">
        <f t="shared" si="29"/>
        <v/>
      </c>
      <c r="BS264" s="436" t="str">
        <f t="shared" si="30"/>
        <v/>
      </c>
      <c r="BT264" s="18"/>
      <c r="BU264" s="18"/>
      <c r="BV264" s="18"/>
      <c r="BW264" s="18"/>
      <c r="BX264" s="17"/>
      <c r="BY264" s="17"/>
      <c r="BZ264" s="18"/>
    </row>
    <row r="265" spans="1:78" x14ac:dyDescent="0.3">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434"/>
      <c r="AW265" s="421"/>
      <c r="AX265" s="18"/>
      <c r="AY265" s="434"/>
      <c r="AZ265" s="421"/>
      <c r="BA265" s="18"/>
      <c r="BB265" s="18"/>
      <c r="BC265" s="18"/>
      <c r="BD265" s="434"/>
      <c r="BE265" s="421"/>
      <c r="BF265" s="18"/>
      <c r="BG265" s="18"/>
      <c r="BH265" s="18"/>
      <c r="BI265" s="18"/>
      <c r="BJ265" s="18"/>
      <c r="BK265" s="18"/>
      <c r="BL265" s="435" t="e">
        <f t="shared" si="24"/>
        <v>#N/A</v>
      </c>
      <c r="BM265" s="436" t="str">
        <f t="shared" si="25"/>
        <v>-</v>
      </c>
      <c r="BN265" s="436">
        <f t="shared" si="26"/>
        <v>1</v>
      </c>
      <c r="BO265" s="436" t="e">
        <f t="shared" si="27"/>
        <v>#N/A</v>
      </c>
      <c r="BP265" s="436" t="e">
        <f t="shared" si="28"/>
        <v>#N/A</v>
      </c>
      <c r="BQ265" s="436" t="e">
        <f t="shared" si="31"/>
        <v>#N/A</v>
      </c>
      <c r="BR265" s="436" t="str">
        <f t="shared" si="29"/>
        <v/>
      </c>
      <c r="BS265" s="436" t="str">
        <f t="shared" si="30"/>
        <v/>
      </c>
      <c r="BT265" s="18"/>
      <c r="BU265" s="18"/>
      <c r="BV265" s="18"/>
      <c r="BW265" s="18"/>
      <c r="BX265" s="17"/>
      <c r="BY265" s="17"/>
      <c r="BZ265" s="18"/>
    </row>
    <row r="266" spans="1:78" x14ac:dyDescent="0.3">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434"/>
      <c r="AW266" s="421"/>
      <c r="AX266" s="18"/>
      <c r="AY266" s="434"/>
      <c r="AZ266" s="421"/>
      <c r="BA266" s="18"/>
      <c r="BB266" s="18"/>
      <c r="BC266" s="18"/>
      <c r="BD266" s="434"/>
      <c r="BE266" s="421"/>
      <c r="BF266" s="18"/>
      <c r="BG266" s="18"/>
      <c r="BH266" s="18"/>
      <c r="BI266" s="18"/>
      <c r="BJ266" s="18"/>
      <c r="BK266" s="18"/>
      <c r="BL266" s="435" t="e">
        <f t="shared" ref="BL266:BL301" si="32">IF($AV266="",NA(),AV266)</f>
        <v>#N/A</v>
      </c>
      <c r="BM266" s="436" t="str">
        <f t="shared" ref="BM266:BM301" si="33">IF($AV266="","-",AW266*$AW$3)</f>
        <v>-</v>
      </c>
      <c r="BN266" s="436">
        <f t="shared" ref="BN266:BN301" si="34">IF($C$17&lt;&gt;$C$18,VLOOKUP(BL266,$BD$10:$BE$301,2,0),1)</f>
        <v>1</v>
      </c>
      <c r="BO266" s="436" t="e">
        <f t="shared" ref="BO266:BO301" si="35">IF(BL266="","-",IF($C$17&lt;&gt;$C$18,(BM266)/VLOOKUP(BL266,$BD$10:$BE$301,2,1),BM266))</f>
        <v>#N/A</v>
      </c>
      <c r="BP266" s="436" t="e">
        <f t="shared" ref="BP266:BP329" si="36">IF($BL266=$D$20,BO266,NA())</f>
        <v>#N/A</v>
      </c>
      <c r="BQ266" s="436" t="e">
        <f t="shared" si="31"/>
        <v>#N/A</v>
      </c>
      <c r="BR266" s="436" t="str">
        <f t="shared" ref="BR266:BR329" si="37">IF(ISNA(BQ266),"",TEXT($C$29,"# ##0.00") &amp; " ("&amp;TEXT($C$30,"+0.0%;-0.0%;0%")&amp;")")</f>
        <v/>
      </c>
      <c r="BS266" s="436" t="str">
        <f t="shared" ref="BS266:BS301" si="38">IF(ISNA(BP266),"",TEXT(BP266,"# ##0.00") &amp; " ("&amp;TEXT($BO$6,"+0.0%;-0.0%;0%")&amp;")")</f>
        <v/>
      </c>
      <c r="BT266" s="18"/>
      <c r="BU266" s="18"/>
      <c r="BV266" s="18"/>
      <c r="BW266" s="18"/>
      <c r="BX266" s="17"/>
      <c r="BY266" s="17"/>
      <c r="BZ266" s="18"/>
    </row>
    <row r="267" spans="1:78" x14ac:dyDescent="0.3">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434"/>
      <c r="AW267" s="421"/>
      <c r="AX267" s="18"/>
      <c r="AY267" s="434"/>
      <c r="AZ267" s="421"/>
      <c r="BA267" s="18"/>
      <c r="BB267" s="18"/>
      <c r="BC267" s="18"/>
      <c r="BD267" s="434"/>
      <c r="BE267" s="421"/>
      <c r="BF267" s="18"/>
      <c r="BG267" s="18"/>
      <c r="BH267" s="18"/>
      <c r="BI267" s="18"/>
      <c r="BJ267" s="18"/>
      <c r="BK267" s="18"/>
      <c r="BL267" s="435" t="e">
        <f t="shared" si="32"/>
        <v>#N/A</v>
      </c>
      <c r="BM267" s="436" t="str">
        <f t="shared" si="33"/>
        <v>-</v>
      </c>
      <c r="BN267" s="436">
        <f t="shared" si="34"/>
        <v>1</v>
      </c>
      <c r="BO267" s="436" t="e">
        <f t="shared" si="35"/>
        <v>#N/A</v>
      </c>
      <c r="BP267" s="436" t="e">
        <f t="shared" si="36"/>
        <v>#N/A</v>
      </c>
      <c r="BQ267" s="436" t="e">
        <f t="shared" ref="BQ267:BQ301" si="39">IF(BL267=$D$20,$C$29,NA())</f>
        <v>#N/A</v>
      </c>
      <c r="BR267" s="436" t="str">
        <f t="shared" si="37"/>
        <v/>
      </c>
      <c r="BS267" s="436" t="str">
        <f t="shared" si="38"/>
        <v/>
      </c>
      <c r="BT267" s="18"/>
      <c r="BU267" s="18"/>
      <c r="BV267" s="18"/>
      <c r="BW267" s="18"/>
      <c r="BX267" s="17"/>
      <c r="BY267" s="17"/>
      <c r="BZ267" s="18"/>
    </row>
    <row r="268" spans="1:78" x14ac:dyDescent="0.3">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434"/>
      <c r="AW268" s="421"/>
      <c r="AX268" s="18"/>
      <c r="AY268" s="434"/>
      <c r="AZ268" s="421"/>
      <c r="BA268" s="18"/>
      <c r="BB268" s="18"/>
      <c r="BC268" s="18"/>
      <c r="BD268" s="434"/>
      <c r="BE268" s="421"/>
      <c r="BF268" s="18"/>
      <c r="BG268" s="18"/>
      <c r="BH268" s="18"/>
      <c r="BI268" s="18"/>
      <c r="BJ268" s="18"/>
      <c r="BK268" s="18"/>
      <c r="BL268" s="435" t="e">
        <f t="shared" si="32"/>
        <v>#N/A</v>
      </c>
      <c r="BM268" s="436" t="str">
        <f t="shared" si="33"/>
        <v>-</v>
      </c>
      <c r="BN268" s="436">
        <f t="shared" si="34"/>
        <v>1</v>
      </c>
      <c r="BO268" s="436" t="e">
        <f t="shared" si="35"/>
        <v>#N/A</v>
      </c>
      <c r="BP268" s="436" t="e">
        <f t="shared" si="36"/>
        <v>#N/A</v>
      </c>
      <c r="BQ268" s="436" t="e">
        <f t="shared" si="39"/>
        <v>#N/A</v>
      </c>
      <c r="BR268" s="436" t="str">
        <f t="shared" si="37"/>
        <v/>
      </c>
      <c r="BS268" s="436" t="str">
        <f t="shared" si="38"/>
        <v/>
      </c>
      <c r="BT268" s="18"/>
      <c r="BU268" s="18"/>
      <c r="BV268" s="18"/>
      <c r="BW268" s="18"/>
      <c r="BX268" s="17"/>
      <c r="BY268" s="17"/>
      <c r="BZ268" s="18"/>
    </row>
    <row r="269" spans="1:78" x14ac:dyDescent="0.3">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434"/>
      <c r="AW269" s="421"/>
      <c r="AX269" s="18"/>
      <c r="AY269" s="434"/>
      <c r="AZ269" s="421"/>
      <c r="BA269" s="18"/>
      <c r="BB269" s="18"/>
      <c r="BC269" s="18"/>
      <c r="BD269" s="434"/>
      <c r="BE269" s="421"/>
      <c r="BF269" s="18"/>
      <c r="BG269" s="18"/>
      <c r="BH269" s="18"/>
      <c r="BI269" s="18"/>
      <c r="BJ269" s="18"/>
      <c r="BK269" s="18"/>
      <c r="BL269" s="435" t="e">
        <f t="shared" si="32"/>
        <v>#N/A</v>
      </c>
      <c r="BM269" s="436" t="str">
        <f t="shared" si="33"/>
        <v>-</v>
      </c>
      <c r="BN269" s="436">
        <f t="shared" si="34"/>
        <v>1</v>
      </c>
      <c r="BO269" s="436" t="e">
        <f t="shared" si="35"/>
        <v>#N/A</v>
      </c>
      <c r="BP269" s="436" t="e">
        <f t="shared" si="36"/>
        <v>#N/A</v>
      </c>
      <c r="BQ269" s="436" t="e">
        <f t="shared" si="39"/>
        <v>#N/A</v>
      </c>
      <c r="BR269" s="436" t="str">
        <f t="shared" si="37"/>
        <v/>
      </c>
      <c r="BS269" s="436" t="str">
        <f t="shared" si="38"/>
        <v/>
      </c>
      <c r="BT269" s="18"/>
      <c r="BU269" s="18"/>
      <c r="BV269" s="18"/>
      <c r="BW269" s="18"/>
      <c r="BX269" s="17"/>
      <c r="BY269" s="17"/>
      <c r="BZ269" s="18"/>
    </row>
    <row r="270" spans="1:78" x14ac:dyDescent="0.3">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434"/>
      <c r="AW270" s="421"/>
      <c r="AX270" s="18"/>
      <c r="AY270" s="434"/>
      <c r="AZ270" s="421"/>
      <c r="BA270" s="18"/>
      <c r="BB270" s="18"/>
      <c r="BC270" s="18"/>
      <c r="BD270" s="434"/>
      <c r="BE270" s="421"/>
      <c r="BF270" s="18"/>
      <c r="BG270" s="18"/>
      <c r="BH270" s="18"/>
      <c r="BI270" s="18"/>
      <c r="BJ270" s="18"/>
      <c r="BK270" s="18"/>
      <c r="BL270" s="435" t="e">
        <f t="shared" si="32"/>
        <v>#N/A</v>
      </c>
      <c r="BM270" s="436" t="str">
        <f t="shared" si="33"/>
        <v>-</v>
      </c>
      <c r="BN270" s="436">
        <f t="shared" si="34"/>
        <v>1</v>
      </c>
      <c r="BO270" s="436" t="e">
        <f t="shared" si="35"/>
        <v>#N/A</v>
      </c>
      <c r="BP270" s="436" t="e">
        <f t="shared" si="36"/>
        <v>#N/A</v>
      </c>
      <c r="BQ270" s="436" t="e">
        <f t="shared" si="39"/>
        <v>#N/A</v>
      </c>
      <c r="BR270" s="436" t="str">
        <f t="shared" si="37"/>
        <v/>
      </c>
      <c r="BS270" s="436" t="str">
        <f t="shared" si="38"/>
        <v/>
      </c>
      <c r="BT270" s="18"/>
      <c r="BU270" s="18"/>
      <c r="BV270" s="18"/>
      <c r="BW270" s="18"/>
      <c r="BX270" s="17"/>
      <c r="BY270" s="17"/>
      <c r="BZ270" s="18"/>
    </row>
    <row r="271" spans="1:78" x14ac:dyDescent="0.3">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434"/>
      <c r="AW271" s="421"/>
      <c r="AX271" s="18"/>
      <c r="AY271" s="434"/>
      <c r="AZ271" s="421"/>
      <c r="BA271" s="18"/>
      <c r="BB271" s="18"/>
      <c r="BC271" s="18"/>
      <c r="BD271" s="434"/>
      <c r="BE271" s="421"/>
      <c r="BF271" s="18"/>
      <c r="BG271" s="18"/>
      <c r="BH271" s="18"/>
      <c r="BI271" s="18"/>
      <c r="BJ271" s="18"/>
      <c r="BK271" s="18"/>
      <c r="BL271" s="435" t="e">
        <f t="shared" si="32"/>
        <v>#N/A</v>
      </c>
      <c r="BM271" s="436" t="str">
        <f t="shared" si="33"/>
        <v>-</v>
      </c>
      <c r="BN271" s="436">
        <f t="shared" si="34"/>
        <v>1</v>
      </c>
      <c r="BO271" s="436" t="e">
        <f t="shared" si="35"/>
        <v>#N/A</v>
      </c>
      <c r="BP271" s="436" t="e">
        <f t="shared" si="36"/>
        <v>#N/A</v>
      </c>
      <c r="BQ271" s="436" t="e">
        <f t="shared" si="39"/>
        <v>#N/A</v>
      </c>
      <c r="BR271" s="436" t="str">
        <f t="shared" si="37"/>
        <v/>
      </c>
      <c r="BS271" s="436" t="str">
        <f t="shared" si="38"/>
        <v/>
      </c>
      <c r="BT271" s="18"/>
      <c r="BU271" s="18"/>
      <c r="BV271" s="18"/>
      <c r="BW271" s="18"/>
      <c r="BX271" s="17"/>
      <c r="BY271" s="17"/>
      <c r="BZ271" s="18"/>
    </row>
    <row r="272" spans="1:78" x14ac:dyDescent="0.3">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434"/>
      <c r="AW272" s="421"/>
      <c r="AX272" s="18"/>
      <c r="AY272" s="434"/>
      <c r="AZ272" s="421"/>
      <c r="BA272" s="18"/>
      <c r="BB272" s="18"/>
      <c r="BC272" s="18"/>
      <c r="BD272" s="434"/>
      <c r="BE272" s="421"/>
      <c r="BF272" s="18"/>
      <c r="BG272" s="18"/>
      <c r="BH272" s="18"/>
      <c r="BI272" s="18"/>
      <c r="BJ272" s="18"/>
      <c r="BK272" s="18"/>
      <c r="BL272" s="435" t="e">
        <f t="shared" si="32"/>
        <v>#N/A</v>
      </c>
      <c r="BM272" s="436" t="str">
        <f t="shared" si="33"/>
        <v>-</v>
      </c>
      <c r="BN272" s="436">
        <f t="shared" si="34"/>
        <v>1</v>
      </c>
      <c r="BO272" s="436" t="e">
        <f t="shared" si="35"/>
        <v>#N/A</v>
      </c>
      <c r="BP272" s="436" t="e">
        <f t="shared" si="36"/>
        <v>#N/A</v>
      </c>
      <c r="BQ272" s="436" t="e">
        <f t="shared" si="39"/>
        <v>#N/A</v>
      </c>
      <c r="BR272" s="436" t="str">
        <f t="shared" si="37"/>
        <v/>
      </c>
      <c r="BS272" s="436" t="str">
        <f t="shared" si="38"/>
        <v/>
      </c>
      <c r="BT272" s="18"/>
      <c r="BU272" s="18"/>
      <c r="BV272" s="18"/>
      <c r="BW272" s="18"/>
      <c r="BX272" s="17"/>
      <c r="BY272" s="17"/>
      <c r="BZ272" s="18"/>
    </row>
    <row r="273" spans="1:78" x14ac:dyDescent="0.3">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434"/>
      <c r="AW273" s="421"/>
      <c r="AX273" s="18"/>
      <c r="AY273" s="434"/>
      <c r="AZ273" s="421"/>
      <c r="BA273" s="18"/>
      <c r="BB273" s="18"/>
      <c r="BC273" s="18"/>
      <c r="BD273" s="434"/>
      <c r="BE273" s="421"/>
      <c r="BF273" s="18"/>
      <c r="BG273" s="18"/>
      <c r="BH273" s="18"/>
      <c r="BI273" s="18"/>
      <c r="BJ273" s="18"/>
      <c r="BK273" s="18"/>
      <c r="BL273" s="435" t="e">
        <f t="shared" si="32"/>
        <v>#N/A</v>
      </c>
      <c r="BM273" s="436" t="str">
        <f t="shared" si="33"/>
        <v>-</v>
      </c>
      <c r="BN273" s="436">
        <f t="shared" si="34"/>
        <v>1</v>
      </c>
      <c r="BO273" s="436" t="e">
        <f t="shared" si="35"/>
        <v>#N/A</v>
      </c>
      <c r="BP273" s="436" t="e">
        <f t="shared" si="36"/>
        <v>#N/A</v>
      </c>
      <c r="BQ273" s="436" t="e">
        <f t="shared" si="39"/>
        <v>#N/A</v>
      </c>
      <c r="BR273" s="436" t="str">
        <f t="shared" si="37"/>
        <v/>
      </c>
      <c r="BS273" s="436" t="str">
        <f t="shared" si="38"/>
        <v/>
      </c>
      <c r="BT273" s="18"/>
      <c r="BU273" s="18"/>
      <c r="BV273" s="18"/>
      <c r="BW273" s="18"/>
      <c r="BX273" s="17"/>
      <c r="BY273" s="17"/>
      <c r="BZ273" s="18"/>
    </row>
    <row r="274" spans="1:78" x14ac:dyDescent="0.3">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434"/>
      <c r="AW274" s="421"/>
      <c r="AX274" s="18"/>
      <c r="AY274" s="434"/>
      <c r="AZ274" s="421"/>
      <c r="BA274" s="18"/>
      <c r="BB274" s="18"/>
      <c r="BC274" s="18"/>
      <c r="BD274" s="434"/>
      <c r="BE274" s="421"/>
      <c r="BF274" s="18"/>
      <c r="BG274" s="18"/>
      <c r="BH274" s="18"/>
      <c r="BI274" s="18"/>
      <c r="BJ274" s="18"/>
      <c r="BK274" s="18"/>
      <c r="BL274" s="435" t="e">
        <f t="shared" si="32"/>
        <v>#N/A</v>
      </c>
      <c r="BM274" s="436" t="str">
        <f t="shared" si="33"/>
        <v>-</v>
      </c>
      <c r="BN274" s="436">
        <f t="shared" si="34"/>
        <v>1</v>
      </c>
      <c r="BO274" s="436" t="e">
        <f t="shared" si="35"/>
        <v>#N/A</v>
      </c>
      <c r="BP274" s="436" t="e">
        <f t="shared" si="36"/>
        <v>#N/A</v>
      </c>
      <c r="BQ274" s="436" t="e">
        <f t="shared" si="39"/>
        <v>#N/A</v>
      </c>
      <c r="BR274" s="436" t="str">
        <f t="shared" si="37"/>
        <v/>
      </c>
      <c r="BS274" s="436" t="str">
        <f t="shared" si="38"/>
        <v/>
      </c>
      <c r="BT274" s="18"/>
      <c r="BU274" s="18"/>
      <c r="BV274" s="18"/>
      <c r="BW274" s="18"/>
      <c r="BX274" s="17"/>
      <c r="BY274" s="17"/>
      <c r="BZ274" s="18"/>
    </row>
    <row r="275" spans="1:78" x14ac:dyDescent="0.3">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434"/>
      <c r="AW275" s="421"/>
      <c r="AX275" s="18"/>
      <c r="AY275" s="434"/>
      <c r="AZ275" s="421"/>
      <c r="BA275" s="18"/>
      <c r="BB275" s="18"/>
      <c r="BC275" s="18"/>
      <c r="BD275" s="434"/>
      <c r="BE275" s="421"/>
      <c r="BF275" s="18"/>
      <c r="BG275" s="18"/>
      <c r="BH275" s="18"/>
      <c r="BI275" s="18"/>
      <c r="BJ275" s="18"/>
      <c r="BK275" s="18"/>
      <c r="BL275" s="435" t="e">
        <f t="shared" si="32"/>
        <v>#N/A</v>
      </c>
      <c r="BM275" s="436" t="str">
        <f t="shared" si="33"/>
        <v>-</v>
      </c>
      <c r="BN275" s="436">
        <f t="shared" si="34"/>
        <v>1</v>
      </c>
      <c r="BO275" s="436" t="e">
        <f t="shared" si="35"/>
        <v>#N/A</v>
      </c>
      <c r="BP275" s="436" t="e">
        <f t="shared" si="36"/>
        <v>#N/A</v>
      </c>
      <c r="BQ275" s="436" t="e">
        <f t="shared" si="39"/>
        <v>#N/A</v>
      </c>
      <c r="BR275" s="436" t="str">
        <f t="shared" si="37"/>
        <v/>
      </c>
      <c r="BS275" s="436" t="str">
        <f t="shared" si="38"/>
        <v/>
      </c>
      <c r="BT275" s="18"/>
      <c r="BU275" s="18"/>
      <c r="BV275" s="18"/>
      <c r="BW275" s="18"/>
      <c r="BX275" s="17"/>
      <c r="BY275" s="17"/>
      <c r="BZ275" s="18"/>
    </row>
    <row r="276" spans="1:78" x14ac:dyDescent="0.3">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434"/>
      <c r="AW276" s="421"/>
      <c r="AX276" s="18"/>
      <c r="AY276" s="434"/>
      <c r="AZ276" s="421"/>
      <c r="BA276" s="18"/>
      <c r="BB276" s="18"/>
      <c r="BC276" s="18"/>
      <c r="BD276" s="434"/>
      <c r="BE276" s="421"/>
      <c r="BF276" s="18"/>
      <c r="BG276" s="18"/>
      <c r="BH276" s="18"/>
      <c r="BI276" s="18"/>
      <c r="BJ276" s="18"/>
      <c r="BK276" s="18"/>
      <c r="BL276" s="435" t="e">
        <f t="shared" si="32"/>
        <v>#N/A</v>
      </c>
      <c r="BM276" s="436" t="str">
        <f t="shared" si="33"/>
        <v>-</v>
      </c>
      <c r="BN276" s="436">
        <f t="shared" si="34"/>
        <v>1</v>
      </c>
      <c r="BO276" s="436" t="e">
        <f t="shared" si="35"/>
        <v>#N/A</v>
      </c>
      <c r="BP276" s="436" t="e">
        <f t="shared" si="36"/>
        <v>#N/A</v>
      </c>
      <c r="BQ276" s="436" t="e">
        <f t="shared" si="39"/>
        <v>#N/A</v>
      </c>
      <c r="BR276" s="436" t="str">
        <f t="shared" si="37"/>
        <v/>
      </c>
      <c r="BS276" s="436" t="str">
        <f t="shared" si="38"/>
        <v/>
      </c>
      <c r="BT276" s="18"/>
      <c r="BU276" s="18"/>
      <c r="BV276" s="18"/>
      <c r="BW276" s="18"/>
      <c r="BX276" s="17"/>
      <c r="BY276" s="17"/>
      <c r="BZ276" s="18"/>
    </row>
    <row r="277" spans="1:78" x14ac:dyDescent="0.3">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434"/>
      <c r="AW277" s="421"/>
      <c r="AX277" s="18"/>
      <c r="AY277" s="434"/>
      <c r="AZ277" s="421"/>
      <c r="BA277" s="18"/>
      <c r="BB277" s="18"/>
      <c r="BC277" s="18"/>
      <c r="BD277" s="434"/>
      <c r="BE277" s="421"/>
      <c r="BF277" s="18"/>
      <c r="BG277" s="18"/>
      <c r="BH277" s="18"/>
      <c r="BI277" s="18"/>
      <c r="BJ277" s="18"/>
      <c r="BK277" s="18"/>
      <c r="BL277" s="435" t="e">
        <f t="shared" si="32"/>
        <v>#N/A</v>
      </c>
      <c r="BM277" s="436" t="str">
        <f t="shared" si="33"/>
        <v>-</v>
      </c>
      <c r="BN277" s="436">
        <f t="shared" si="34"/>
        <v>1</v>
      </c>
      <c r="BO277" s="436" t="e">
        <f t="shared" si="35"/>
        <v>#N/A</v>
      </c>
      <c r="BP277" s="436" t="e">
        <f t="shared" si="36"/>
        <v>#N/A</v>
      </c>
      <c r="BQ277" s="436" t="e">
        <f t="shared" si="39"/>
        <v>#N/A</v>
      </c>
      <c r="BR277" s="436" t="str">
        <f t="shared" si="37"/>
        <v/>
      </c>
      <c r="BS277" s="436" t="str">
        <f t="shared" si="38"/>
        <v/>
      </c>
      <c r="BT277" s="18"/>
      <c r="BU277" s="18"/>
      <c r="BV277" s="18"/>
      <c r="BW277" s="18"/>
      <c r="BX277" s="17"/>
      <c r="BY277" s="17"/>
      <c r="BZ277" s="18"/>
    </row>
    <row r="278" spans="1:78" x14ac:dyDescent="0.3">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434"/>
      <c r="AW278" s="421"/>
      <c r="AX278" s="18"/>
      <c r="AY278" s="434"/>
      <c r="AZ278" s="421"/>
      <c r="BA278" s="18"/>
      <c r="BB278" s="18"/>
      <c r="BC278" s="18"/>
      <c r="BD278" s="434"/>
      <c r="BE278" s="421"/>
      <c r="BF278" s="18"/>
      <c r="BG278" s="18"/>
      <c r="BH278" s="18"/>
      <c r="BI278" s="18"/>
      <c r="BJ278" s="18"/>
      <c r="BK278" s="18"/>
      <c r="BL278" s="435" t="e">
        <f t="shared" si="32"/>
        <v>#N/A</v>
      </c>
      <c r="BM278" s="436" t="str">
        <f t="shared" si="33"/>
        <v>-</v>
      </c>
      <c r="BN278" s="436">
        <f t="shared" si="34"/>
        <v>1</v>
      </c>
      <c r="BO278" s="436" t="e">
        <f t="shared" si="35"/>
        <v>#N/A</v>
      </c>
      <c r="BP278" s="436" t="e">
        <f t="shared" si="36"/>
        <v>#N/A</v>
      </c>
      <c r="BQ278" s="436" t="e">
        <f t="shared" si="39"/>
        <v>#N/A</v>
      </c>
      <c r="BR278" s="436" t="str">
        <f t="shared" si="37"/>
        <v/>
      </c>
      <c r="BS278" s="436" t="str">
        <f t="shared" si="38"/>
        <v/>
      </c>
      <c r="BT278" s="18"/>
      <c r="BU278" s="18"/>
      <c r="BV278" s="18"/>
      <c r="BW278" s="18"/>
      <c r="BX278" s="17"/>
      <c r="BY278" s="17"/>
      <c r="BZ278" s="18"/>
    </row>
    <row r="279" spans="1:78" x14ac:dyDescent="0.3">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434"/>
      <c r="AW279" s="421"/>
      <c r="AX279" s="18"/>
      <c r="AY279" s="434"/>
      <c r="AZ279" s="421"/>
      <c r="BA279" s="18"/>
      <c r="BB279" s="18"/>
      <c r="BC279" s="18"/>
      <c r="BD279" s="434"/>
      <c r="BE279" s="421"/>
      <c r="BF279" s="18"/>
      <c r="BG279" s="18"/>
      <c r="BH279" s="18"/>
      <c r="BI279" s="18"/>
      <c r="BJ279" s="18"/>
      <c r="BK279" s="18"/>
      <c r="BL279" s="435" t="e">
        <f t="shared" si="32"/>
        <v>#N/A</v>
      </c>
      <c r="BM279" s="436" t="str">
        <f t="shared" si="33"/>
        <v>-</v>
      </c>
      <c r="BN279" s="436">
        <f t="shared" si="34"/>
        <v>1</v>
      </c>
      <c r="BO279" s="436" t="e">
        <f t="shared" si="35"/>
        <v>#N/A</v>
      </c>
      <c r="BP279" s="436" t="e">
        <f t="shared" si="36"/>
        <v>#N/A</v>
      </c>
      <c r="BQ279" s="436" t="e">
        <f t="shared" si="39"/>
        <v>#N/A</v>
      </c>
      <c r="BR279" s="436" t="str">
        <f t="shared" si="37"/>
        <v/>
      </c>
      <c r="BS279" s="436" t="str">
        <f t="shared" si="38"/>
        <v/>
      </c>
      <c r="BT279" s="18"/>
      <c r="BU279" s="18"/>
      <c r="BV279" s="18"/>
      <c r="BW279" s="18"/>
      <c r="BX279" s="17"/>
      <c r="BY279" s="17"/>
      <c r="BZ279" s="18"/>
    </row>
    <row r="280" spans="1:78" x14ac:dyDescent="0.3">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434"/>
      <c r="AW280" s="421"/>
      <c r="AX280" s="18"/>
      <c r="AY280" s="434"/>
      <c r="AZ280" s="421"/>
      <c r="BA280" s="18"/>
      <c r="BB280" s="18"/>
      <c r="BC280" s="18"/>
      <c r="BD280" s="434"/>
      <c r="BE280" s="421"/>
      <c r="BF280" s="18"/>
      <c r="BG280" s="18"/>
      <c r="BH280" s="18"/>
      <c r="BI280" s="18"/>
      <c r="BJ280" s="18"/>
      <c r="BK280" s="18"/>
      <c r="BL280" s="435" t="e">
        <f t="shared" si="32"/>
        <v>#N/A</v>
      </c>
      <c r="BM280" s="436" t="str">
        <f t="shared" si="33"/>
        <v>-</v>
      </c>
      <c r="BN280" s="436">
        <f t="shared" si="34"/>
        <v>1</v>
      </c>
      <c r="BO280" s="436" t="e">
        <f t="shared" si="35"/>
        <v>#N/A</v>
      </c>
      <c r="BP280" s="436" t="e">
        <f t="shared" si="36"/>
        <v>#N/A</v>
      </c>
      <c r="BQ280" s="436" t="e">
        <f t="shared" si="39"/>
        <v>#N/A</v>
      </c>
      <c r="BR280" s="436" t="str">
        <f t="shared" si="37"/>
        <v/>
      </c>
      <c r="BS280" s="436" t="str">
        <f t="shared" si="38"/>
        <v/>
      </c>
      <c r="BT280" s="18"/>
      <c r="BU280" s="18"/>
      <c r="BV280" s="18"/>
      <c r="BW280" s="18"/>
      <c r="BX280" s="17"/>
      <c r="BY280" s="17"/>
      <c r="BZ280" s="18"/>
    </row>
    <row r="281" spans="1:78" x14ac:dyDescent="0.3">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434"/>
      <c r="AW281" s="421"/>
      <c r="AX281" s="18"/>
      <c r="AY281" s="434"/>
      <c r="AZ281" s="421"/>
      <c r="BA281" s="18"/>
      <c r="BB281" s="18"/>
      <c r="BC281" s="18"/>
      <c r="BD281" s="434"/>
      <c r="BE281" s="421"/>
      <c r="BF281" s="18"/>
      <c r="BG281" s="18"/>
      <c r="BH281" s="18"/>
      <c r="BI281" s="18"/>
      <c r="BJ281" s="18"/>
      <c r="BK281" s="18"/>
      <c r="BL281" s="435" t="e">
        <f t="shared" si="32"/>
        <v>#N/A</v>
      </c>
      <c r="BM281" s="436" t="str">
        <f t="shared" si="33"/>
        <v>-</v>
      </c>
      <c r="BN281" s="436">
        <f t="shared" si="34"/>
        <v>1</v>
      </c>
      <c r="BO281" s="436" t="e">
        <f t="shared" si="35"/>
        <v>#N/A</v>
      </c>
      <c r="BP281" s="436" t="e">
        <f t="shared" si="36"/>
        <v>#N/A</v>
      </c>
      <c r="BQ281" s="436" t="e">
        <f t="shared" si="39"/>
        <v>#N/A</v>
      </c>
      <c r="BR281" s="436" t="str">
        <f t="shared" si="37"/>
        <v/>
      </c>
      <c r="BS281" s="436" t="str">
        <f t="shared" si="38"/>
        <v/>
      </c>
      <c r="BT281" s="18"/>
      <c r="BU281" s="18"/>
      <c r="BV281" s="18"/>
      <c r="BW281" s="18"/>
      <c r="BX281" s="17"/>
      <c r="BY281" s="17"/>
      <c r="BZ281" s="18"/>
    </row>
    <row r="282" spans="1:78" x14ac:dyDescent="0.3">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434"/>
      <c r="AW282" s="421"/>
      <c r="AX282" s="18"/>
      <c r="AY282" s="434"/>
      <c r="AZ282" s="421"/>
      <c r="BA282" s="18"/>
      <c r="BB282" s="18"/>
      <c r="BC282" s="18"/>
      <c r="BD282" s="434"/>
      <c r="BE282" s="421"/>
      <c r="BF282" s="18"/>
      <c r="BG282" s="18"/>
      <c r="BH282" s="18"/>
      <c r="BI282" s="18"/>
      <c r="BJ282" s="18"/>
      <c r="BK282" s="18"/>
      <c r="BL282" s="435" t="e">
        <f t="shared" si="32"/>
        <v>#N/A</v>
      </c>
      <c r="BM282" s="436" t="str">
        <f t="shared" si="33"/>
        <v>-</v>
      </c>
      <c r="BN282" s="436">
        <f t="shared" si="34"/>
        <v>1</v>
      </c>
      <c r="BO282" s="436" t="e">
        <f t="shared" si="35"/>
        <v>#N/A</v>
      </c>
      <c r="BP282" s="436" t="e">
        <f t="shared" si="36"/>
        <v>#N/A</v>
      </c>
      <c r="BQ282" s="436" t="e">
        <f t="shared" si="39"/>
        <v>#N/A</v>
      </c>
      <c r="BR282" s="436" t="str">
        <f t="shared" si="37"/>
        <v/>
      </c>
      <c r="BS282" s="436" t="str">
        <f t="shared" si="38"/>
        <v/>
      </c>
      <c r="BT282" s="18"/>
      <c r="BU282" s="18"/>
      <c r="BV282" s="18"/>
      <c r="BW282" s="18"/>
      <c r="BX282" s="17"/>
      <c r="BY282" s="17"/>
      <c r="BZ282" s="18"/>
    </row>
    <row r="283" spans="1:78" x14ac:dyDescent="0.3">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434"/>
      <c r="AW283" s="421"/>
      <c r="AX283" s="18"/>
      <c r="AY283" s="434"/>
      <c r="AZ283" s="421"/>
      <c r="BA283" s="18"/>
      <c r="BB283" s="18"/>
      <c r="BC283" s="18"/>
      <c r="BD283" s="434"/>
      <c r="BE283" s="421"/>
      <c r="BF283" s="18"/>
      <c r="BG283" s="18"/>
      <c r="BH283" s="18"/>
      <c r="BI283" s="18"/>
      <c r="BJ283" s="18"/>
      <c r="BK283" s="18"/>
      <c r="BL283" s="435" t="e">
        <f t="shared" si="32"/>
        <v>#N/A</v>
      </c>
      <c r="BM283" s="436" t="str">
        <f t="shared" si="33"/>
        <v>-</v>
      </c>
      <c r="BN283" s="436">
        <f t="shared" si="34"/>
        <v>1</v>
      </c>
      <c r="BO283" s="436" t="e">
        <f t="shared" si="35"/>
        <v>#N/A</v>
      </c>
      <c r="BP283" s="436" t="e">
        <f t="shared" si="36"/>
        <v>#N/A</v>
      </c>
      <c r="BQ283" s="436" t="e">
        <f t="shared" si="39"/>
        <v>#N/A</v>
      </c>
      <c r="BR283" s="436" t="str">
        <f t="shared" si="37"/>
        <v/>
      </c>
      <c r="BS283" s="436" t="str">
        <f t="shared" si="38"/>
        <v/>
      </c>
      <c r="BT283" s="18"/>
      <c r="BU283" s="18"/>
      <c r="BV283" s="18"/>
      <c r="BW283" s="18"/>
      <c r="BX283" s="17"/>
      <c r="BY283" s="17"/>
      <c r="BZ283" s="18"/>
    </row>
    <row r="284" spans="1:78" x14ac:dyDescent="0.3">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434"/>
      <c r="AW284" s="421"/>
      <c r="AX284" s="18"/>
      <c r="AY284" s="434"/>
      <c r="AZ284" s="421"/>
      <c r="BA284" s="18"/>
      <c r="BB284" s="18"/>
      <c r="BC284" s="18"/>
      <c r="BD284" s="434"/>
      <c r="BE284" s="421"/>
      <c r="BF284" s="18"/>
      <c r="BG284" s="18"/>
      <c r="BH284" s="18"/>
      <c r="BI284" s="18"/>
      <c r="BJ284" s="18"/>
      <c r="BK284" s="18"/>
      <c r="BL284" s="435" t="e">
        <f t="shared" si="32"/>
        <v>#N/A</v>
      </c>
      <c r="BM284" s="436" t="str">
        <f t="shared" si="33"/>
        <v>-</v>
      </c>
      <c r="BN284" s="436">
        <f t="shared" si="34"/>
        <v>1</v>
      </c>
      <c r="BO284" s="436" t="e">
        <f t="shared" si="35"/>
        <v>#N/A</v>
      </c>
      <c r="BP284" s="436" t="e">
        <f t="shared" si="36"/>
        <v>#N/A</v>
      </c>
      <c r="BQ284" s="436" t="e">
        <f t="shared" si="39"/>
        <v>#N/A</v>
      </c>
      <c r="BR284" s="436" t="str">
        <f t="shared" si="37"/>
        <v/>
      </c>
      <c r="BS284" s="436" t="str">
        <f t="shared" si="38"/>
        <v/>
      </c>
      <c r="BT284" s="18"/>
      <c r="BU284" s="18"/>
      <c r="BV284" s="18"/>
      <c r="BW284" s="18"/>
      <c r="BX284" s="17"/>
      <c r="BY284" s="17"/>
      <c r="BZ284" s="18"/>
    </row>
    <row r="285" spans="1:78" x14ac:dyDescent="0.3">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434"/>
      <c r="AW285" s="421"/>
      <c r="AX285" s="18"/>
      <c r="AY285" s="434"/>
      <c r="AZ285" s="421"/>
      <c r="BA285" s="18"/>
      <c r="BB285" s="18"/>
      <c r="BC285" s="18"/>
      <c r="BD285" s="434"/>
      <c r="BE285" s="421"/>
      <c r="BF285" s="18"/>
      <c r="BG285" s="18"/>
      <c r="BH285" s="18"/>
      <c r="BI285" s="18"/>
      <c r="BJ285" s="18"/>
      <c r="BK285" s="18"/>
      <c r="BL285" s="435" t="e">
        <f t="shared" si="32"/>
        <v>#N/A</v>
      </c>
      <c r="BM285" s="436" t="str">
        <f t="shared" si="33"/>
        <v>-</v>
      </c>
      <c r="BN285" s="436">
        <f t="shared" si="34"/>
        <v>1</v>
      </c>
      <c r="BO285" s="436" t="e">
        <f t="shared" si="35"/>
        <v>#N/A</v>
      </c>
      <c r="BP285" s="436" t="e">
        <f t="shared" si="36"/>
        <v>#N/A</v>
      </c>
      <c r="BQ285" s="436" t="e">
        <f t="shared" si="39"/>
        <v>#N/A</v>
      </c>
      <c r="BR285" s="436" t="str">
        <f t="shared" si="37"/>
        <v/>
      </c>
      <c r="BS285" s="436" t="str">
        <f t="shared" si="38"/>
        <v/>
      </c>
      <c r="BT285" s="18"/>
      <c r="BU285" s="18"/>
      <c r="BV285" s="18"/>
      <c r="BW285" s="18"/>
      <c r="BX285" s="17"/>
      <c r="BY285" s="17"/>
      <c r="BZ285" s="18"/>
    </row>
    <row r="286" spans="1:78" x14ac:dyDescent="0.3">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434"/>
      <c r="AW286" s="421"/>
      <c r="AX286" s="18"/>
      <c r="AY286" s="434"/>
      <c r="AZ286" s="421"/>
      <c r="BA286" s="18"/>
      <c r="BB286" s="18"/>
      <c r="BC286" s="18"/>
      <c r="BD286" s="434"/>
      <c r="BE286" s="421"/>
      <c r="BF286" s="18"/>
      <c r="BG286" s="18"/>
      <c r="BH286" s="18"/>
      <c r="BI286" s="18"/>
      <c r="BJ286" s="18"/>
      <c r="BK286" s="18"/>
      <c r="BL286" s="435" t="e">
        <f t="shared" si="32"/>
        <v>#N/A</v>
      </c>
      <c r="BM286" s="436" t="str">
        <f t="shared" si="33"/>
        <v>-</v>
      </c>
      <c r="BN286" s="436">
        <f t="shared" si="34"/>
        <v>1</v>
      </c>
      <c r="BO286" s="436" t="e">
        <f t="shared" si="35"/>
        <v>#N/A</v>
      </c>
      <c r="BP286" s="436" t="e">
        <f t="shared" si="36"/>
        <v>#N/A</v>
      </c>
      <c r="BQ286" s="436" t="e">
        <f t="shared" si="39"/>
        <v>#N/A</v>
      </c>
      <c r="BR286" s="436" t="str">
        <f t="shared" si="37"/>
        <v/>
      </c>
      <c r="BS286" s="436" t="str">
        <f t="shared" si="38"/>
        <v/>
      </c>
      <c r="BT286" s="18"/>
      <c r="BU286" s="18"/>
      <c r="BV286" s="18"/>
      <c r="BW286" s="18"/>
      <c r="BX286" s="17"/>
      <c r="BY286" s="17"/>
      <c r="BZ286" s="18"/>
    </row>
    <row r="287" spans="1:78" x14ac:dyDescent="0.3">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434"/>
      <c r="AW287" s="421"/>
      <c r="AX287" s="18"/>
      <c r="AY287" s="434"/>
      <c r="AZ287" s="421"/>
      <c r="BA287" s="18"/>
      <c r="BB287" s="18"/>
      <c r="BC287" s="18"/>
      <c r="BD287" s="434"/>
      <c r="BE287" s="421"/>
      <c r="BF287" s="18"/>
      <c r="BG287" s="18"/>
      <c r="BH287" s="18"/>
      <c r="BI287" s="18"/>
      <c r="BJ287" s="18"/>
      <c r="BK287" s="18"/>
      <c r="BL287" s="435" t="e">
        <f t="shared" si="32"/>
        <v>#N/A</v>
      </c>
      <c r="BM287" s="436" t="str">
        <f t="shared" si="33"/>
        <v>-</v>
      </c>
      <c r="BN287" s="436">
        <f t="shared" si="34"/>
        <v>1</v>
      </c>
      <c r="BO287" s="436" t="e">
        <f t="shared" si="35"/>
        <v>#N/A</v>
      </c>
      <c r="BP287" s="436" t="e">
        <f t="shared" si="36"/>
        <v>#N/A</v>
      </c>
      <c r="BQ287" s="436" t="e">
        <f t="shared" si="39"/>
        <v>#N/A</v>
      </c>
      <c r="BR287" s="436" t="str">
        <f t="shared" si="37"/>
        <v/>
      </c>
      <c r="BS287" s="436" t="str">
        <f t="shared" si="38"/>
        <v/>
      </c>
      <c r="BT287" s="18"/>
      <c r="BU287" s="18"/>
      <c r="BV287" s="18"/>
      <c r="BW287" s="18"/>
      <c r="BX287" s="17"/>
      <c r="BY287" s="17"/>
      <c r="BZ287" s="18"/>
    </row>
    <row r="288" spans="1:78" x14ac:dyDescent="0.3">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434"/>
      <c r="AW288" s="421"/>
      <c r="AX288" s="18"/>
      <c r="AY288" s="434"/>
      <c r="AZ288" s="421"/>
      <c r="BA288" s="18"/>
      <c r="BB288" s="18"/>
      <c r="BC288" s="18"/>
      <c r="BD288" s="434"/>
      <c r="BE288" s="421"/>
      <c r="BF288" s="18"/>
      <c r="BG288" s="18"/>
      <c r="BH288" s="18"/>
      <c r="BI288" s="18"/>
      <c r="BJ288" s="18"/>
      <c r="BK288" s="18"/>
      <c r="BL288" s="435" t="e">
        <f t="shared" si="32"/>
        <v>#N/A</v>
      </c>
      <c r="BM288" s="436" t="str">
        <f t="shared" si="33"/>
        <v>-</v>
      </c>
      <c r="BN288" s="436">
        <f t="shared" si="34"/>
        <v>1</v>
      </c>
      <c r="BO288" s="436" t="e">
        <f t="shared" si="35"/>
        <v>#N/A</v>
      </c>
      <c r="BP288" s="436" t="e">
        <f t="shared" si="36"/>
        <v>#N/A</v>
      </c>
      <c r="BQ288" s="436" t="e">
        <f t="shared" si="39"/>
        <v>#N/A</v>
      </c>
      <c r="BR288" s="436" t="str">
        <f t="shared" si="37"/>
        <v/>
      </c>
      <c r="BS288" s="436" t="str">
        <f t="shared" si="38"/>
        <v/>
      </c>
      <c r="BT288" s="18"/>
      <c r="BU288" s="18"/>
      <c r="BV288" s="18"/>
      <c r="BW288" s="18"/>
      <c r="BX288" s="17"/>
      <c r="BY288" s="17"/>
      <c r="BZ288" s="18"/>
    </row>
    <row r="289" spans="1:78" x14ac:dyDescent="0.3">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434"/>
      <c r="AW289" s="421"/>
      <c r="AX289" s="18"/>
      <c r="AY289" s="434"/>
      <c r="AZ289" s="421"/>
      <c r="BA289" s="18"/>
      <c r="BB289" s="18"/>
      <c r="BC289" s="18"/>
      <c r="BD289" s="434"/>
      <c r="BE289" s="421"/>
      <c r="BF289" s="18"/>
      <c r="BG289" s="18"/>
      <c r="BH289" s="18"/>
      <c r="BI289" s="18"/>
      <c r="BJ289" s="18"/>
      <c r="BK289" s="18"/>
      <c r="BL289" s="435" t="e">
        <f t="shared" si="32"/>
        <v>#N/A</v>
      </c>
      <c r="BM289" s="436" t="str">
        <f t="shared" si="33"/>
        <v>-</v>
      </c>
      <c r="BN289" s="436">
        <f t="shared" si="34"/>
        <v>1</v>
      </c>
      <c r="BO289" s="436" t="e">
        <f t="shared" si="35"/>
        <v>#N/A</v>
      </c>
      <c r="BP289" s="436" t="e">
        <f t="shared" si="36"/>
        <v>#N/A</v>
      </c>
      <c r="BQ289" s="436" t="e">
        <f t="shared" si="39"/>
        <v>#N/A</v>
      </c>
      <c r="BR289" s="436" t="str">
        <f t="shared" si="37"/>
        <v/>
      </c>
      <c r="BS289" s="436" t="str">
        <f t="shared" si="38"/>
        <v/>
      </c>
      <c r="BT289" s="18"/>
      <c r="BU289" s="18"/>
      <c r="BV289" s="18"/>
      <c r="BW289" s="18"/>
      <c r="BX289" s="17"/>
      <c r="BY289" s="17"/>
      <c r="BZ289" s="18"/>
    </row>
    <row r="290" spans="1:78" x14ac:dyDescent="0.3">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434"/>
      <c r="AW290" s="421"/>
      <c r="AX290" s="18"/>
      <c r="AY290" s="434"/>
      <c r="AZ290" s="421"/>
      <c r="BA290" s="18"/>
      <c r="BB290" s="18"/>
      <c r="BC290" s="18"/>
      <c r="BD290" s="434"/>
      <c r="BE290" s="421"/>
      <c r="BF290" s="18"/>
      <c r="BG290" s="18"/>
      <c r="BH290" s="18"/>
      <c r="BI290" s="18"/>
      <c r="BJ290" s="18"/>
      <c r="BK290" s="18"/>
      <c r="BL290" s="435" t="e">
        <f t="shared" si="32"/>
        <v>#N/A</v>
      </c>
      <c r="BM290" s="436" t="str">
        <f t="shared" si="33"/>
        <v>-</v>
      </c>
      <c r="BN290" s="436">
        <f t="shared" si="34"/>
        <v>1</v>
      </c>
      <c r="BO290" s="436" t="e">
        <f t="shared" si="35"/>
        <v>#N/A</v>
      </c>
      <c r="BP290" s="436" t="e">
        <f t="shared" si="36"/>
        <v>#N/A</v>
      </c>
      <c r="BQ290" s="436" t="e">
        <f t="shared" si="39"/>
        <v>#N/A</v>
      </c>
      <c r="BR290" s="436" t="str">
        <f t="shared" si="37"/>
        <v/>
      </c>
      <c r="BS290" s="436" t="str">
        <f t="shared" si="38"/>
        <v/>
      </c>
      <c r="BT290" s="18"/>
      <c r="BU290" s="18"/>
      <c r="BV290" s="18"/>
      <c r="BW290" s="18"/>
      <c r="BX290" s="17"/>
      <c r="BY290" s="17"/>
      <c r="BZ290" s="18"/>
    </row>
    <row r="291" spans="1:78" x14ac:dyDescent="0.3">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434"/>
      <c r="AW291" s="421"/>
      <c r="AX291" s="18"/>
      <c r="AY291" s="434"/>
      <c r="AZ291" s="421"/>
      <c r="BA291" s="18"/>
      <c r="BB291" s="18"/>
      <c r="BC291" s="18"/>
      <c r="BD291" s="434"/>
      <c r="BE291" s="421"/>
      <c r="BF291" s="18"/>
      <c r="BG291" s="18"/>
      <c r="BH291" s="18"/>
      <c r="BI291" s="18"/>
      <c r="BJ291" s="18"/>
      <c r="BK291" s="18"/>
      <c r="BL291" s="435" t="e">
        <f t="shared" si="32"/>
        <v>#N/A</v>
      </c>
      <c r="BM291" s="436" t="str">
        <f t="shared" si="33"/>
        <v>-</v>
      </c>
      <c r="BN291" s="436">
        <f t="shared" si="34"/>
        <v>1</v>
      </c>
      <c r="BO291" s="436" t="e">
        <f t="shared" si="35"/>
        <v>#N/A</v>
      </c>
      <c r="BP291" s="436" t="e">
        <f t="shared" si="36"/>
        <v>#N/A</v>
      </c>
      <c r="BQ291" s="436" t="e">
        <f t="shared" si="39"/>
        <v>#N/A</v>
      </c>
      <c r="BR291" s="436" t="str">
        <f t="shared" si="37"/>
        <v/>
      </c>
      <c r="BS291" s="436" t="str">
        <f t="shared" si="38"/>
        <v/>
      </c>
      <c r="BT291" s="18"/>
      <c r="BU291" s="18"/>
      <c r="BV291" s="18"/>
      <c r="BW291" s="18"/>
      <c r="BX291" s="17"/>
      <c r="BY291" s="17"/>
      <c r="BZ291" s="18"/>
    </row>
    <row r="292" spans="1:78" x14ac:dyDescent="0.3">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434"/>
      <c r="AW292" s="421"/>
      <c r="AX292" s="18"/>
      <c r="AY292" s="434"/>
      <c r="AZ292" s="421"/>
      <c r="BA292" s="18"/>
      <c r="BB292" s="18"/>
      <c r="BC292" s="18"/>
      <c r="BD292" s="434"/>
      <c r="BE292" s="421"/>
      <c r="BF292" s="18"/>
      <c r="BG292" s="18"/>
      <c r="BH292" s="18"/>
      <c r="BI292" s="18"/>
      <c r="BJ292" s="18"/>
      <c r="BK292" s="18"/>
      <c r="BL292" s="435" t="e">
        <f t="shared" si="32"/>
        <v>#N/A</v>
      </c>
      <c r="BM292" s="436" t="str">
        <f t="shared" si="33"/>
        <v>-</v>
      </c>
      <c r="BN292" s="436">
        <f t="shared" si="34"/>
        <v>1</v>
      </c>
      <c r="BO292" s="436" t="e">
        <f t="shared" si="35"/>
        <v>#N/A</v>
      </c>
      <c r="BP292" s="436" t="e">
        <f t="shared" si="36"/>
        <v>#N/A</v>
      </c>
      <c r="BQ292" s="436" t="e">
        <f t="shared" si="39"/>
        <v>#N/A</v>
      </c>
      <c r="BR292" s="436" t="str">
        <f t="shared" si="37"/>
        <v/>
      </c>
      <c r="BS292" s="436" t="str">
        <f t="shared" si="38"/>
        <v/>
      </c>
      <c r="BT292" s="18"/>
      <c r="BU292" s="18"/>
      <c r="BV292" s="18"/>
      <c r="BW292" s="18"/>
      <c r="BX292" s="17"/>
      <c r="BY292" s="17"/>
      <c r="BZ292" s="18"/>
    </row>
    <row r="293" spans="1:78" x14ac:dyDescent="0.3">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434"/>
      <c r="AW293" s="421"/>
      <c r="AX293" s="18"/>
      <c r="AY293" s="434"/>
      <c r="AZ293" s="421"/>
      <c r="BA293" s="18"/>
      <c r="BB293" s="18"/>
      <c r="BC293" s="18"/>
      <c r="BD293" s="434"/>
      <c r="BE293" s="421"/>
      <c r="BF293" s="18"/>
      <c r="BG293" s="18"/>
      <c r="BH293" s="18"/>
      <c r="BI293" s="18"/>
      <c r="BJ293" s="18"/>
      <c r="BK293" s="18"/>
      <c r="BL293" s="435" t="e">
        <f t="shared" si="32"/>
        <v>#N/A</v>
      </c>
      <c r="BM293" s="436" t="str">
        <f t="shared" si="33"/>
        <v>-</v>
      </c>
      <c r="BN293" s="436">
        <f t="shared" si="34"/>
        <v>1</v>
      </c>
      <c r="BO293" s="436" t="e">
        <f t="shared" si="35"/>
        <v>#N/A</v>
      </c>
      <c r="BP293" s="436" t="e">
        <f t="shared" si="36"/>
        <v>#N/A</v>
      </c>
      <c r="BQ293" s="436" t="e">
        <f t="shared" si="39"/>
        <v>#N/A</v>
      </c>
      <c r="BR293" s="436" t="str">
        <f t="shared" si="37"/>
        <v/>
      </c>
      <c r="BS293" s="436" t="str">
        <f t="shared" si="38"/>
        <v/>
      </c>
      <c r="BT293" s="18"/>
      <c r="BU293" s="18"/>
      <c r="BV293" s="18"/>
      <c r="BW293" s="18"/>
      <c r="BX293" s="17"/>
      <c r="BY293" s="17"/>
      <c r="BZ293" s="18"/>
    </row>
    <row r="294" spans="1:78" x14ac:dyDescent="0.3">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434"/>
      <c r="AW294" s="421"/>
      <c r="AX294" s="18"/>
      <c r="AY294" s="434"/>
      <c r="AZ294" s="421"/>
      <c r="BA294" s="18"/>
      <c r="BB294" s="18"/>
      <c r="BC294" s="18"/>
      <c r="BD294" s="434"/>
      <c r="BE294" s="421"/>
      <c r="BF294" s="18"/>
      <c r="BG294" s="18"/>
      <c r="BH294" s="18"/>
      <c r="BI294" s="18"/>
      <c r="BJ294" s="18"/>
      <c r="BK294" s="18"/>
      <c r="BL294" s="435" t="e">
        <f t="shared" si="32"/>
        <v>#N/A</v>
      </c>
      <c r="BM294" s="436" t="str">
        <f t="shared" si="33"/>
        <v>-</v>
      </c>
      <c r="BN294" s="436">
        <f t="shared" si="34"/>
        <v>1</v>
      </c>
      <c r="BO294" s="436" t="e">
        <f t="shared" si="35"/>
        <v>#N/A</v>
      </c>
      <c r="BP294" s="436" t="e">
        <f t="shared" si="36"/>
        <v>#N/A</v>
      </c>
      <c r="BQ294" s="436" t="e">
        <f t="shared" si="39"/>
        <v>#N/A</v>
      </c>
      <c r="BR294" s="436" t="str">
        <f t="shared" si="37"/>
        <v/>
      </c>
      <c r="BS294" s="436" t="str">
        <f t="shared" si="38"/>
        <v/>
      </c>
      <c r="BT294" s="18"/>
      <c r="BU294" s="18"/>
      <c r="BV294" s="18"/>
      <c r="BW294" s="18"/>
      <c r="BX294" s="17"/>
      <c r="BY294" s="17"/>
      <c r="BZ294" s="18"/>
    </row>
    <row r="295" spans="1:78" x14ac:dyDescent="0.3">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434"/>
      <c r="AW295" s="421"/>
      <c r="AX295" s="18"/>
      <c r="AY295" s="434"/>
      <c r="AZ295" s="421"/>
      <c r="BA295" s="18"/>
      <c r="BB295" s="18"/>
      <c r="BC295" s="18"/>
      <c r="BD295" s="434"/>
      <c r="BE295" s="421"/>
      <c r="BF295" s="18"/>
      <c r="BG295" s="18"/>
      <c r="BH295" s="18"/>
      <c r="BI295" s="18"/>
      <c r="BJ295" s="18"/>
      <c r="BK295" s="18"/>
      <c r="BL295" s="435" t="e">
        <f t="shared" si="32"/>
        <v>#N/A</v>
      </c>
      <c r="BM295" s="436" t="str">
        <f t="shared" si="33"/>
        <v>-</v>
      </c>
      <c r="BN295" s="436">
        <f t="shared" si="34"/>
        <v>1</v>
      </c>
      <c r="BO295" s="436" t="e">
        <f t="shared" si="35"/>
        <v>#N/A</v>
      </c>
      <c r="BP295" s="436" t="e">
        <f t="shared" si="36"/>
        <v>#N/A</v>
      </c>
      <c r="BQ295" s="436" t="e">
        <f t="shared" si="39"/>
        <v>#N/A</v>
      </c>
      <c r="BR295" s="436" t="str">
        <f t="shared" si="37"/>
        <v/>
      </c>
      <c r="BS295" s="436" t="str">
        <f t="shared" si="38"/>
        <v/>
      </c>
      <c r="BT295" s="18"/>
      <c r="BU295" s="18"/>
      <c r="BV295" s="18"/>
      <c r="BW295" s="18"/>
      <c r="BX295" s="17"/>
      <c r="BY295" s="17"/>
      <c r="BZ295" s="18"/>
    </row>
    <row r="296" spans="1:78" x14ac:dyDescent="0.3">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434"/>
      <c r="AW296" s="421"/>
      <c r="AX296" s="18"/>
      <c r="AY296" s="434"/>
      <c r="AZ296" s="421"/>
      <c r="BA296" s="18"/>
      <c r="BB296" s="18"/>
      <c r="BC296" s="18"/>
      <c r="BD296" s="434"/>
      <c r="BE296" s="421"/>
      <c r="BF296" s="18"/>
      <c r="BG296" s="18"/>
      <c r="BH296" s="18"/>
      <c r="BI296" s="18"/>
      <c r="BJ296" s="18"/>
      <c r="BK296" s="18"/>
      <c r="BL296" s="435" t="e">
        <f t="shared" si="32"/>
        <v>#N/A</v>
      </c>
      <c r="BM296" s="436" t="str">
        <f t="shared" si="33"/>
        <v>-</v>
      </c>
      <c r="BN296" s="436">
        <f t="shared" si="34"/>
        <v>1</v>
      </c>
      <c r="BO296" s="436" t="e">
        <f t="shared" si="35"/>
        <v>#N/A</v>
      </c>
      <c r="BP296" s="436" t="e">
        <f t="shared" si="36"/>
        <v>#N/A</v>
      </c>
      <c r="BQ296" s="436" t="e">
        <f t="shared" si="39"/>
        <v>#N/A</v>
      </c>
      <c r="BR296" s="436" t="str">
        <f t="shared" si="37"/>
        <v/>
      </c>
      <c r="BS296" s="436" t="str">
        <f t="shared" si="38"/>
        <v/>
      </c>
      <c r="BT296" s="18"/>
      <c r="BU296" s="18"/>
      <c r="BV296" s="18"/>
      <c r="BW296" s="18"/>
      <c r="BX296" s="17"/>
      <c r="BY296" s="17"/>
      <c r="BZ296" s="18"/>
    </row>
    <row r="297" spans="1:78" x14ac:dyDescent="0.3">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434"/>
      <c r="AW297" s="421"/>
      <c r="AX297" s="18"/>
      <c r="AY297" s="434"/>
      <c r="AZ297" s="421"/>
      <c r="BA297" s="18"/>
      <c r="BB297" s="18"/>
      <c r="BC297" s="18"/>
      <c r="BD297" s="434"/>
      <c r="BE297" s="421"/>
      <c r="BF297" s="18"/>
      <c r="BG297" s="18"/>
      <c r="BH297" s="18"/>
      <c r="BI297" s="18"/>
      <c r="BJ297" s="18"/>
      <c r="BK297" s="18"/>
      <c r="BL297" s="435" t="e">
        <f t="shared" si="32"/>
        <v>#N/A</v>
      </c>
      <c r="BM297" s="436" t="str">
        <f t="shared" si="33"/>
        <v>-</v>
      </c>
      <c r="BN297" s="436">
        <f t="shared" si="34"/>
        <v>1</v>
      </c>
      <c r="BO297" s="436" t="e">
        <f t="shared" si="35"/>
        <v>#N/A</v>
      </c>
      <c r="BP297" s="436" t="e">
        <f t="shared" si="36"/>
        <v>#N/A</v>
      </c>
      <c r="BQ297" s="436" t="e">
        <f t="shared" si="39"/>
        <v>#N/A</v>
      </c>
      <c r="BR297" s="436" t="str">
        <f t="shared" si="37"/>
        <v/>
      </c>
      <c r="BS297" s="436" t="str">
        <f t="shared" si="38"/>
        <v/>
      </c>
      <c r="BT297" s="18"/>
      <c r="BU297" s="18"/>
      <c r="BV297" s="18"/>
      <c r="BW297" s="18"/>
      <c r="BX297" s="17"/>
      <c r="BY297" s="17"/>
      <c r="BZ297" s="18"/>
    </row>
    <row r="298" spans="1:78" x14ac:dyDescent="0.3">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434"/>
      <c r="AW298" s="421"/>
      <c r="AX298" s="18"/>
      <c r="AY298" s="434"/>
      <c r="AZ298" s="421"/>
      <c r="BA298" s="18"/>
      <c r="BB298" s="18"/>
      <c r="BC298" s="18"/>
      <c r="BD298" s="434"/>
      <c r="BE298" s="421"/>
      <c r="BF298" s="18"/>
      <c r="BG298" s="18"/>
      <c r="BH298" s="18"/>
      <c r="BI298" s="18"/>
      <c r="BJ298" s="18"/>
      <c r="BK298" s="18"/>
      <c r="BL298" s="435" t="e">
        <f t="shared" si="32"/>
        <v>#N/A</v>
      </c>
      <c r="BM298" s="436" t="str">
        <f t="shared" si="33"/>
        <v>-</v>
      </c>
      <c r="BN298" s="436">
        <f t="shared" si="34"/>
        <v>1</v>
      </c>
      <c r="BO298" s="436" t="e">
        <f t="shared" si="35"/>
        <v>#N/A</v>
      </c>
      <c r="BP298" s="436" t="e">
        <f t="shared" si="36"/>
        <v>#N/A</v>
      </c>
      <c r="BQ298" s="436" t="e">
        <f t="shared" si="39"/>
        <v>#N/A</v>
      </c>
      <c r="BR298" s="436" t="str">
        <f t="shared" si="37"/>
        <v/>
      </c>
      <c r="BS298" s="436" t="str">
        <f t="shared" si="38"/>
        <v/>
      </c>
      <c r="BT298" s="18"/>
      <c r="BU298" s="18"/>
      <c r="BV298" s="18"/>
      <c r="BW298" s="18"/>
      <c r="BX298" s="17"/>
      <c r="BY298" s="17"/>
      <c r="BZ298" s="18"/>
    </row>
    <row r="299" spans="1:78" x14ac:dyDescent="0.3">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434"/>
      <c r="AW299" s="421"/>
      <c r="AX299" s="18"/>
      <c r="AY299" s="434"/>
      <c r="AZ299" s="421"/>
      <c r="BA299" s="18"/>
      <c r="BB299" s="18"/>
      <c r="BC299" s="18"/>
      <c r="BD299" s="434"/>
      <c r="BE299" s="421"/>
      <c r="BF299" s="18"/>
      <c r="BG299" s="18"/>
      <c r="BH299" s="18"/>
      <c r="BI299" s="18"/>
      <c r="BJ299" s="18"/>
      <c r="BK299" s="18"/>
      <c r="BL299" s="435" t="e">
        <f t="shared" si="32"/>
        <v>#N/A</v>
      </c>
      <c r="BM299" s="436" t="str">
        <f t="shared" si="33"/>
        <v>-</v>
      </c>
      <c r="BN299" s="436">
        <f t="shared" si="34"/>
        <v>1</v>
      </c>
      <c r="BO299" s="436" t="e">
        <f t="shared" si="35"/>
        <v>#N/A</v>
      </c>
      <c r="BP299" s="436" t="e">
        <f t="shared" si="36"/>
        <v>#N/A</v>
      </c>
      <c r="BQ299" s="436" t="e">
        <f t="shared" si="39"/>
        <v>#N/A</v>
      </c>
      <c r="BR299" s="436" t="str">
        <f t="shared" si="37"/>
        <v/>
      </c>
      <c r="BS299" s="436" t="str">
        <f t="shared" si="38"/>
        <v/>
      </c>
      <c r="BT299" s="18"/>
      <c r="BU299" s="18"/>
      <c r="BV299" s="18"/>
      <c r="BW299" s="18"/>
      <c r="BX299" s="17"/>
      <c r="BY299" s="17"/>
      <c r="BZ299" s="18"/>
    </row>
    <row r="300" spans="1:78" x14ac:dyDescent="0.3">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434"/>
      <c r="AW300" s="421"/>
      <c r="AX300" s="18"/>
      <c r="AY300" s="434"/>
      <c r="AZ300" s="421"/>
      <c r="BA300" s="18"/>
      <c r="BB300" s="18"/>
      <c r="BC300" s="18"/>
      <c r="BD300" s="434"/>
      <c r="BE300" s="421"/>
      <c r="BF300" s="18"/>
      <c r="BG300" s="18"/>
      <c r="BH300" s="18"/>
      <c r="BI300" s="18"/>
      <c r="BJ300" s="18"/>
      <c r="BK300" s="18"/>
      <c r="BL300" s="435" t="e">
        <f t="shared" si="32"/>
        <v>#N/A</v>
      </c>
      <c r="BM300" s="436" t="str">
        <f t="shared" si="33"/>
        <v>-</v>
      </c>
      <c r="BN300" s="436">
        <f t="shared" si="34"/>
        <v>1</v>
      </c>
      <c r="BO300" s="436" t="e">
        <f t="shared" si="35"/>
        <v>#N/A</v>
      </c>
      <c r="BP300" s="436" t="e">
        <f t="shared" si="36"/>
        <v>#N/A</v>
      </c>
      <c r="BQ300" s="436" t="e">
        <f t="shared" si="39"/>
        <v>#N/A</v>
      </c>
      <c r="BR300" s="436" t="str">
        <f t="shared" si="37"/>
        <v/>
      </c>
      <c r="BS300" s="436" t="str">
        <f t="shared" si="38"/>
        <v/>
      </c>
      <c r="BT300" s="18"/>
      <c r="BU300" s="18"/>
      <c r="BV300" s="18"/>
      <c r="BW300" s="18"/>
      <c r="BX300" s="17"/>
      <c r="BY300" s="17"/>
      <c r="BZ300" s="18"/>
    </row>
    <row r="301" spans="1:78" x14ac:dyDescent="0.3">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434"/>
      <c r="AW301" s="421"/>
      <c r="AX301" s="18"/>
      <c r="AY301" s="434"/>
      <c r="AZ301" s="421"/>
      <c r="BA301" s="18"/>
      <c r="BB301" s="18"/>
      <c r="BC301" s="18"/>
      <c r="BD301" s="434"/>
      <c r="BE301" s="421"/>
      <c r="BF301" s="18"/>
      <c r="BG301" s="18"/>
      <c r="BH301" s="18"/>
      <c r="BI301" s="18"/>
      <c r="BJ301" s="18"/>
      <c r="BK301" s="18"/>
      <c r="BL301" s="435" t="e">
        <f t="shared" si="32"/>
        <v>#N/A</v>
      </c>
      <c r="BM301" s="436" t="str">
        <f t="shared" si="33"/>
        <v>-</v>
      </c>
      <c r="BN301" s="436">
        <f t="shared" si="34"/>
        <v>1</v>
      </c>
      <c r="BO301" s="436" t="e">
        <f t="shared" si="35"/>
        <v>#N/A</v>
      </c>
      <c r="BP301" s="436" t="e">
        <f t="shared" si="36"/>
        <v>#N/A</v>
      </c>
      <c r="BQ301" s="436" t="e">
        <f t="shared" si="39"/>
        <v>#N/A</v>
      </c>
      <c r="BR301" s="436" t="str">
        <f t="shared" si="37"/>
        <v/>
      </c>
      <c r="BS301" s="436" t="str">
        <f t="shared" si="38"/>
        <v/>
      </c>
      <c r="BT301" s="18"/>
      <c r="BU301" s="18"/>
      <c r="BV301" s="18"/>
      <c r="BW301" s="18"/>
      <c r="BX301" s="17"/>
      <c r="BY301" s="17"/>
      <c r="BZ301" s="18"/>
    </row>
    <row r="302" spans="1:78" x14ac:dyDescent="0.3">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7"/>
      <c r="BY302" s="17"/>
      <c r="BZ302" s="18"/>
    </row>
    <row r="303" spans="1:78" x14ac:dyDescent="0.3">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7"/>
      <c r="BY303" s="17"/>
      <c r="BZ303" s="18"/>
    </row>
    <row r="304" spans="1:78" x14ac:dyDescent="0.3">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7"/>
      <c r="BY304" s="17"/>
      <c r="BZ304" s="18"/>
    </row>
    <row r="305" spans="1:78" x14ac:dyDescent="0.3">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7"/>
      <c r="BY305" s="17"/>
      <c r="BZ305" s="18"/>
    </row>
    <row r="306" spans="1:78" x14ac:dyDescent="0.3">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7"/>
      <c r="BY306" s="17"/>
      <c r="BZ306" s="18"/>
    </row>
    <row r="307" spans="1:78" x14ac:dyDescent="0.3">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7"/>
      <c r="BY307" s="17"/>
      <c r="BZ307" s="18"/>
    </row>
    <row r="308" spans="1:78" x14ac:dyDescent="0.3">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7"/>
      <c r="BY308" s="17"/>
      <c r="BZ308" s="18"/>
    </row>
    <row r="309" spans="1:78" x14ac:dyDescent="0.3">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7"/>
      <c r="BY309" s="17"/>
      <c r="BZ309" s="18"/>
    </row>
    <row r="310" spans="1:78" x14ac:dyDescent="0.3">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7"/>
      <c r="BY310" s="17"/>
      <c r="BZ310" s="18"/>
    </row>
    <row r="311" spans="1:78" x14ac:dyDescent="0.3">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7"/>
      <c r="BY311" s="17"/>
      <c r="BZ311" s="18"/>
    </row>
    <row r="312" spans="1:78" x14ac:dyDescent="0.3">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7"/>
      <c r="BY312" s="17"/>
      <c r="BZ312" s="18"/>
    </row>
    <row r="313" spans="1:78" x14ac:dyDescent="0.3">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7"/>
      <c r="BY313" s="17"/>
      <c r="BZ313" s="18"/>
    </row>
    <row r="314" spans="1:78" x14ac:dyDescent="0.3">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7"/>
      <c r="BY314" s="17"/>
      <c r="BZ314" s="18"/>
    </row>
    <row r="315" spans="1:78" x14ac:dyDescent="0.3">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7"/>
      <c r="BY315" s="17"/>
      <c r="BZ315" s="18"/>
    </row>
    <row r="316" spans="1:78" x14ac:dyDescent="0.3">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7"/>
      <c r="BY316" s="17"/>
      <c r="BZ316" s="18"/>
    </row>
    <row r="317" spans="1:78" x14ac:dyDescent="0.3">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7"/>
      <c r="BY317" s="17"/>
      <c r="BZ317" s="18"/>
    </row>
    <row r="318" spans="1:78" x14ac:dyDescent="0.3">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7"/>
      <c r="BY318" s="17"/>
      <c r="BZ318" s="18"/>
    </row>
    <row r="319" spans="1:78" x14ac:dyDescent="0.3">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7"/>
      <c r="BY319" s="17"/>
      <c r="BZ319" s="18"/>
    </row>
    <row r="320" spans="1:78" x14ac:dyDescent="0.3">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7"/>
      <c r="BY320" s="17"/>
      <c r="BZ320" s="18"/>
    </row>
    <row r="321" spans="1:78" x14ac:dyDescent="0.3">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7"/>
      <c r="BY321" s="17"/>
      <c r="BZ321" s="18"/>
    </row>
    <row r="322" spans="1:78" x14ac:dyDescent="0.3">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7"/>
      <c r="BY322" s="17"/>
      <c r="BZ322" s="18"/>
    </row>
    <row r="323" spans="1:78" x14ac:dyDescent="0.3">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7"/>
      <c r="BY323" s="17"/>
      <c r="BZ323" s="18"/>
    </row>
    <row r="324" spans="1:78" x14ac:dyDescent="0.3">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7"/>
      <c r="BY324" s="17"/>
      <c r="BZ324" s="18"/>
    </row>
    <row r="325" spans="1:78" x14ac:dyDescent="0.3">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7"/>
      <c r="BY325" s="17"/>
      <c r="BZ325" s="18"/>
    </row>
    <row r="326" spans="1:78" x14ac:dyDescent="0.3">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7"/>
      <c r="BY326" s="17"/>
      <c r="BZ326" s="18"/>
    </row>
    <row r="327" spans="1:78" x14ac:dyDescent="0.3">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7"/>
      <c r="BY327" s="17"/>
      <c r="BZ327" s="18"/>
    </row>
    <row r="328" spans="1:78" x14ac:dyDescent="0.3">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7"/>
      <c r="BY328" s="17"/>
      <c r="BZ328" s="18"/>
    </row>
    <row r="329" spans="1:78" x14ac:dyDescent="0.3">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7"/>
      <c r="BY329" s="17"/>
      <c r="BZ329" s="18"/>
    </row>
    <row r="330" spans="1:78" x14ac:dyDescent="0.3">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7"/>
      <c r="BY330" s="17"/>
      <c r="BZ330" s="18"/>
    </row>
    <row r="331" spans="1:78" x14ac:dyDescent="0.3">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7"/>
      <c r="BY331" s="17"/>
      <c r="BZ331" s="18"/>
    </row>
    <row r="332" spans="1:78" x14ac:dyDescent="0.3">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7"/>
      <c r="BY332" s="17"/>
      <c r="BZ332" s="18"/>
    </row>
    <row r="333" spans="1:78" x14ac:dyDescent="0.3">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7"/>
      <c r="BY333" s="17"/>
      <c r="BZ333" s="18"/>
    </row>
    <row r="334" spans="1:78" x14ac:dyDescent="0.3">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7"/>
      <c r="BY334" s="17"/>
      <c r="BZ334" s="18"/>
    </row>
    <row r="335" spans="1:78" x14ac:dyDescent="0.3">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7"/>
      <c r="BY335" s="17"/>
      <c r="BZ335" s="18"/>
    </row>
    <row r="336" spans="1:78" x14ac:dyDescent="0.3">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7"/>
      <c r="BY336" s="17"/>
      <c r="BZ336" s="18"/>
    </row>
    <row r="337" spans="1:78" x14ac:dyDescent="0.3">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7"/>
      <c r="BY337" s="17"/>
      <c r="BZ337" s="18"/>
    </row>
    <row r="338" spans="1:78" x14ac:dyDescent="0.3">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7"/>
      <c r="BY338" s="17"/>
      <c r="BZ338" s="18"/>
    </row>
    <row r="339" spans="1:78" x14ac:dyDescent="0.3">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7"/>
      <c r="BY339" s="17"/>
      <c r="BZ339" s="18"/>
    </row>
    <row r="340" spans="1:78" x14ac:dyDescent="0.3">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7"/>
      <c r="BY340" s="17"/>
      <c r="BZ340" s="18"/>
    </row>
    <row r="341" spans="1:78" x14ac:dyDescent="0.3">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7"/>
      <c r="BY341" s="17"/>
      <c r="BZ341" s="18"/>
    </row>
    <row r="342" spans="1:78" x14ac:dyDescent="0.3">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7"/>
      <c r="BY342" s="17"/>
      <c r="BZ342" s="18"/>
    </row>
    <row r="343" spans="1:78" x14ac:dyDescent="0.3">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7"/>
      <c r="BY343" s="17"/>
      <c r="BZ343" s="18"/>
    </row>
    <row r="344" spans="1:78" x14ac:dyDescent="0.3">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7"/>
      <c r="BY344" s="17"/>
      <c r="BZ344" s="18"/>
    </row>
    <row r="345" spans="1:78" x14ac:dyDescent="0.3">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7"/>
      <c r="BY345" s="17"/>
      <c r="BZ345" s="18"/>
    </row>
    <row r="346" spans="1:78" x14ac:dyDescent="0.3">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7"/>
      <c r="BY346" s="17"/>
      <c r="BZ346" s="18"/>
    </row>
    <row r="347" spans="1:78" x14ac:dyDescent="0.3">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7"/>
      <c r="BY347" s="17"/>
      <c r="BZ347" s="18"/>
    </row>
    <row r="348" spans="1:78" x14ac:dyDescent="0.3">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7"/>
      <c r="BY348" s="17"/>
      <c r="BZ348" s="18"/>
    </row>
    <row r="349" spans="1:78" x14ac:dyDescent="0.3">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7"/>
      <c r="BY349" s="17"/>
      <c r="BZ349" s="18"/>
    </row>
    <row r="350" spans="1:78" x14ac:dyDescent="0.3">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7"/>
      <c r="BY350" s="17"/>
      <c r="BZ350" s="18"/>
    </row>
  </sheetData>
  <sheetProtection algorithmName="SHA-512" hashValue="WnYmtAjIvJPI68ewBmoVtaGgXXlODPzPkVGa/QrrEfVqb+z+woe5McyX7vOvS7Migd4N1hYA+V21U7BC5Hejkg==" saltValue="l4OdXfM8PTrzbiATvxxRoQ==" spinCount="100000" sheet="1" objects="1" scenarios="1" formatCells="0" formatColumns="0" formatRows="0"/>
  <conditionalFormatting sqref="C30:C31">
    <cfRule type="cellIs" dxfId="30" priority="7" operator="lessThan">
      <formula>0</formula>
    </cfRule>
  </conditionalFormatting>
  <conditionalFormatting sqref="E7">
    <cfRule type="expression" dxfId="29" priority="6">
      <formula>$E$7&lt;&gt;$C$7</formula>
    </cfRule>
  </conditionalFormatting>
  <conditionalFormatting sqref="B19:D20">
    <cfRule type="expression" dxfId="28" priority="3">
      <formula>$B$20=$B$21</formula>
    </cfRule>
  </conditionalFormatting>
  <conditionalFormatting sqref="B22:D22">
    <cfRule type="expression" dxfId="27" priority="2">
      <formula>$B$20=$B$21</formula>
    </cfRule>
  </conditionalFormatting>
  <conditionalFormatting sqref="D20:D23">
    <cfRule type="cellIs" dxfId="26" priority="13" operator="notEqual">
      <formula>$C$9-1</formula>
    </cfRule>
  </conditionalFormatting>
  <conditionalFormatting sqref="F7">
    <cfRule type="expression" dxfId="25" priority="1">
      <formula>$E$7&lt;&gt;$C$7</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2DC48-1B80-4FC7-B14D-5ADA1395EC56}">
  <sheetPr codeName="Sheet11">
    <tabColor theme="4"/>
    <pageSetUpPr autoPageBreaks="0"/>
  </sheetPr>
  <dimension ref="A1:AH54"/>
  <sheetViews>
    <sheetView zoomScaleNormal="100" workbookViewId="0">
      <pane xSplit="2" ySplit="23" topLeftCell="C24" activePane="bottomRight" state="frozen"/>
      <selection activeCell="F58" sqref="F58"/>
      <selection pane="topRight" activeCell="F58" sqref="F58"/>
      <selection pane="bottomLeft" activeCell="F58" sqref="F58"/>
      <selection pane="bottomRight" activeCell="C36" sqref="C36"/>
    </sheetView>
  </sheetViews>
  <sheetFormatPr defaultColWidth="9.33203125" defaultRowHeight="15" customHeight="1" x14ac:dyDescent="0.25"/>
  <cols>
    <col min="1" max="1" width="2.6640625" style="516" customWidth="1"/>
    <col min="2" max="2" width="46.33203125" style="516" bestFit="1" customWidth="1"/>
    <col min="3" max="3" width="34.33203125" style="516" customWidth="1"/>
    <col min="4" max="4" width="17" style="516" customWidth="1"/>
    <col min="5" max="5" width="12" style="516" bestFit="1" customWidth="1"/>
    <col min="6" max="16384" width="9.33203125" style="516"/>
  </cols>
  <sheetData>
    <row r="1" spans="1:34" ht="15" customHeight="1" x14ac:dyDescent="0.25">
      <c r="A1" s="18"/>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8"/>
      <c r="AD1" s="18"/>
      <c r="AE1" s="18"/>
      <c r="AF1" s="18"/>
      <c r="AG1" s="18"/>
      <c r="AH1" s="18"/>
    </row>
    <row r="2" spans="1:34" ht="15" customHeight="1" x14ac:dyDescent="0.25">
      <c r="A2" s="18"/>
      <c r="B2" s="144" t="s">
        <v>838</v>
      </c>
      <c r="C2" s="145" t="str">
        <f>'Financials DF (Live)'!B10</f>
        <v>NTC SJ Equity</v>
      </c>
      <c r="D2" s="145"/>
      <c r="E2" s="16"/>
      <c r="F2" s="16"/>
      <c r="G2" s="16"/>
      <c r="H2" s="16"/>
      <c r="I2" s="16"/>
      <c r="J2" s="16"/>
      <c r="K2" s="16"/>
      <c r="L2" s="16"/>
      <c r="M2" s="16"/>
      <c r="N2" s="16"/>
      <c r="O2" s="16"/>
      <c r="P2" s="16"/>
      <c r="Q2" s="16"/>
      <c r="R2" s="16"/>
      <c r="S2" s="16"/>
      <c r="T2" s="16"/>
      <c r="U2" s="16"/>
      <c r="V2" s="16"/>
      <c r="W2" s="16"/>
      <c r="X2" s="16"/>
      <c r="Y2" s="16"/>
      <c r="Z2" s="16"/>
      <c r="AA2" s="16"/>
      <c r="AB2" s="16"/>
      <c r="AC2" s="18"/>
      <c r="AD2" s="18"/>
      <c r="AE2" s="18"/>
      <c r="AF2" s="18"/>
      <c r="AG2" s="18"/>
      <c r="AH2" s="18"/>
    </row>
    <row r="3" spans="1:34" ht="15" customHeight="1" x14ac:dyDescent="0.25">
      <c r="A3" s="18"/>
      <c r="B3" s="144" t="s">
        <v>839</v>
      </c>
      <c r="C3" s="410" t="str">
        <f>'Financials DF (Live)'!B9</f>
        <v>NETCARE LTD</v>
      </c>
      <c r="D3" s="410"/>
      <c r="E3" s="16"/>
      <c r="F3" s="16"/>
      <c r="G3" s="16"/>
      <c r="H3" s="16"/>
      <c r="I3" s="16"/>
      <c r="J3" s="16"/>
      <c r="K3" s="16"/>
      <c r="L3" s="16"/>
      <c r="M3" s="16"/>
      <c r="N3" s="16"/>
      <c r="O3" s="16"/>
      <c r="P3" s="16"/>
      <c r="Q3" s="16"/>
      <c r="R3" s="41"/>
      <c r="S3" s="41"/>
      <c r="T3" s="41"/>
      <c r="U3" s="16"/>
      <c r="V3" s="16"/>
      <c r="W3" s="16"/>
      <c r="X3" s="16"/>
      <c r="Y3" s="16"/>
      <c r="Z3" s="16"/>
      <c r="AA3" s="16"/>
      <c r="AB3" s="16"/>
      <c r="AC3" s="18"/>
      <c r="AD3" s="18"/>
      <c r="AE3" s="18"/>
      <c r="AF3" s="18"/>
      <c r="AG3" s="18"/>
      <c r="AH3" s="18"/>
    </row>
    <row r="4" spans="1:34" ht="15" customHeight="1" x14ac:dyDescent="0.25">
      <c r="A4" s="18"/>
      <c r="B4" s="144" t="s">
        <v>529</v>
      </c>
      <c r="C4" s="410" t="str">
        <f>'Financials DF'!B14</f>
        <v>Health Care Facilities</v>
      </c>
      <c r="D4" s="410"/>
      <c r="E4" s="16"/>
      <c r="F4" s="16"/>
      <c r="G4" s="16"/>
      <c r="H4" s="16"/>
      <c r="I4" s="16"/>
      <c r="J4" s="16"/>
      <c r="K4" s="16"/>
      <c r="L4" s="16"/>
      <c r="M4" s="16"/>
      <c r="N4" s="16"/>
      <c r="O4" s="16"/>
      <c r="P4" s="16"/>
      <c r="Q4" s="16"/>
      <c r="R4" s="41"/>
      <c r="S4" s="41"/>
      <c r="T4" s="41"/>
      <c r="U4" s="16"/>
      <c r="V4" s="16"/>
      <c r="W4" s="16"/>
      <c r="X4" s="16"/>
      <c r="Y4" s="16"/>
      <c r="Z4" s="16"/>
      <c r="AA4" s="16"/>
      <c r="AB4" s="16"/>
      <c r="AC4" s="18"/>
      <c r="AD4" s="18"/>
      <c r="AE4" s="18"/>
      <c r="AF4" s="18"/>
      <c r="AG4" s="18"/>
      <c r="AH4" s="18"/>
    </row>
    <row r="5" spans="1:34" ht="15" customHeight="1" x14ac:dyDescent="0.25">
      <c r="A5" s="18"/>
      <c r="B5" s="144" t="str">
        <f>Frontend!B21</f>
        <v>Current Price (ZAR)</v>
      </c>
      <c r="C5" s="411">
        <f>Frontend!C21</f>
        <v>14.26</v>
      </c>
      <c r="D5" s="410"/>
      <c r="E5" s="16"/>
      <c r="F5" s="16"/>
      <c r="G5" s="16"/>
      <c r="H5" s="16"/>
      <c r="I5" s="16"/>
      <c r="J5" s="16"/>
      <c r="K5" s="16"/>
      <c r="L5" s="16"/>
      <c r="M5" s="16"/>
      <c r="N5" s="16"/>
      <c r="O5" s="16"/>
      <c r="P5" s="16"/>
      <c r="Q5" s="16"/>
      <c r="R5" s="41"/>
      <c r="S5" s="41"/>
      <c r="T5" s="41"/>
      <c r="U5" s="16"/>
      <c r="V5" s="16"/>
      <c r="W5" s="16"/>
      <c r="X5" s="16"/>
      <c r="Y5" s="16"/>
      <c r="Z5" s="16"/>
      <c r="AA5" s="16"/>
      <c r="AB5" s="16"/>
      <c r="AC5" s="18"/>
      <c r="AD5" s="18"/>
      <c r="AE5" s="18"/>
      <c r="AF5" s="18"/>
      <c r="AG5" s="18"/>
      <c r="AH5" s="18"/>
    </row>
    <row r="6" spans="1:34" ht="15" customHeight="1" x14ac:dyDescent="0.25">
      <c r="A6" s="18"/>
      <c r="B6" s="16"/>
      <c r="C6" s="16"/>
      <c r="D6" s="16"/>
      <c r="E6" s="16"/>
      <c r="F6" s="16"/>
      <c r="G6" s="16"/>
      <c r="H6" s="16"/>
      <c r="I6" s="16"/>
      <c r="J6" s="16"/>
      <c r="K6" s="16"/>
      <c r="L6" s="16"/>
      <c r="M6" s="16"/>
      <c r="N6" s="16"/>
      <c r="O6" s="16"/>
      <c r="P6" s="16"/>
      <c r="Q6" s="16"/>
      <c r="R6" s="41"/>
      <c r="S6" s="41"/>
      <c r="T6" s="41"/>
      <c r="U6" s="16"/>
      <c r="V6" s="16"/>
      <c r="W6" s="16"/>
      <c r="X6" s="16"/>
      <c r="Y6" s="16"/>
      <c r="Z6" s="16"/>
      <c r="AA6" s="16"/>
      <c r="AB6" s="16"/>
      <c r="AC6" s="18"/>
      <c r="AD6" s="18"/>
      <c r="AE6" s="18"/>
      <c r="AF6" s="18"/>
      <c r="AG6" s="18"/>
      <c r="AH6" s="18"/>
    </row>
    <row r="7" spans="1:34" ht="15" customHeight="1" x14ac:dyDescent="0.25">
      <c r="A7" s="18"/>
      <c r="B7" s="144" t="s">
        <v>528</v>
      </c>
      <c r="C7" s="412" t="s">
        <v>547</v>
      </c>
      <c r="D7" s="412" t="s">
        <v>552</v>
      </c>
      <c r="E7" s="16"/>
      <c r="F7" s="16"/>
      <c r="G7" s="16"/>
      <c r="H7" s="16"/>
      <c r="I7" s="16"/>
      <c r="J7" s="16"/>
      <c r="K7" s="16"/>
      <c r="L7" s="16"/>
      <c r="M7" s="16"/>
      <c r="N7" s="16"/>
      <c r="O7" s="16"/>
      <c r="P7" s="16"/>
      <c r="Q7" s="16"/>
      <c r="R7" s="41"/>
      <c r="S7" s="41"/>
      <c r="T7" s="41"/>
      <c r="U7" s="16"/>
      <c r="V7" s="16"/>
      <c r="W7" s="16"/>
      <c r="X7" s="16"/>
      <c r="Y7" s="16"/>
      <c r="Z7" s="16"/>
      <c r="AA7" s="16"/>
      <c r="AB7" s="16"/>
      <c r="AC7" s="18"/>
      <c r="AD7" s="18"/>
      <c r="AE7" s="18"/>
      <c r="AF7" s="18"/>
      <c r="AG7" s="18"/>
      <c r="AH7" s="18"/>
    </row>
    <row r="8" spans="1:34" ht="15" customHeight="1" x14ac:dyDescent="0.25">
      <c r="A8" s="18"/>
      <c r="B8" s="413" t="s">
        <v>548</v>
      </c>
      <c r="C8" s="414">
        <f ca="1">IFERROR(VLOOKUP(B8 &amp; " Valuation",DF_Upload!$A$23:$C$361,2,0),"-")</f>
        <v>20.304329280064838</v>
      </c>
      <c r="D8" s="415">
        <f ca="1">IFERROR(C8/$C$5-1,"-")</f>
        <v>0.42386600841969413</v>
      </c>
      <c r="E8" s="16"/>
      <c r="F8" s="16"/>
      <c r="G8" s="16"/>
      <c r="H8" s="16"/>
      <c r="I8" s="16"/>
      <c r="J8" s="16"/>
      <c r="K8" s="16"/>
      <c r="L8" s="16"/>
      <c r="M8" s="16"/>
      <c r="N8" s="16"/>
      <c r="O8" s="16"/>
      <c r="P8" s="16"/>
      <c r="Q8" s="16"/>
      <c r="R8" s="16"/>
      <c r="S8" s="16"/>
      <c r="T8" s="16"/>
      <c r="U8" s="16"/>
      <c r="V8" s="16"/>
      <c r="W8" s="16"/>
      <c r="X8" s="16"/>
      <c r="Y8" s="16"/>
      <c r="Z8" s="16"/>
      <c r="AA8" s="16"/>
      <c r="AB8" s="16"/>
      <c r="AC8" s="18"/>
      <c r="AD8" s="18"/>
      <c r="AE8" s="18"/>
      <c r="AF8" s="18"/>
      <c r="AG8" s="18"/>
      <c r="AH8" s="18"/>
    </row>
    <row r="9" spans="1:34" ht="15" customHeight="1" x14ac:dyDescent="0.25">
      <c r="A9" s="18"/>
      <c r="B9" s="413" t="s">
        <v>549</v>
      </c>
      <c r="C9" s="414">
        <f ca="1">IFERROR(VLOOKUP(B9 &amp; " Valuation",DF_Upload!$A$23:$C$361,2,0),"-")</f>
        <v>8.460137200027015</v>
      </c>
      <c r="D9" s="415">
        <f t="shared" ref="D9:D15" ca="1" si="0">IFERROR(C9/$C$5-1,"-")</f>
        <v>-0.40672249649179415</v>
      </c>
      <c r="E9" s="16"/>
      <c r="F9" s="16"/>
      <c r="G9" s="16"/>
      <c r="H9" s="16"/>
      <c r="I9" s="16"/>
      <c r="J9" s="16"/>
      <c r="K9" s="16"/>
      <c r="L9" s="16"/>
      <c r="M9" s="16"/>
      <c r="N9" s="16"/>
      <c r="O9" s="16"/>
      <c r="P9" s="16"/>
      <c r="Q9" s="16"/>
      <c r="R9" s="16"/>
      <c r="S9" s="16"/>
      <c r="T9" s="16"/>
      <c r="U9" s="16"/>
      <c r="V9" s="16"/>
      <c r="W9" s="16"/>
      <c r="X9" s="16"/>
      <c r="Y9" s="16"/>
      <c r="Z9" s="16"/>
      <c r="AA9" s="16"/>
      <c r="AB9" s="16"/>
      <c r="AC9" s="18"/>
      <c r="AD9" s="18"/>
      <c r="AE9" s="18"/>
      <c r="AF9" s="18"/>
      <c r="AG9" s="18"/>
      <c r="AH9" s="18"/>
    </row>
    <row r="10" spans="1:34" ht="15" customHeight="1" x14ac:dyDescent="0.25">
      <c r="A10" s="18"/>
      <c r="B10" s="413" t="s">
        <v>503</v>
      </c>
      <c r="C10" s="414">
        <f>IFERROR(VLOOKUP(B10 &amp; " Valuation",DF_Upload!$A$23:$C$361,2,0),"-")</f>
        <v>19.450959223755966</v>
      </c>
      <c r="D10" s="415">
        <f t="shared" si="0"/>
        <v>0.36402238595764147</v>
      </c>
      <c r="E10" s="16"/>
      <c r="F10" s="16"/>
      <c r="G10" s="16"/>
      <c r="H10" s="16"/>
      <c r="I10" s="16"/>
      <c r="J10" s="16"/>
      <c r="K10" s="16"/>
      <c r="L10" s="16"/>
      <c r="M10" s="16"/>
      <c r="N10" s="16"/>
      <c r="O10" s="16"/>
      <c r="P10" s="16"/>
      <c r="Q10" s="16"/>
      <c r="R10" s="16"/>
      <c r="S10" s="16"/>
      <c r="T10" s="16"/>
      <c r="U10" s="16"/>
      <c r="V10" s="16"/>
      <c r="W10" s="16"/>
      <c r="X10" s="16"/>
      <c r="Y10" s="16"/>
      <c r="Z10" s="16"/>
      <c r="AA10" s="16"/>
      <c r="AB10" s="16"/>
      <c r="AC10" s="18"/>
      <c r="AD10" s="18"/>
      <c r="AE10" s="18"/>
      <c r="AF10" s="18"/>
      <c r="AG10" s="18"/>
      <c r="AH10" s="18"/>
    </row>
    <row r="11" spans="1:34" ht="15" customHeight="1" x14ac:dyDescent="0.25">
      <c r="A11" s="18"/>
      <c r="B11" s="413" t="s">
        <v>550</v>
      </c>
      <c r="C11" s="414">
        <f>IFERROR(VLOOKUP(B11 &amp; " Valuation",DF_Upload!$A$23:$C$361,2,0),"-")</f>
        <v>6.36</v>
      </c>
      <c r="D11" s="415">
        <f t="shared" si="0"/>
        <v>-0.5539971949509116</v>
      </c>
      <c r="E11" s="16"/>
      <c r="F11" s="16"/>
      <c r="G11" s="16"/>
      <c r="H11" s="16"/>
      <c r="I11" s="16"/>
      <c r="J11" s="16"/>
      <c r="K11" s="16"/>
      <c r="L11" s="16"/>
      <c r="M11" s="16"/>
      <c r="N11" s="16"/>
      <c r="O11" s="16"/>
      <c r="P11" s="16"/>
      <c r="Q11" s="16"/>
      <c r="R11" s="16"/>
      <c r="S11" s="16"/>
      <c r="T11" s="16"/>
      <c r="U11" s="16"/>
      <c r="V11" s="16"/>
      <c r="W11" s="16"/>
      <c r="X11" s="16"/>
      <c r="Y11" s="16"/>
      <c r="Z11" s="16"/>
      <c r="AA11" s="16"/>
      <c r="AB11" s="16"/>
      <c r="AC11" s="18"/>
      <c r="AD11" s="18"/>
      <c r="AE11" s="18"/>
      <c r="AF11" s="18"/>
      <c r="AG11" s="18"/>
      <c r="AH11" s="18"/>
    </row>
    <row r="12" spans="1:34" ht="15" customHeight="1" x14ac:dyDescent="0.25">
      <c r="A12" s="18"/>
      <c r="B12" s="413" t="s">
        <v>551</v>
      </c>
      <c r="C12" s="414">
        <f ca="1">IFERROR(VLOOKUP(B12 &amp; " Valuation",DF_Upload!$A$23:$C$361,2,0),"-")</f>
        <v>20.204677144327977</v>
      </c>
      <c r="D12" s="415">
        <f t="shared" ca="1" si="0"/>
        <v>0.41687778010715126</v>
      </c>
      <c r="E12" s="16"/>
      <c r="F12" s="16"/>
      <c r="G12" s="16"/>
      <c r="H12" s="16"/>
      <c r="I12" s="16"/>
      <c r="J12" s="16"/>
      <c r="K12" s="16"/>
      <c r="L12" s="16"/>
      <c r="M12" s="16"/>
      <c r="N12" s="16"/>
      <c r="O12" s="16"/>
      <c r="P12" s="16"/>
      <c r="Q12" s="16"/>
      <c r="R12" s="16"/>
      <c r="S12" s="16"/>
      <c r="T12" s="16"/>
      <c r="U12" s="16"/>
      <c r="V12" s="16"/>
      <c r="W12" s="16"/>
      <c r="X12" s="16"/>
      <c r="Y12" s="16"/>
      <c r="Z12" s="16"/>
      <c r="AA12" s="16"/>
      <c r="AB12" s="16"/>
      <c r="AC12" s="18"/>
      <c r="AD12" s="18"/>
      <c r="AE12" s="18"/>
      <c r="AF12" s="18"/>
      <c r="AG12" s="18"/>
      <c r="AH12" s="18"/>
    </row>
    <row r="13" spans="1:34" ht="15" customHeight="1" x14ac:dyDescent="0.25">
      <c r="A13" s="18"/>
      <c r="B13" s="413" t="s">
        <v>755</v>
      </c>
      <c r="C13" s="414">
        <f>IFERROR(VLOOKUP(B13 &amp; " Valuation",DF_Upload!$A$23:$C$361,2,0),"-")</f>
        <v>36.055567302471424</v>
      </c>
      <c r="D13" s="415">
        <f t="shared" si="0"/>
        <v>1.5284409048016427</v>
      </c>
      <c r="E13" s="416"/>
      <c r="F13" s="16"/>
      <c r="G13" s="16"/>
      <c r="H13" s="16"/>
      <c r="I13" s="16"/>
      <c r="J13" s="16"/>
      <c r="K13" s="16"/>
      <c r="L13" s="16"/>
      <c r="M13" s="16"/>
      <c r="N13" s="16"/>
      <c r="O13" s="16"/>
      <c r="P13" s="16"/>
      <c r="Q13" s="16"/>
      <c r="R13" s="16"/>
      <c r="S13" s="16"/>
      <c r="T13" s="16"/>
      <c r="U13" s="16"/>
      <c r="V13" s="16"/>
      <c r="W13" s="16"/>
      <c r="X13" s="16"/>
      <c r="Y13" s="16"/>
      <c r="Z13" s="16"/>
      <c r="AA13" s="16"/>
      <c r="AB13" s="16"/>
      <c r="AC13" s="18"/>
      <c r="AD13" s="18"/>
      <c r="AE13" s="18"/>
      <c r="AF13" s="18"/>
      <c r="AG13" s="18"/>
      <c r="AH13" s="18"/>
    </row>
    <row r="14" spans="1:34" ht="15" customHeight="1" x14ac:dyDescent="0.25">
      <c r="A14" s="18"/>
      <c r="B14" s="413" t="s">
        <v>756</v>
      </c>
      <c r="C14" s="414">
        <f>IFERROR(VLOOKUP(B14 &amp; " Valuation",DF_Upload!$A$23:$C$361,2,0),"-")</f>
        <v>37.547172467438301</v>
      </c>
      <c r="D14" s="415">
        <f t="shared" si="0"/>
        <v>1.6330415475061923</v>
      </c>
      <c r="E14" s="416"/>
      <c r="F14" s="16"/>
      <c r="G14" s="16"/>
      <c r="H14" s="16"/>
      <c r="I14" s="16"/>
      <c r="J14" s="16"/>
      <c r="K14" s="16"/>
      <c r="L14" s="16"/>
      <c r="M14" s="16"/>
      <c r="N14" s="16"/>
      <c r="O14" s="16"/>
      <c r="P14" s="16"/>
      <c r="Q14" s="16"/>
      <c r="R14" s="16"/>
      <c r="S14" s="16"/>
      <c r="T14" s="16"/>
      <c r="U14" s="16"/>
      <c r="V14" s="16"/>
      <c r="W14" s="16"/>
      <c r="X14" s="16"/>
      <c r="Y14" s="16"/>
      <c r="Z14" s="16"/>
      <c r="AA14" s="16"/>
      <c r="AB14" s="16"/>
      <c r="AC14" s="18"/>
      <c r="AD14" s="18"/>
      <c r="AE14" s="18"/>
      <c r="AF14" s="18"/>
      <c r="AG14" s="18"/>
      <c r="AH14" s="18"/>
    </row>
    <row r="15" spans="1:34" ht="15" customHeight="1" x14ac:dyDescent="0.25">
      <c r="A15" s="18"/>
      <c r="B15" s="413" t="s">
        <v>1752</v>
      </c>
      <c r="C15" s="414">
        <f>IFERROR(VLOOKUP(B15 &amp; " Valuation",DF_Upload!$A$23:$C$361,2,0),"-")</f>
        <v>86.837855319345508</v>
      </c>
      <c r="D15" s="415">
        <f t="shared" si="0"/>
        <v>5.0896111724646218</v>
      </c>
      <c r="E15" s="416"/>
      <c r="F15" s="16"/>
      <c r="G15" s="16"/>
      <c r="H15" s="16"/>
      <c r="I15" s="16"/>
      <c r="J15" s="16"/>
      <c r="K15" s="16"/>
      <c r="L15" s="16"/>
      <c r="M15" s="16"/>
      <c r="N15" s="16"/>
      <c r="O15" s="16"/>
      <c r="P15" s="16"/>
      <c r="Q15" s="16"/>
      <c r="R15" s="16"/>
      <c r="S15" s="16"/>
      <c r="T15" s="16"/>
      <c r="U15" s="16"/>
      <c r="V15" s="16"/>
      <c r="W15" s="16"/>
      <c r="X15" s="16"/>
      <c r="Y15" s="16"/>
      <c r="Z15" s="16"/>
      <c r="AA15" s="16"/>
      <c r="AB15" s="16"/>
      <c r="AC15" s="18"/>
      <c r="AD15" s="18"/>
      <c r="AE15" s="18"/>
      <c r="AF15" s="18"/>
      <c r="AG15" s="18"/>
      <c r="AH15" s="18"/>
    </row>
    <row r="16" spans="1:34" ht="15" customHeight="1" x14ac:dyDescent="0.25">
      <c r="A16" s="18"/>
      <c r="B16" s="413"/>
      <c r="C16" s="414"/>
      <c r="D16" s="415"/>
      <c r="E16" s="416"/>
      <c r="F16" s="16"/>
      <c r="G16" s="16"/>
      <c r="H16" s="16"/>
      <c r="I16" s="16"/>
      <c r="J16" s="16"/>
      <c r="K16" s="16"/>
      <c r="L16" s="16"/>
      <c r="M16" s="16"/>
      <c r="N16" s="16"/>
      <c r="O16" s="16"/>
      <c r="P16" s="16"/>
      <c r="Q16" s="16"/>
      <c r="R16" s="16"/>
      <c r="S16" s="16"/>
      <c r="T16" s="16"/>
      <c r="U16" s="16"/>
      <c r="V16" s="16"/>
      <c r="W16" s="16"/>
      <c r="X16" s="16"/>
      <c r="Y16" s="16"/>
      <c r="Z16" s="16"/>
      <c r="AA16" s="16"/>
      <c r="AB16" s="16"/>
      <c r="AC16" s="18"/>
      <c r="AD16" s="18"/>
      <c r="AE16" s="18"/>
      <c r="AF16" s="18"/>
      <c r="AG16" s="18"/>
      <c r="AH16" s="18"/>
    </row>
    <row r="17" spans="1:34" ht="15" customHeight="1" x14ac:dyDescent="0.25">
      <c r="A17" s="18"/>
      <c r="B17" s="413"/>
      <c r="C17" s="414"/>
      <c r="D17" s="415"/>
      <c r="E17" s="416"/>
      <c r="F17" s="16"/>
      <c r="G17" s="16"/>
      <c r="H17" s="16"/>
      <c r="I17" s="16"/>
      <c r="J17" s="16"/>
      <c r="K17" s="16"/>
      <c r="L17" s="16"/>
      <c r="M17" s="16"/>
      <c r="N17" s="16"/>
      <c r="O17" s="16"/>
      <c r="P17" s="16"/>
      <c r="Q17" s="16"/>
      <c r="R17" s="16"/>
      <c r="S17" s="16"/>
      <c r="T17" s="16"/>
      <c r="U17" s="16"/>
      <c r="V17" s="16"/>
      <c r="W17" s="16"/>
      <c r="X17" s="16"/>
      <c r="Y17" s="16"/>
      <c r="Z17" s="16"/>
      <c r="AA17" s="16"/>
      <c r="AB17" s="16"/>
      <c r="AC17" s="18"/>
      <c r="AD17" s="18"/>
      <c r="AE17" s="18"/>
      <c r="AF17" s="18"/>
      <c r="AG17" s="18"/>
      <c r="AH17" s="18"/>
    </row>
    <row r="18" spans="1:34" ht="15" customHeight="1" x14ac:dyDescent="0.25">
      <c r="A18" s="18"/>
      <c r="B18" s="413"/>
      <c r="C18" s="414"/>
      <c r="D18" s="415"/>
      <c r="E18" s="416"/>
      <c r="F18" s="16"/>
      <c r="G18" s="16"/>
      <c r="H18" s="16"/>
      <c r="I18" s="16"/>
      <c r="J18" s="16"/>
      <c r="K18" s="16"/>
      <c r="L18" s="16"/>
      <c r="M18" s="16"/>
      <c r="N18" s="16"/>
      <c r="O18" s="16"/>
      <c r="P18" s="16"/>
      <c r="Q18" s="16"/>
      <c r="R18" s="16"/>
      <c r="S18" s="16"/>
      <c r="T18" s="16"/>
      <c r="U18" s="16"/>
      <c r="V18" s="16"/>
      <c r="W18" s="16"/>
      <c r="X18" s="16"/>
      <c r="Y18" s="16"/>
      <c r="Z18" s="16"/>
      <c r="AA18" s="16"/>
      <c r="AB18" s="16"/>
      <c r="AC18" s="18"/>
      <c r="AD18" s="18"/>
      <c r="AE18" s="18"/>
      <c r="AF18" s="18"/>
      <c r="AG18" s="18"/>
      <c r="AH18" s="18"/>
    </row>
    <row r="19" spans="1:34" ht="15" customHeight="1" x14ac:dyDescent="0.25">
      <c r="A19" s="18"/>
      <c r="B19" s="16"/>
      <c r="C19" s="16"/>
      <c r="D19" s="22"/>
      <c r="E19" s="416"/>
      <c r="F19" s="16"/>
      <c r="G19" s="16"/>
      <c r="H19" s="16"/>
      <c r="I19" s="16"/>
      <c r="J19" s="16"/>
      <c r="K19" s="16"/>
      <c r="L19" s="16"/>
      <c r="M19" s="16"/>
      <c r="N19" s="16"/>
      <c r="O19" s="16"/>
      <c r="P19" s="16"/>
      <c r="Q19" s="16"/>
      <c r="R19" s="16"/>
      <c r="S19" s="16"/>
      <c r="T19" s="16"/>
      <c r="U19" s="16"/>
      <c r="V19" s="16"/>
      <c r="W19" s="16"/>
      <c r="X19" s="16"/>
      <c r="Y19" s="16"/>
      <c r="Z19" s="16"/>
      <c r="AA19" s="16"/>
      <c r="AB19" s="16"/>
      <c r="AC19" s="18"/>
      <c r="AD19" s="18"/>
      <c r="AE19" s="18"/>
      <c r="AF19" s="18"/>
      <c r="AG19" s="18"/>
      <c r="AH19" s="18"/>
    </row>
    <row r="20" spans="1:34" ht="15" customHeight="1" x14ac:dyDescent="0.25">
      <c r="A20" s="18"/>
      <c r="B20" s="16"/>
      <c r="C20" s="16"/>
      <c r="D20" s="16"/>
      <c r="E20" s="22"/>
      <c r="F20" s="16"/>
      <c r="G20" s="16"/>
      <c r="H20" s="16"/>
      <c r="I20" s="416"/>
      <c r="J20" s="16"/>
      <c r="K20" s="16"/>
      <c r="L20" s="16"/>
      <c r="M20" s="16"/>
      <c r="N20" s="16"/>
      <c r="O20" s="16"/>
      <c r="P20" s="16"/>
      <c r="Q20" s="16"/>
      <c r="R20" s="16"/>
      <c r="S20" s="16"/>
      <c r="T20" s="16"/>
      <c r="U20" s="16"/>
      <c r="V20" s="16"/>
      <c r="W20" s="16"/>
      <c r="X20" s="16"/>
      <c r="Y20" s="16"/>
      <c r="Z20" s="16"/>
      <c r="AA20" s="16"/>
      <c r="AB20" s="16"/>
      <c r="AC20" s="18"/>
      <c r="AD20" s="18"/>
      <c r="AE20" s="18"/>
      <c r="AF20" s="18"/>
      <c r="AG20" s="18"/>
      <c r="AH20" s="18"/>
    </row>
    <row r="21" spans="1:34" ht="15" customHeight="1" x14ac:dyDescent="0.25">
      <c r="A21" s="18"/>
      <c r="B21" s="144" t="s">
        <v>418</v>
      </c>
      <c r="C21" s="144"/>
      <c r="D21" s="412" t="s">
        <v>547</v>
      </c>
      <c r="E21" s="412" t="s">
        <v>552</v>
      </c>
      <c r="F21" s="412"/>
      <c r="G21" s="412"/>
      <c r="H21" s="412"/>
      <c r="I21" s="412"/>
      <c r="J21" s="412"/>
      <c r="K21" s="412"/>
      <c r="L21" s="412"/>
      <c r="M21" s="412"/>
      <c r="N21" s="412"/>
      <c r="O21" s="412"/>
      <c r="P21" s="412"/>
      <c r="Q21" s="412"/>
      <c r="R21" s="412"/>
      <c r="S21" s="412"/>
      <c r="T21" s="412"/>
      <c r="U21" s="412"/>
      <c r="V21" s="412"/>
      <c r="W21" s="412"/>
      <c r="X21" s="412"/>
      <c r="Y21" s="16"/>
      <c r="Z21" s="16"/>
      <c r="AA21" s="16"/>
      <c r="AB21" s="16"/>
      <c r="AC21" s="18"/>
      <c r="AD21" s="18"/>
      <c r="AE21" s="18"/>
      <c r="AF21" s="18"/>
      <c r="AG21" s="18"/>
      <c r="AH21" s="18"/>
    </row>
    <row r="22" spans="1:34" ht="15" customHeight="1" x14ac:dyDescent="0.25">
      <c r="A22" s="18"/>
      <c r="B22" s="410" t="s">
        <v>752</v>
      </c>
      <c r="C22" s="515" t="s">
        <v>551</v>
      </c>
      <c r="D22" s="417">
        <f ca="1">VLOOKUP($C$22,$B$7:$D$19,2,0)</f>
        <v>20.204677144327977</v>
      </c>
      <c r="E22" s="418">
        <f ca="1">D22/$C$5-1</f>
        <v>0.41687778010715126</v>
      </c>
      <c r="F22" s="418"/>
      <c r="G22" s="418"/>
      <c r="H22" s="418"/>
      <c r="I22" s="418"/>
      <c r="J22" s="418"/>
      <c r="K22" s="418"/>
      <c r="L22" s="418"/>
      <c r="M22" s="418"/>
      <c r="N22" s="418"/>
      <c r="O22" s="418"/>
      <c r="P22" s="418"/>
      <c r="Q22" s="418"/>
      <c r="R22" s="418"/>
      <c r="S22" s="418"/>
      <c r="T22" s="418"/>
      <c r="U22" s="418"/>
      <c r="V22" s="418"/>
      <c r="W22" s="418"/>
      <c r="X22" s="418"/>
      <c r="Y22" s="16"/>
      <c r="Z22" s="16"/>
      <c r="AA22" s="16"/>
      <c r="AB22" s="16"/>
      <c r="AC22" s="18"/>
      <c r="AD22" s="18"/>
      <c r="AE22" s="18"/>
      <c r="AF22" s="18"/>
      <c r="AG22" s="18"/>
      <c r="AH22" s="18"/>
    </row>
    <row r="23" spans="1:34" ht="15" customHeight="1" x14ac:dyDescent="0.25">
      <c r="A23" s="18"/>
      <c r="B23" s="410" t="s">
        <v>530</v>
      </c>
      <c r="C23" s="769" t="s">
        <v>1912</v>
      </c>
      <c r="D23" s="769"/>
      <c r="E23" s="769"/>
      <c r="F23" s="769"/>
      <c r="G23" s="769"/>
      <c r="H23" s="769"/>
      <c r="I23" s="769"/>
      <c r="J23" s="769"/>
      <c r="K23" s="769"/>
      <c r="L23" s="769"/>
      <c r="M23" s="769"/>
      <c r="N23" s="769"/>
      <c r="O23" s="769"/>
      <c r="P23" s="769"/>
      <c r="Q23" s="769"/>
      <c r="R23" s="769"/>
      <c r="S23" s="769"/>
      <c r="T23" s="769"/>
      <c r="U23" s="769"/>
      <c r="V23" s="769"/>
      <c r="W23" s="769"/>
      <c r="X23" s="769"/>
      <c r="Y23" s="16"/>
      <c r="Z23" s="16"/>
      <c r="AA23" s="16"/>
      <c r="AB23" s="16"/>
      <c r="AC23" s="18"/>
      <c r="AD23" s="18"/>
      <c r="AE23" s="18"/>
      <c r="AF23" s="18"/>
      <c r="AG23" s="18"/>
      <c r="AH23" s="18"/>
    </row>
    <row r="24" spans="1:34" ht="15" customHeight="1" x14ac:dyDescent="0.25">
      <c r="A24" s="18"/>
      <c r="B24" s="148"/>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8"/>
      <c r="AD24" s="18"/>
      <c r="AE24" s="18"/>
      <c r="AF24" s="18"/>
      <c r="AG24" s="18"/>
      <c r="AH24" s="18"/>
    </row>
    <row r="25" spans="1:34" ht="15" customHeight="1" x14ac:dyDescent="0.25">
      <c r="A25" s="18"/>
      <c r="B25" s="148"/>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8"/>
      <c r="AD25" s="18"/>
      <c r="AE25" s="18"/>
      <c r="AF25" s="18"/>
      <c r="AG25" s="18"/>
      <c r="AH25" s="18"/>
    </row>
    <row r="26" spans="1:34" ht="15" customHeight="1" x14ac:dyDescent="0.25">
      <c r="A26" s="18"/>
      <c r="B26" s="144" t="s">
        <v>419</v>
      </c>
      <c r="C26" s="144"/>
      <c r="D26" s="144"/>
      <c r="E26" s="144"/>
      <c r="F26" s="144"/>
      <c r="G26" s="144"/>
      <c r="H26" s="144"/>
      <c r="I26" s="144"/>
      <c r="J26" s="144"/>
      <c r="K26" s="144"/>
      <c r="L26" s="144"/>
      <c r="M26" s="144"/>
      <c r="N26" s="144"/>
      <c r="O26" s="144"/>
      <c r="P26" s="144"/>
      <c r="Q26" s="144"/>
      <c r="R26" s="144"/>
      <c r="S26" s="144"/>
      <c r="T26" s="144"/>
      <c r="U26" s="144"/>
      <c r="V26" s="144"/>
      <c r="W26" s="144"/>
      <c r="X26" s="144"/>
      <c r="Y26" s="16"/>
      <c r="Z26" s="16"/>
      <c r="AA26" s="16"/>
      <c r="AB26" s="16"/>
      <c r="AC26" s="18"/>
      <c r="AD26" s="18"/>
      <c r="AE26" s="18"/>
      <c r="AF26" s="18"/>
      <c r="AG26" s="18"/>
      <c r="AH26" s="18"/>
    </row>
    <row r="27" spans="1:34" ht="15" customHeight="1" x14ac:dyDescent="0.25">
      <c r="A27" s="18"/>
      <c r="B27" s="410">
        <v>1</v>
      </c>
      <c r="C27" s="769" t="s">
        <v>1923</v>
      </c>
      <c r="D27" s="769"/>
      <c r="E27" s="769"/>
      <c r="F27" s="769"/>
      <c r="G27" s="769"/>
      <c r="H27" s="769"/>
      <c r="I27" s="769"/>
      <c r="J27" s="769"/>
      <c r="K27" s="769"/>
      <c r="L27" s="769"/>
      <c r="M27" s="769"/>
      <c r="N27" s="769"/>
      <c r="O27" s="769"/>
      <c r="P27" s="769"/>
      <c r="Q27" s="769"/>
      <c r="R27" s="769"/>
      <c r="S27" s="769"/>
      <c r="T27" s="769"/>
      <c r="U27" s="769"/>
      <c r="V27" s="769"/>
      <c r="W27" s="769"/>
      <c r="X27" s="769"/>
      <c r="Y27" s="16"/>
      <c r="Z27" s="16"/>
      <c r="AA27" s="16"/>
      <c r="AB27" s="16"/>
      <c r="AC27" s="18"/>
      <c r="AD27" s="18"/>
      <c r="AE27" s="18"/>
      <c r="AF27" s="18"/>
      <c r="AG27" s="18"/>
      <c r="AH27" s="18"/>
    </row>
    <row r="28" spans="1:34" ht="15" customHeight="1" x14ac:dyDescent="0.25">
      <c r="A28" s="18"/>
      <c r="B28" s="410">
        <v>2</v>
      </c>
      <c r="C28" s="769" t="s">
        <v>1913</v>
      </c>
      <c r="D28" s="769"/>
      <c r="E28" s="769"/>
      <c r="F28" s="769"/>
      <c r="G28" s="769"/>
      <c r="H28" s="769"/>
      <c r="I28" s="769"/>
      <c r="J28" s="769"/>
      <c r="K28" s="769"/>
      <c r="L28" s="769"/>
      <c r="M28" s="769"/>
      <c r="N28" s="769"/>
      <c r="O28" s="769"/>
      <c r="P28" s="769"/>
      <c r="Q28" s="769"/>
      <c r="R28" s="769"/>
      <c r="S28" s="769"/>
      <c r="T28" s="769"/>
      <c r="U28" s="769"/>
      <c r="V28" s="769"/>
      <c r="W28" s="769"/>
      <c r="X28" s="769"/>
      <c r="Y28" s="16"/>
      <c r="Z28" s="16"/>
      <c r="AA28" s="16"/>
      <c r="AB28" s="16"/>
      <c r="AC28" s="18"/>
      <c r="AD28" s="18"/>
      <c r="AE28" s="18"/>
      <c r="AF28" s="18"/>
      <c r="AG28" s="18"/>
      <c r="AH28" s="18"/>
    </row>
    <row r="29" spans="1:34" ht="15" customHeight="1" x14ac:dyDescent="0.25">
      <c r="A29" s="18"/>
      <c r="B29" s="410">
        <v>3</v>
      </c>
      <c r="C29" s="769" t="s">
        <v>1914</v>
      </c>
      <c r="D29" s="769"/>
      <c r="E29" s="769"/>
      <c r="F29" s="769"/>
      <c r="G29" s="769"/>
      <c r="H29" s="769"/>
      <c r="I29" s="769"/>
      <c r="J29" s="769"/>
      <c r="K29" s="769"/>
      <c r="L29" s="769"/>
      <c r="M29" s="769"/>
      <c r="N29" s="769"/>
      <c r="O29" s="769"/>
      <c r="P29" s="769"/>
      <c r="Q29" s="769"/>
      <c r="R29" s="769"/>
      <c r="S29" s="769"/>
      <c r="T29" s="769"/>
      <c r="U29" s="769"/>
      <c r="V29" s="769"/>
      <c r="W29" s="769"/>
      <c r="X29" s="769"/>
      <c r="Y29" s="16"/>
      <c r="Z29" s="16"/>
      <c r="AA29" s="16"/>
      <c r="AB29" s="16"/>
      <c r="AC29" s="18"/>
      <c r="AD29" s="18"/>
      <c r="AE29" s="18"/>
      <c r="AF29" s="18"/>
      <c r="AG29" s="18"/>
      <c r="AH29" s="18"/>
    </row>
    <row r="30" spans="1:34" ht="15" customHeight="1" x14ac:dyDescent="0.25">
      <c r="A30" s="18"/>
      <c r="B30" s="148"/>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8"/>
      <c r="AD30" s="18"/>
      <c r="AE30" s="18"/>
      <c r="AF30" s="18"/>
      <c r="AG30" s="18"/>
      <c r="AH30" s="18"/>
    </row>
    <row r="31" spans="1:34" ht="15" customHeight="1" x14ac:dyDescent="0.25">
      <c r="A31" s="18"/>
      <c r="B31" s="148"/>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8"/>
      <c r="AD31" s="18"/>
      <c r="AE31" s="18"/>
      <c r="AF31" s="18"/>
      <c r="AG31" s="18"/>
      <c r="AH31" s="18"/>
    </row>
    <row r="32" spans="1:34" ht="15" customHeight="1" x14ac:dyDescent="0.25">
      <c r="A32" s="18"/>
      <c r="B32" s="144" t="s">
        <v>420</v>
      </c>
      <c r="C32" s="144"/>
      <c r="D32" s="144"/>
      <c r="E32" s="144"/>
      <c r="F32" s="144"/>
      <c r="G32" s="144"/>
      <c r="H32" s="144"/>
      <c r="I32" s="144"/>
      <c r="J32" s="144"/>
      <c r="K32" s="144"/>
      <c r="L32" s="144"/>
      <c r="M32" s="144"/>
      <c r="N32" s="144"/>
      <c r="O32" s="144"/>
      <c r="P32" s="144"/>
      <c r="Q32" s="144"/>
      <c r="R32" s="144"/>
      <c r="S32" s="144"/>
      <c r="T32" s="144"/>
      <c r="U32" s="144"/>
      <c r="V32" s="144"/>
      <c r="W32" s="144"/>
      <c r="X32" s="144"/>
      <c r="Y32" s="16"/>
      <c r="Z32" s="16"/>
      <c r="AA32" s="16"/>
      <c r="AB32" s="16"/>
      <c r="AC32" s="18"/>
      <c r="AD32" s="18"/>
      <c r="AE32" s="18"/>
      <c r="AF32" s="18"/>
      <c r="AG32" s="18"/>
      <c r="AH32" s="18"/>
    </row>
    <row r="33" spans="1:34" ht="15" customHeight="1" x14ac:dyDescent="0.25">
      <c r="A33" s="18"/>
      <c r="B33" s="410">
        <v>1</v>
      </c>
      <c r="C33" s="769" t="s">
        <v>1931</v>
      </c>
      <c r="D33" s="769"/>
      <c r="E33" s="769"/>
      <c r="F33" s="769"/>
      <c r="G33" s="769"/>
      <c r="H33" s="769"/>
      <c r="I33" s="769"/>
      <c r="J33" s="769"/>
      <c r="K33" s="769"/>
      <c r="L33" s="769"/>
      <c r="M33" s="769"/>
      <c r="N33" s="769"/>
      <c r="O33" s="769"/>
      <c r="P33" s="769"/>
      <c r="Q33" s="769"/>
      <c r="R33" s="769"/>
      <c r="S33" s="769"/>
      <c r="T33" s="769"/>
      <c r="U33" s="769"/>
      <c r="V33" s="769"/>
      <c r="W33" s="769"/>
      <c r="X33" s="769"/>
      <c r="Y33" s="16"/>
      <c r="Z33" s="16"/>
      <c r="AA33" s="16"/>
      <c r="AB33" s="16"/>
      <c r="AC33" s="18"/>
      <c r="AD33" s="18"/>
      <c r="AE33" s="18"/>
      <c r="AF33" s="18"/>
      <c r="AG33" s="18"/>
      <c r="AH33" s="18"/>
    </row>
    <row r="34" spans="1:34" ht="15" customHeight="1" x14ac:dyDescent="0.25">
      <c r="A34" s="18"/>
      <c r="B34" s="410">
        <v>2</v>
      </c>
      <c r="C34" s="769" t="s">
        <v>1915</v>
      </c>
      <c r="D34" s="769"/>
      <c r="E34" s="769"/>
      <c r="F34" s="769"/>
      <c r="G34" s="769"/>
      <c r="H34" s="769"/>
      <c r="I34" s="769"/>
      <c r="J34" s="769"/>
      <c r="K34" s="769"/>
      <c r="L34" s="769"/>
      <c r="M34" s="769"/>
      <c r="N34" s="769"/>
      <c r="O34" s="769"/>
      <c r="P34" s="769"/>
      <c r="Q34" s="769"/>
      <c r="R34" s="769"/>
      <c r="S34" s="769"/>
      <c r="T34" s="769"/>
      <c r="U34" s="769"/>
      <c r="V34" s="769"/>
      <c r="W34" s="769"/>
      <c r="X34" s="769"/>
      <c r="Y34" s="16"/>
      <c r="Z34" s="16"/>
      <c r="AA34" s="16"/>
      <c r="AB34" s="16"/>
      <c r="AC34" s="18"/>
      <c r="AD34" s="18"/>
      <c r="AE34" s="18"/>
      <c r="AF34" s="18"/>
      <c r="AG34" s="18"/>
      <c r="AH34" s="18"/>
    </row>
    <row r="35" spans="1:34" ht="15" customHeight="1" x14ac:dyDescent="0.25">
      <c r="A35" s="18"/>
      <c r="B35" s="410">
        <v>3</v>
      </c>
      <c r="C35" s="769" t="s">
        <v>1932</v>
      </c>
      <c r="D35" s="769"/>
      <c r="E35" s="769"/>
      <c r="F35" s="769"/>
      <c r="G35" s="769"/>
      <c r="H35" s="769"/>
      <c r="I35" s="769"/>
      <c r="J35" s="769"/>
      <c r="K35" s="769"/>
      <c r="L35" s="769"/>
      <c r="M35" s="769"/>
      <c r="N35" s="769"/>
      <c r="O35" s="769"/>
      <c r="P35" s="769"/>
      <c r="Q35" s="769"/>
      <c r="R35" s="769"/>
      <c r="S35" s="769"/>
      <c r="T35" s="769"/>
      <c r="U35" s="769"/>
      <c r="V35" s="769"/>
      <c r="W35" s="769"/>
      <c r="X35" s="769"/>
      <c r="Y35" s="16"/>
      <c r="Z35" s="16"/>
      <c r="AA35" s="16"/>
      <c r="AB35" s="16"/>
      <c r="AC35" s="18"/>
      <c r="AD35" s="18"/>
      <c r="AE35" s="18"/>
      <c r="AF35" s="18"/>
      <c r="AG35" s="18"/>
      <c r="AH35" s="18"/>
    </row>
    <row r="36" spans="1:34" ht="15" customHeight="1" x14ac:dyDescent="0.25">
      <c r="A36" s="18"/>
      <c r="B36" s="148"/>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8"/>
      <c r="AD36" s="18"/>
      <c r="AE36" s="18"/>
      <c r="AF36" s="18"/>
      <c r="AG36" s="18"/>
      <c r="AH36" s="18"/>
    </row>
    <row r="37" spans="1:34" ht="15" customHeight="1" x14ac:dyDescent="0.25">
      <c r="A37" s="18"/>
      <c r="B37" s="148"/>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8"/>
      <c r="AD37" s="18"/>
      <c r="AE37" s="18"/>
      <c r="AF37" s="18"/>
      <c r="AG37" s="18"/>
      <c r="AH37" s="18"/>
    </row>
    <row r="38" spans="1:34" ht="15" customHeight="1" x14ac:dyDescent="0.25">
      <c r="A38" s="18"/>
      <c r="B38" s="144" t="s">
        <v>760</v>
      </c>
      <c r="C38" s="144"/>
      <c r="D38" s="144"/>
      <c r="E38" s="144"/>
      <c r="F38" s="144"/>
      <c r="G38" s="144"/>
      <c r="H38" s="144"/>
      <c r="I38" s="144"/>
      <c r="J38" s="144"/>
      <c r="K38" s="144"/>
      <c r="L38" s="144"/>
      <c r="M38" s="144"/>
      <c r="N38" s="144"/>
      <c r="O38" s="144"/>
      <c r="P38" s="144"/>
      <c r="Q38" s="144"/>
      <c r="R38" s="144"/>
      <c r="S38" s="144"/>
      <c r="T38" s="144"/>
      <c r="U38" s="144"/>
      <c r="V38" s="144"/>
      <c r="W38" s="144"/>
      <c r="X38" s="144"/>
      <c r="Y38" s="16"/>
      <c r="Z38" s="16"/>
      <c r="AA38" s="16"/>
      <c r="AB38" s="16"/>
      <c r="AC38" s="18"/>
      <c r="AD38" s="18"/>
      <c r="AE38" s="18"/>
      <c r="AF38" s="18"/>
      <c r="AG38" s="18"/>
      <c r="AH38" s="18"/>
    </row>
    <row r="39" spans="1:34" ht="15" customHeight="1" x14ac:dyDescent="0.25">
      <c r="A39" s="18"/>
      <c r="B39" s="410" t="s">
        <v>764</v>
      </c>
      <c r="C39" s="769" t="s">
        <v>1916</v>
      </c>
      <c r="D39" s="769"/>
      <c r="E39" s="769"/>
      <c r="F39" s="769"/>
      <c r="G39" s="769"/>
      <c r="H39" s="769"/>
      <c r="I39" s="769"/>
      <c r="J39" s="769"/>
      <c r="K39" s="769"/>
      <c r="L39" s="769"/>
      <c r="M39" s="769"/>
      <c r="N39" s="769"/>
      <c r="O39" s="769"/>
      <c r="P39" s="769"/>
      <c r="Q39" s="769"/>
      <c r="R39" s="769"/>
      <c r="S39" s="769"/>
      <c r="T39" s="769"/>
      <c r="U39" s="769"/>
      <c r="V39" s="769"/>
      <c r="W39" s="769"/>
      <c r="X39" s="769"/>
      <c r="Y39" s="16"/>
      <c r="Z39" s="16"/>
      <c r="AA39" s="16"/>
      <c r="AB39" s="16"/>
      <c r="AC39" s="18"/>
      <c r="AD39" s="18"/>
      <c r="AE39" s="18"/>
      <c r="AF39" s="18"/>
      <c r="AG39" s="18"/>
      <c r="AH39" s="18"/>
    </row>
    <row r="40" spans="1:34" ht="15" customHeight="1" x14ac:dyDescent="0.25">
      <c r="A40" s="18"/>
      <c r="B40" s="410" t="s">
        <v>761</v>
      </c>
      <c r="C40" s="769" t="s">
        <v>1916</v>
      </c>
      <c r="D40" s="769"/>
      <c r="E40" s="769"/>
      <c r="F40" s="769"/>
      <c r="G40" s="769"/>
      <c r="H40" s="769"/>
      <c r="I40" s="769"/>
      <c r="J40" s="769"/>
      <c r="K40" s="769"/>
      <c r="L40" s="769"/>
      <c r="M40" s="769"/>
      <c r="N40" s="769"/>
      <c r="O40" s="769"/>
      <c r="P40" s="769"/>
      <c r="Q40" s="769"/>
      <c r="R40" s="769"/>
      <c r="S40" s="769"/>
      <c r="T40" s="769"/>
      <c r="U40" s="769"/>
      <c r="V40" s="769"/>
      <c r="W40" s="769"/>
      <c r="X40" s="769"/>
      <c r="Y40" s="16"/>
      <c r="Z40" s="16"/>
      <c r="AA40" s="16"/>
      <c r="AB40" s="16"/>
      <c r="AC40" s="18"/>
      <c r="AD40" s="18"/>
      <c r="AE40" s="18"/>
      <c r="AF40" s="18"/>
      <c r="AG40" s="18"/>
      <c r="AH40" s="18"/>
    </row>
    <row r="41" spans="1:34" ht="15" customHeight="1" x14ac:dyDescent="0.25">
      <c r="A41" s="18"/>
      <c r="B41" s="410" t="s">
        <v>762</v>
      </c>
      <c r="C41" s="769" t="s">
        <v>1917</v>
      </c>
      <c r="D41" s="769"/>
      <c r="E41" s="769"/>
      <c r="F41" s="769"/>
      <c r="G41" s="769"/>
      <c r="H41" s="769"/>
      <c r="I41" s="769"/>
      <c r="J41" s="769"/>
      <c r="K41" s="769"/>
      <c r="L41" s="769"/>
      <c r="M41" s="769"/>
      <c r="N41" s="769"/>
      <c r="O41" s="769"/>
      <c r="P41" s="769"/>
      <c r="Q41" s="769"/>
      <c r="R41" s="769"/>
      <c r="S41" s="769"/>
      <c r="T41" s="769"/>
      <c r="U41" s="769"/>
      <c r="V41" s="769"/>
      <c r="W41" s="769"/>
      <c r="X41" s="769"/>
      <c r="Y41" s="16"/>
      <c r="Z41" s="16"/>
      <c r="AA41" s="16"/>
      <c r="AB41" s="16"/>
      <c r="AC41" s="18"/>
      <c r="AD41" s="18"/>
      <c r="AE41" s="18"/>
      <c r="AF41" s="18"/>
      <c r="AG41" s="18"/>
      <c r="AH41" s="18"/>
    </row>
    <row r="42" spans="1:34" ht="15" customHeight="1" x14ac:dyDescent="0.25">
      <c r="A42" s="18"/>
      <c r="B42" s="410" t="s">
        <v>763</v>
      </c>
      <c r="C42" s="769" t="s">
        <v>1918</v>
      </c>
      <c r="D42" s="769"/>
      <c r="E42" s="769"/>
      <c r="F42" s="769"/>
      <c r="G42" s="769"/>
      <c r="H42" s="769"/>
      <c r="I42" s="769"/>
      <c r="J42" s="769"/>
      <c r="K42" s="769"/>
      <c r="L42" s="769"/>
      <c r="M42" s="769"/>
      <c r="N42" s="769"/>
      <c r="O42" s="769"/>
      <c r="P42" s="769"/>
      <c r="Q42" s="769"/>
      <c r="R42" s="769"/>
      <c r="S42" s="769"/>
      <c r="T42" s="769"/>
      <c r="U42" s="769"/>
      <c r="V42" s="769"/>
      <c r="W42" s="769"/>
      <c r="X42" s="769"/>
      <c r="Y42" s="16"/>
      <c r="Z42" s="16"/>
      <c r="AA42" s="16"/>
      <c r="AB42" s="16"/>
      <c r="AC42" s="18"/>
      <c r="AD42" s="18"/>
      <c r="AE42" s="18"/>
      <c r="AF42" s="18"/>
      <c r="AG42" s="18"/>
      <c r="AH42" s="18"/>
    </row>
    <row r="43" spans="1:34" ht="15" customHeight="1" x14ac:dyDescent="0.25">
      <c r="A43" s="18"/>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8"/>
      <c r="AD43" s="18"/>
      <c r="AE43" s="18"/>
      <c r="AF43" s="18"/>
      <c r="AG43" s="18"/>
      <c r="AH43" s="18"/>
    </row>
    <row r="44" spans="1:34" ht="15" customHeight="1" x14ac:dyDescent="0.25">
      <c r="A44" s="18"/>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8"/>
      <c r="AD44" s="18"/>
      <c r="AE44" s="18"/>
      <c r="AF44" s="18"/>
      <c r="AG44" s="18"/>
      <c r="AH44" s="18"/>
    </row>
    <row r="45" spans="1:34" ht="15" customHeight="1" x14ac:dyDescent="0.25">
      <c r="A45" s="18"/>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8"/>
      <c r="AD45" s="18"/>
      <c r="AE45" s="18"/>
      <c r="AF45" s="18"/>
      <c r="AG45" s="18"/>
      <c r="AH45" s="18"/>
    </row>
    <row r="46" spans="1:34" ht="15" customHeight="1" x14ac:dyDescent="0.25">
      <c r="A46" s="18"/>
      <c r="B46" s="16"/>
      <c r="C46" s="16"/>
      <c r="D46" s="16"/>
      <c r="E46" s="16"/>
      <c r="F46" s="16"/>
      <c r="G46" s="16"/>
      <c r="H46" s="16"/>
      <c r="I46" s="16"/>
      <c r="J46" s="16"/>
      <c r="K46" s="16"/>
      <c r="L46" s="16"/>
      <c r="M46" s="16"/>
      <c r="N46" s="16"/>
      <c r="O46" s="16"/>
      <c r="P46" s="16"/>
      <c r="Q46" s="16"/>
      <c r="R46" s="16"/>
      <c r="S46" s="16"/>
      <c r="T46" s="16"/>
      <c r="U46" s="16"/>
      <c r="V46" s="16"/>
      <c r="W46" s="16"/>
      <c r="X46" s="16"/>
      <c r="Y46" s="18"/>
      <c r="Z46" s="18"/>
      <c r="AA46" s="18"/>
      <c r="AB46" s="18"/>
      <c r="AC46" s="18"/>
      <c r="AD46" s="18"/>
      <c r="AE46" s="18"/>
      <c r="AF46" s="18"/>
      <c r="AG46" s="18"/>
      <c r="AH46" s="18"/>
    </row>
    <row r="47" spans="1:34" ht="15" customHeight="1" x14ac:dyDescent="0.25">
      <c r="A47" s="18"/>
      <c r="B47" s="16"/>
      <c r="C47" s="16"/>
      <c r="D47" s="16"/>
      <c r="E47" s="16"/>
      <c r="F47" s="16"/>
      <c r="G47" s="16"/>
      <c r="H47" s="16"/>
      <c r="I47" s="16"/>
      <c r="J47" s="16"/>
      <c r="K47" s="16"/>
      <c r="L47" s="16"/>
      <c r="M47" s="16"/>
      <c r="N47" s="16"/>
      <c r="O47" s="16"/>
      <c r="P47" s="16"/>
      <c r="Q47" s="16"/>
      <c r="R47" s="16"/>
      <c r="S47" s="16"/>
      <c r="T47" s="16"/>
      <c r="U47" s="16"/>
      <c r="V47" s="16"/>
      <c r="W47" s="16"/>
      <c r="X47" s="16"/>
      <c r="Y47" s="18"/>
      <c r="Z47" s="18"/>
      <c r="AA47" s="18"/>
      <c r="AB47" s="18"/>
      <c r="AC47" s="18"/>
      <c r="AD47" s="18"/>
      <c r="AE47" s="18"/>
      <c r="AF47" s="18"/>
      <c r="AG47" s="18"/>
      <c r="AH47" s="18"/>
    </row>
    <row r="48" spans="1:34" ht="15" customHeight="1" x14ac:dyDescent="0.25">
      <c r="A48" s="18"/>
      <c r="B48" s="16"/>
      <c r="C48" s="16"/>
      <c r="D48" s="16"/>
      <c r="E48" s="16"/>
      <c r="F48" s="16"/>
      <c r="G48" s="16"/>
      <c r="H48" s="16"/>
      <c r="I48" s="16"/>
      <c r="J48" s="16"/>
      <c r="K48" s="16"/>
      <c r="L48" s="16"/>
      <c r="M48" s="16"/>
      <c r="N48" s="16"/>
      <c r="O48" s="16"/>
      <c r="P48" s="16"/>
      <c r="Q48" s="16"/>
      <c r="R48" s="16"/>
      <c r="S48" s="16"/>
      <c r="T48" s="16"/>
      <c r="U48" s="16"/>
      <c r="V48" s="16"/>
      <c r="W48" s="16"/>
      <c r="X48" s="16"/>
      <c r="Y48" s="18"/>
      <c r="Z48" s="18"/>
      <c r="AA48" s="18"/>
      <c r="AB48" s="18"/>
      <c r="AC48" s="18"/>
      <c r="AD48" s="18"/>
      <c r="AE48" s="18"/>
      <c r="AF48" s="18"/>
      <c r="AG48" s="18"/>
      <c r="AH48" s="18"/>
    </row>
    <row r="49" spans="1:34" ht="15" customHeight="1" x14ac:dyDescent="0.25">
      <c r="A49" s="18"/>
      <c r="B49" s="16"/>
      <c r="C49" s="16"/>
      <c r="D49" s="16"/>
      <c r="E49" s="16"/>
      <c r="F49" s="16"/>
      <c r="G49" s="16"/>
      <c r="H49" s="16"/>
      <c r="I49" s="16"/>
      <c r="J49" s="16"/>
      <c r="K49" s="16"/>
      <c r="L49" s="16"/>
      <c r="M49" s="16"/>
      <c r="N49" s="16"/>
      <c r="O49" s="16"/>
      <c r="P49" s="16"/>
      <c r="Q49" s="16"/>
      <c r="R49" s="16"/>
      <c r="S49" s="16"/>
      <c r="T49" s="16"/>
      <c r="U49" s="16"/>
      <c r="V49" s="16"/>
      <c r="W49" s="16"/>
      <c r="X49" s="16"/>
      <c r="Y49" s="18"/>
      <c r="Z49" s="18"/>
      <c r="AA49" s="18"/>
      <c r="AB49" s="18"/>
      <c r="AC49" s="18"/>
      <c r="AD49" s="18"/>
      <c r="AE49" s="18"/>
      <c r="AF49" s="18"/>
      <c r="AG49" s="18"/>
      <c r="AH49" s="18"/>
    </row>
    <row r="50" spans="1:34" ht="15" customHeight="1" x14ac:dyDescent="0.25">
      <c r="A50" s="18"/>
      <c r="B50" s="16"/>
      <c r="C50" s="16"/>
      <c r="D50" s="16"/>
      <c r="E50" s="16"/>
      <c r="F50" s="16"/>
      <c r="G50" s="16"/>
      <c r="H50" s="16"/>
      <c r="I50" s="16"/>
      <c r="J50" s="16"/>
      <c r="K50" s="16"/>
      <c r="L50" s="16"/>
      <c r="M50" s="16"/>
      <c r="N50" s="16"/>
      <c r="O50" s="16"/>
      <c r="P50" s="16"/>
      <c r="Q50" s="16"/>
      <c r="R50" s="16"/>
      <c r="S50" s="16"/>
      <c r="T50" s="16"/>
      <c r="U50" s="16"/>
      <c r="V50" s="16"/>
      <c r="W50" s="16"/>
      <c r="X50" s="16"/>
      <c r="Y50" s="18"/>
      <c r="Z50" s="18"/>
      <c r="AA50" s="18"/>
      <c r="AB50" s="18"/>
      <c r="AC50" s="18"/>
      <c r="AD50" s="18"/>
      <c r="AE50" s="18"/>
      <c r="AF50" s="18"/>
      <c r="AG50" s="18"/>
      <c r="AH50" s="18"/>
    </row>
    <row r="51" spans="1:34" ht="15" customHeight="1" x14ac:dyDescent="0.25">
      <c r="B51" s="537"/>
      <c r="C51" s="537"/>
      <c r="D51" s="537"/>
      <c r="E51" s="537"/>
      <c r="F51" s="537"/>
      <c r="G51" s="537"/>
      <c r="H51" s="537"/>
      <c r="I51" s="537"/>
      <c r="J51" s="537"/>
      <c r="K51" s="537"/>
      <c r="L51" s="537"/>
      <c r="M51" s="537"/>
      <c r="N51" s="537"/>
      <c r="O51" s="537"/>
      <c r="P51" s="537"/>
      <c r="Q51" s="537"/>
      <c r="R51" s="537"/>
      <c r="S51" s="537"/>
      <c r="T51" s="537"/>
      <c r="U51" s="537"/>
      <c r="V51" s="537"/>
      <c r="W51" s="537"/>
      <c r="X51" s="537"/>
    </row>
    <row r="52" spans="1:34" ht="15" customHeight="1" x14ac:dyDescent="0.25">
      <c r="B52" s="537"/>
      <c r="C52" s="537"/>
      <c r="D52" s="537"/>
      <c r="E52" s="537"/>
      <c r="F52" s="537"/>
      <c r="G52" s="537"/>
      <c r="H52" s="537"/>
      <c r="I52" s="537"/>
      <c r="J52" s="537"/>
      <c r="K52" s="537"/>
      <c r="L52" s="537"/>
      <c r="M52" s="537"/>
      <c r="N52" s="537"/>
      <c r="O52" s="537"/>
      <c r="P52" s="537"/>
      <c r="Q52" s="537"/>
      <c r="R52" s="537"/>
      <c r="S52" s="537"/>
      <c r="T52" s="537"/>
      <c r="U52" s="537"/>
      <c r="V52" s="537"/>
      <c r="W52" s="537"/>
      <c r="X52" s="537"/>
    </row>
    <row r="53" spans="1:34" ht="15" customHeight="1" x14ac:dyDescent="0.25">
      <c r="B53" s="537"/>
      <c r="C53" s="537"/>
      <c r="D53" s="537"/>
      <c r="E53" s="537"/>
      <c r="F53" s="537"/>
      <c r="G53" s="537"/>
      <c r="H53" s="537"/>
      <c r="I53" s="537"/>
      <c r="J53" s="537"/>
      <c r="K53" s="537"/>
      <c r="L53" s="537"/>
      <c r="M53" s="537"/>
      <c r="N53" s="537"/>
      <c r="O53" s="537"/>
      <c r="P53" s="537"/>
      <c r="Q53" s="537"/>
      <c r="R53" s="537"/>
      <c r="S53" s="537"/>
      <c r="T53" s="537"/>
      <c r="U53" s="537"/>
      <c r="V53" s="537"/>
      <c r="W53" s="537"/>
      <c r="X53" s="537"/>
    </row>
    <row r="54" spans="1:34" ht="15" customHeight="1" x14ac:dyDescent="0.25">
      <c r="B54" s="537"/>
      <c r="C54" s="537"/>
      <c r="D54" s="537"/>
      <c r="E54" s="537"/>
      <c r="F54" s="537"/>
      <c r="G54" s="537"/>
      <c r="H54" s="537"/>
      <c r="I54" s="537"/>
      <c r="J54" s="537"/>
      <c r="K54" s="537"/>
      <c r="L54" s="537"/>
      <c r="M54" s="537"/>
      <c r="N54" s="537"/>
      <c r="O54" s="537"/>
      <c r="P54" s="537"/>
      <c r="Q54" s="537"/>
      <c r="R54" s="537"/>
      <c r="S54" s="537"/>
      <c r="T54" s="537"/>
      <c r="U54" s="537"/>
      <c r="V54" s="537"/>
      <c r="W54" s="537"/>
      <c r="X54" s="537"/>
    </row>
  </sheetData>
  <sheetProtection algorithmName="SHA-512" hashValue="rZ7qaUbnoXTp6fuzZ3DLUBH76JjxDyU1fTW+4wUIo8sEHUPKGPTmPnZifhpPue7QLA9rG5xesZ6ALe+B9EJEqA==" saltValue="cScXsUrcvY2o4ByGj3O6nw==" spinCount="100000" sheet="1" objects="1" scenarios="1" formatCells="0" formatColumns="0" formatRows="0"/>
  <mergeCells count="11">
    <mergeCell ref="C42:X42"/>
    <mergeCell ref="C35:X35"/>
    <mergeCell ref="C39:X39"/>
    <mergeCell ref="C40:X40"/>
    <mergeCell ref="C41:X41"/>
    <mergeCell ref="C34:X34"/>
    <mergeCell ref="C23:X23"/>
    <mergeCell ref="C27:X27"/>
    <mergeCell ref="C28:X28"/>
    <mergeCell ref="C29:X29"/>
    <mergeCell ref="C33:X33"/>
  </mergeCells>
  <conditionalFormatting sqref="B8:D14 C15:D18">
    <cfRule type="expression" dxfId="24" priority="3">
      <formula>$B8=$C$22</formula>
    </cfRule>
  </conditionalFormatting>
  <conditionalFormatting sqref="E22">
    <cfRule type="cellIs" dxfId="23" priority="2" operator="lessThan">
      <formula>0</formula>
    </cfRule>
  </conditionalFormatting>
  <conditionalFormatting sqref="B15:B18">
    <cfRule type="expression" dxfId="22" priority="1">
      <formula>$B15=$C$22</formula>
    </cfRule>
  </conditionalFormatting>
  <dataValidations disablePrompts="1" count="1">
    <dataValidation type="list" allowBlank="1" showInputMessage="1" showErrorMessage="1" sqref="C22" xr:uid="{97837168-7C79-4B30-A400-57E2AD94C12F}">
      <formula1>$B$8:$B$18</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AZ200"/>
  <sheetViews>
    <sheetView tabSelected="1" zoomScale="70" zoomScaleNormal="70" workbookViewId="0">
      <pane xSplit="2" ySplit="4" topLeftCell="C5" activePane="bottomRight" state="frozen"/>
      <selection pane="topRight" activeCell="C1" sqref="C1"/>
      <selection pane="bottomLeft" activeCell="A5" sqref="A5"/>
      <selection pane="bottomRight" activeCell="D11" sqref="D11"/>
    </sheetView>
  </sheetViews>
  <sheetFormatPr defaultColWidth="9.33203125" defaultRowHeight="13" x14ac:dyDescent="0.3"/>
  <cols>
    <col min="1" max="1" width="5.77734375" style="516" customWidth="1"/>
    <col min="2" max="2" width="60" style="516" bestFit="1" customWidth="1"/>
    <col min="3" max="9" width="15.77734375" style="516" customWidth="1"/>
    <col min="10" max="10" width="14.77734375" style="516" bestFit="1" customWidth="1"/>
    <col min="11" max="11" width="18.6640625" style="516" bestFit="1" customWidth="1"/>
    <col min="12" max="12" width="28" style="516" bestFit="1" customWidth="1"/>
    <col min="13" max="14" width="14.33203125" style="516" bestFit="1" customWidth="1"/>
    <col min="15" max="15" width="14.77734375" style="516" bestFit="1" customWidth="1"/>
    <col min="16" max="16" width="14.44140625" style="516" bestFit="1" customWidth="1"/>
    <col min="17" max="17" width="11" style="516" customWidth="1"/>
    <col min="18" max="18" width="34.109375" style="516" bestFit="1" customWidth="1"/>
    <col min="20" max="20" width="9.33203125" style="516"/>
    <col min="21" max="21" width="37.33203125" style="516" bestFit="1" customWidth="1"/>
    <col min="22" max="22" width="24" style="516" bestFit="1" customWidth="1"/>
    <col min="23" max="23" width="11.77734375" style="518" customWidth="1"/>
    <col min="24" max="24" width="33.6640625" style="516" bestFit="1" customWidth="1"/>
    <col min="25" max="25" width="28.33203125" style="516" bestFit="1" customWidth="1"/>
    <col min="26" max="26" width="11.77734375" style="518" customWidth="1"/>
    <col min="27" max="27" width="38.77734375" style="516" bestFit="1" customWidth="1"/>
    <col min="28" max="28" width="24" style="516" bestFit="1" customWidth="1"/>
    <col min="29" max="29" width="11.77734375" style="518" customWidth="1"/>
    <col min="30" max="30" width="17.6640625" style="516" customWidth="1"/>
    <col min="31" max="31" width="21.6640625" style="516" customWidth="1"/>
    <col min="32" max="32" width="9.33203125" style="518"/>
    <col min="33" max="33" width="17.77734375" style="516" bestFit="1" customWidth="1"/>
    <col min="34" max="34" width="50.6640625" style="516" bestFit="1" customWidth="1"/>
    <col min="35" max="35" width="9.44140625" style="518" bestFit="1" customWidth="1"/>
    <col min="36" max="36" width="20.109375" style="516" bestFit="1" customWidth="1"/>
    <col min="37" max="16384" width="9.33203125" style="516"/>
  </cols>
  <sheetData>
    <row r="1" spans="1:52" ht="14" x14ac:dyDescent="0.3">
      <c r="A1" s="248"/>
      <c r="B1" s="248"/>
      <c r="C1" s="248"/>
      <c r="D1" s="248"/>
      <c r="E1" s="248"/>
      <c r="F1" s="248"/>
      <c r="G1" s="248"/>
      <c r="H1" s="248"/>
      <c r="I1" s="248"/>
      <c r="J1" s="248"/>
      <c r="K1" s="248"/>
      <c r="L1" s="248"/>
      <c r="M1" s="248"/>
      <c r="N1" s="248"/>
      <c r="O1" s="248"/>
      <c r="P1" s="248"/>
      <c r="Q1" s="248"/>
      <c r="R1" s="248"/>
      <c r="S1" s="249"/>
      <c r="T1" s="18"/>
      <c r="U1" s="18"/>
      <c r="V1" s="18"/>
      <c r="W1" s="250"/>
      <c r="X1" s="18"/>
      <c r="Y1" s="18"/>
      <c r="Z1" s="250"/>
      <c r="AA1" s="18"/>
      <c r="AB1" s="18"/>
      <c r="AC1" s="250"/>
      <c r="AD1" s="18"/>
      <c r="AE1" s="18"/>
      <c r="AF1" s="250"/>
      <c r="AG1" s="18"/>
      <c r="AH1" s="18"/>
      <c r="AI1" s="250"/>
      <c r="AJ1" s="18"/>
      <c r="AK1" s="18"/>
      <c r="AL1" s="18"/>
      <c r="AM1" s="18"/>
      <c r="AN1" s="18"/>
      <c r="AO1" s="18"/>
      <c r="AP1" s="18"/>
      <c r="AQ1" s="18"/>
      <c r="AR1" s="18"/>
      <c r="AS1" s="18"/>
      <c r="AT1" s="18"/>
      <c r="AU1" s="18"/>
      <c r="AV1" s="18"/>
      <c r="AW1" s="18"/>
      <c r="AX1" s="18"/>
      <c r="AY1" s="18"/>
      <c r="AZ1" s="18"/>
    </row>
    <row r="2" spans="1:52" ht="27" customHeight="1" x14ac:dyDescent="0.3">
      <c r="A2" s="248"/>
      <c r="B2" s="251"/>
      <c r="C2" s="248"/>
      <c r="D2" s="248"/>
      <c r="E2" s="248"/>
      <c r="F2" s="248"/>
      <c r="G2" s="248"/>
      <c r="H2" s="248"/>
      <c r="I2" s="248"/>
      <c r="J2" s="248"/>
      <c r="K2" s="248"/>
      <c r="L2" s="248"/>
      <c r="M2" s="248"/>
      <c r="N2" s="248"/>
      <c r="O2" s="248"/>
      <c r="P2" s="248"/>
      <c r="Q2" s="248"/>
      <c r="R2" s="248"/>
      <c r="S2" s="249"/>
      <c r="T2" s="18"/>
      <c r="U2" s="18"/>
      <c r="V2" s="18"/>
      <c r="W2" s="250"/>
      <c r="X2" s="18"/>
      <c r="Y2" s="18"/>
      <c r="Z2" s="250"/>
      <c r="AA2" s="18"/>
      <c r="AB2" s="18"/>
      <c r="AC2" s="250"/>
      <c r="AD2" s="18"/>
      <c r="AE2" s="18"/>
      <c r="AF2" s="250"/>
      <c r="AG2" s="18"/>
      <c r="AH2" s="18"/>
      <c r="AI2" s="250"/>
      <c r="AJ2" s="18"/>
      <c r="AK2" s="18"/>
      <c r="AL2" s="18"/>
      <c r="AM2" s="18"/>
      <c r="AN2" s="18"/>
      <c r="AO2" s="18"/>
      <c r="AP2" s="18"/>
      <c r="AQ2" s="18"/>
      <c r="AR2" s="18"/>
      <c r="AS2" s="18"/>
      <c r="AT2" s="18"/>
      <c r="AU2" s="18"/>
      <c r="AV2" s="18"/>
      <c r="AW2" s="18"/>
      <c r="AX2" s="18"/>
      <c r="AY2" s="18"/>
      <c r="AZ2" s="18"/>
    </row>
    <row r="3" spans="1:52" ht="19.5" customHeight="1" x14ac:dyDescent="0.3">
      <c r="A3" s="248"/>
      <c r="B3" s="248"/>
      <c r="C3" s="728">
        <f t="shared" ref="C3:H3" si="0">D3+1</f>
        <v>2025</v>
      </c>
      <c r="D3" s="728">
        <f t="shared" si="0"/>
        <v>2024</v>
      </c>
      <c r="E3" s="728">
        <f t="shared" si="0"/>
        <v>2023</v>
      </c>
      <c r="F3" s="728">
        <f t="shared" si="0"/>
        <v>2022</v>
      </c>
      <c r="G3" s="728">
        <f t="shared" si="0"/>
        <v>2021</v>
      </c>
      <c r="H3" s="728">
        <f t="shared" si="0"/>
        <v>2020</v>
      </c>
      <c r="I3" s="728">
        <f>J3+1</f>
        <v>2019</v>
      </c>
      <c r="J3" s="728">
        <f>J4</f>
        <v>2018</v>
      </c>
      <c r="K3" s="248"/>
      <c r="L3" s="248"/>
      <c r="M3" s="770" t="s">
        <v>554</v>
      </c>
      <c r="N3" s="770"/>
      <c r="O3" s="770"/>
      <c r="P3" s="248"/>
      <c r="Q3" s="248"/>
      <c r="R3" s="248"/>
      <c r="S3" s="249"/>
      <c r="T3" s="18"/>
      <c r="U3" s="18"/>
      <c r="V3" s="18"/>
      <c r="W3" s="250"/>
      <c r="X3" s="18"/>
      <c r="Y3" s="18"/>
      <c r="Z3" s="250"/>
      <c r="AA3" s="18"/>
      <c r="AB3" s="18"/>
      <c r="AC3" s="250"/>
      <c r="AD3" s="18"/>
      <c r="AE3" s="18"/>
      <c r="AF3" s="250"/>
      <c r="AG3" s="18"/>
      <c r="AH3" s="18"/>
      <c r="AI3" s="250"/>
      <c r="AJ3" s="18"/>
      <c r="AK3" s="18"/>
      <c r="AL3" s="18"/>
      <c r="AM3" s="18"/>
      <c r="AN3" s="18"/>
      <c r="AO3" s="18"/>
      <c r="AP3" s="18"/>
      <c r="AQ3" s="18"/>
      <c r="AR3" s="18"/>
      <c r="AS3" s="18"/>
      <c r="AT3" s="18"/>
      <c r="AU3" s="18"/>
      <c r="AV3" s="18"/>
      <c r="AW3" s="18"/>
      <c r="AX3" s="18"/>
      <c r="AY3" s="18"/>
      <c r="AZ3" s="18"/>
    </row>
    <row r="4" spans="1:52" ht="34.5" customHeight="1" x14ac:dyDescent="0.3">
      <c r="A4" s="248"/>
      <c r="B4" s="626" t="str">
        <f>Frontend!$C$7</f>
        <v>NTC SJ Equity</v>
      </c>
      <c r="C4" s="628" t="s">
        <v>840</v>
      </c>
      <c r="D4" s="628" t="s">
        <v>841</v>
      </c>
      <c r="E4" s="628" t="s">
        <v>842</v>
      </c>
      <c r="F4" s="630">
        <f>'Financials DF'!C34</f>
        <v>2022</v>
      </c>
      <c r="G4" s="628">
        <f>'Financials DF'!D34</f>
        <v>2021</v>
      </c>
      <c r="H4" s="628">
        <f>'Financials DF'!E34</f>
        <v>2020</v>
      </c>
      <c r="I4" s="628">
        <f>'Financials DF'!F34</f>
        <v>2019</v>
      </c>
      <c r="J4" s="628">
        <f>'Financials DF'!G34</f>
        <v>2018</v>
      </c>
      <c r="K4" s="679"/>
      <c r="L4" s="631"/>
      <c r="M4" s="628" t="str">
        <f>C4</f>
        <v>FY3</v>
      </c>
      <c r="N4" s="628" t="str">
        <f>D4</f>
        <v>FY2</v>
      </c>
      <c r="O4" s="628" t="str">
        <f>E4</f>
        <v>FY1</v>
      </c>
      <c r="P4" s="628">
        <f>F4</f>
        <v>2022</v>
      </c>
      <c r="Q4" s="628">
        <f>G4</f>
        <v>2021</v>
      </c>
      <c r="R4" s="683" t="s">
        <v>275</v>
      </c>
      <c r="S4" s="252"/>
      <c r="T4" s="16"/>
      <c r="U4" s="253"/>
      <c r="V4" s="16"/>
      <c r="W4" s="254"/>
      <c r="X4" s="16"/>
      <c r="Y4" s="16"/>
      <c r="Z4" s="254"/>
      <c r="AA4" s="16"/>
      <c r="AB4" s="16"/>
      <c r="AC4" s="254"/>
      <c r="AD4" s="16"/>
      <c r="AE4" s="16"/>
      <c r="AF4" s="254"/>
      <c r="AG4" s="16"/>
      <c r="AH4" s="16"/>
      <c r="AI4" s="254"/>
      <c r="AJ4" s="16"/>
      <c r="AK4" s="18"/>
      <c r="AL4" s="18"/>
      <c r="AM4" s="18"/>
      <c r="AN4" s="18"/>
      <c r="AO4" s="18"/>
      <c r="AP4" s="18"/>
      <c r="AQ4" s="18"/>
      <c r="AR4" s="18"/>
      <c r="AS4" s="18"/>
      <c r="AT4" s="18"/>
      <c r="AU4" s="18"/>
      <c r="AV4" s="18"/>
      <c r="AW4" s="18"/>
      <c r="AX4" s="18"/>
      <c r="AY4" s="18"/>
      <c r="AZ4" s="18"/>
    </row>
    <row r="5" spans="1:52" ht="15" customHeight="1" x14ac:dyDescent="0.3">
      <c r="A5" s="248"/>
      <c r="B5" s="627" t="s">
        <v>59</v>
      </c>
      <c r="C5" s="629"/>
      <c r="D5" s="629"/>
      <c r="E5" s="629"/>
      <c r="F5" s="631"/>
      <c r="G5" s="629"/>
      <c r="H5" s="629"/>
      <c r="I5" s="629"/>
      <c r="J5" s="629"/>
      <c r="K5" s="680"/>
      <c r="L5" s="655"/>
      <c r="M5" s="681"/>
      <c r="N5" s="681"/>
      <c r="O5" s="681"/>
      <c r="P5" s="682"/>
      <c r="Q5" s="682"/>
      <c r="R5" s="684"/>
      <c r="S5" s="252"/>
      <c r="T5" s="16"/>
      <c r="U5" s="255" t="s">
        <v>63</v>
      </c>
      <c r="V5" s="256"/>
      <c r="W5" s="257"/>
      <c r="X5" s="255" t="s">
        <v>64</v>
      </c>
      <c r="Y5" s="256"/>
      <c r="Z5" s="257"/>
      <c r="AA5" s="255" t="s">
        <v>65</v>
      </c>
      <c r="AB5" s="256"/>
      <c r="AC5" s="257"/>
      <c r="AD5" s="258"/>
      <c r="AE5" s="259" t="s">
        <v>66</v>
      </c>
      <c r="AF5" s="257"/>
      <c r="AG5" s="260"/>
      <c r="AH5" s="261"/>
      <c r="AI5" s="254"/>
      <c r="AJ5" s="16"/>
      <c r="AK5" s="18"/>
      <c r="AL5" s="18"/>
      <c r="AM5" s="18"/>
      <c r="AN5" s="18"/>
      <c r="AO5" s="18"/>
      <c r="AP5" s="18"/>
      <c r="AQ5" s="18"/>
      <c r="AR5" s="18"/>
      <c r="AS5" s="18"/>
      <c r="AT5" s="18"/>
      <c r="AU5" s="18"/>
      <c r="AV5" s="18"/>
      <c r="AW5" s="18"/>
      <c r="AX5" s="18"/>
      <c r="AY5" s="18"/>
      <c r="AZ5" s="18"/>
    </row>
    <row r="6" spans="1:52" ht="15" customHeight="1" x14ac:dyDescent="0.3">
      <c r="A6" s="248"/>
      <c r="B6" s="632" t="str">
        <f>'Financials DF'!B35</f>
        <v>Turnover</v>
      </c>
      <c r="C6" s="262">
        <f>D6*(1+M6)</f>
        <v>27230.211954999992</v>
      </c>
      <c r="D6" s="262">
        <f>E6*(1+N6)</f>
        <v>25731.023299999993</v>
      </c>
      <c r="E6" s="262">
        <f>F6*(1+O6)</f>
        <v>24213.31</v>
      </c>
      <c r="F6" s="633">
        <f>'Financials DF'!C35</f>
        <v>21636</v>
      </c>
      <c r="G6" s="262">
        <f>'Financials DF'!D35</f>
        <v>21200</v>
      </c>
      <c r="H6" s="262">
        <f>'Financials DF'!E35</f>
        <v>18843</v>
      </c>
      <c r="I6" s="262">
        <f>'Financials DF'!F35</f>
        <v>21589</v>
      </c>
      <c r="J6" s="262">
        <f>'Financials DF'!G35</f>
        <v>20717</v>
      </c>
      <c r="K6" s="680"/>
      <c r="L6" s="650" t="s">
        <v>636</v>
      </c>
      <c r="M6" s="370">
        <f>Details!C17</f>
        <v>5.8263856727376995E-2</v>
      </c>
      <c r="N6" s="370">
        <f>Details!D17</f>
        <v>6.2680951096731219E-2</v>
      </c>
      <c r="O6" s="370">
        <f>Details!E17</f>
        <v>0.11912137178776128</v>
      </c>
      <c r="P6" s="407">
        <f>F6/G6-1</f>
        <v>2.0566037735848974E-2</v>
      </c>
      <c r="Q6" s="407">
        <f>G6/H6-1</f>
        <v>0.12508623892161541</v>
      </c>
      <c r="R6" s="685" t="s">
        <v>265</v>
      </c>
      <c r="S6" s="252"/>
      <c r="T6" s="16"/>
      <c r="U6" s="263"/>
      <c r="V6" s="264"/>
      <c r="W6" s="257"/>
      <c r="X6" s="263"/>
      <c r="Y6" s="264"/>
      <c r="Z6" s="257"/>
      <c r="AA6" s="265"/>
      <c r="AB6" s="264"/>
      <c r="AC6" s="257"/>
      <c r="AD6" s="265"/>
      <c r="AE6" s="266"/>
      <c r="AF6" s="257"/>
      <c r="AG6" s="267"/>
      <c r="AH6" s="268"/>
      <c r="AI6" s="254"/>
      <c r="AJ6" s="16"/>
      <c r="AK6" s="18"/>
      <c r="AL6" s="18"/>
      <c r="AM6" s="18"/>
      <c r="AN6" s="18"/>
      <c r="AO6" s="18"/>
      <c r="AP6" s="18"/>
      <c r="AQ6" s="18"/>
      <c r="AR6" s="18"/>
      <c r="AS6" s="18"/>
      <c r="AT6" s="18"/>
      <c r="AU6" s="18"/>
      <c r="AV6" s="18"/>
      <c r="AW6" s="18"/>
      <c r="AX6" s="18"/>
      <c r="AY6" s="18"/>
      <c r="AZ6" s="18"/>
    </row>
    <row r="7" spans="1:52" ht="15" customHeight="1" x14ac:dyDescent="0.3">
      <c r="A7" s="248"/>
      <c r="B7" s="632" t="str">
        <f>'Financials DF'!B36</f>
        <v>Cost of sales</v>
      </c>
      <c r="C7" s="262">
        <f>C6*M7</f>
        <v>13669.566401409997</v>
      </c>
      <c r="D7" s="262">
        <f>D6*N7</f>
        <v>12916.973696599996</v>
      </c>
      <c r="E7" s="262">
        <f>E6*O7</f>
        <v>12203.508240000001</v>
      </c>
      <c r="F7" s="633">
        <f>'Financials DF'!C36</f>
        <v>11085</v>
      </c>
      <c r="G7" s="262">
        <f>'Financials DF'!D36</f>
        <v>10748</v>
      </c>
      <c r="H7" s="262">
        <f>'Financials DF'!E36</f>
        <v>9810</v>
      </c>
      <c r="I7" s="262">
        <f>'Financials DF'!F36</f>
        <v>10653</v>
      </c>
      <c r="J7" s="262">
        <f>'Financials DF'!G36</f>
        <v>10364</v>
      </c>
      <c r="K7" s="680"/>
      <c r="L7" s="650"/>
      <c r="M7" s="370">
        <f>1-Details!C23</f>
        <v>0.502</v>
      </c>
      <c r="N7" s="370">
        <f>1-Details!D23</f>
        <v>0.502</v>
      </c>
      <c r="O7" s="370">
        <f>1-Details!E23</f>
        <v>0.504</v>
      </c>
      <c r="P7" s="407">
        <f>F7/F6</f>
        <v>0.51234054353854686</v>
      </c>
      <c r="Q7" s="407">
        <f>G7/G6</f>
        <v>0.50698113207547169</v>
      </c>
      <c r="R7" s="685" t="s">
        <v>264</v>
      </c>
      <c r="S7" s="252"/>
      <c r="T7" s="16"/>
      <c r="U7" s="258" t="str">
        <f>DCF!F2</f>
        <v>NTC SJ Equity</v>
      </c>
      <c r="V7" s="270">
        <f>V8/V9</f>
        <v>6.1649275549087168E-2</v>
      </c>
      <c r="W7" s="257"/>
      <c r="X7" s="258" t="str">
        <f>U7</f>
        <v>NTC SJ Equity</v>
      </c>
      <c r="Y7" s="271">
        <f>Y8/Y9</f>
        <v>0.92870729060924129</v>
      </c>
      <c r="Z7" s="257"/>
      <c r="AA7" s="258" t="str">
        <f>U7</f>
        <v>NTC SJ Equity</v>
      </c>
      <c r="AB7" s="272">
        <f>AB8/AB9</f>
        <v>2.4916937794129246</v>
      </c>
      <c r="AC7" s="257"/>
      <c r="AD7" s="258" t="str">
        <f>U7</f>
        <v>NTC SJ Equity</v>
      </c>
      <c r="AE7" s="273">
        <f>V7*Y7*AB7</f>
        <v>0.14265976371092209</v>
      </c>
      <c r="AF7" s="274"/>
      <c r="AG7" s="267"/>
      <c r="AH7" s="275"/>
      <c r="AI7" s="254"/>
      <c r="AJ7" s="16"/>
      <c r="AK7" s="18"/>
      <c r="AL7" s="18"/>
      <c r="AM7" s="18"/>
      <c r="AN7" s="18"/>
      <c r="AO7" s="18"/>
      <c r="AP7" s="18"/>
      <c r="AQ7" s="18"/>
      <c r="AR7" s="18"/>
      <c r="AS7" s="18"/>
      <c r="AT7" s="18"/>
      <c r="AU7" s="18"/>
      <c r="AV7" s="18"/>
      <c r="AW7" s="18"/>
      <c r="AX7" s="18"/>
      <c r="AY7" s="18"/>
      <c r="AZ7" s="18"/>
    </row>
    <row r="8" spans="1:52" ht="15" customHeight="1" x14ac:dyDescent="0.3">
      <c r="A8" s="248"/>
      <c r="B8" s="634" t="str">
        <f>'Financials DF'!B37</f>
        <v>Gross Profit</v>
      </c>
      <c r="C8" s="636">
        <f>C6-C7</f>
        <v>13560.645553589995</v>
      </c>
      <c r="D8" s="636">
        <f t="shared" ref="D8:I8" si="1">D6-D7</f>
        <v>12814.049603399997</v>
      </c>
      <c r="E8" s="636">
        <f t="shared" si="1"/>
        <v>12009.80176</v>
      </c>
      <c r="F8" s="638">
        <f t="shared" si="1"/>
        <v>10551</v>
      </c>
      <c r="G8" s="636">
        <f t="shared" si="1"/>
        <v>10452</v>
      </c>
      <c r="H8" s="636">
        <f t="shared" si="1"/>
        <v>9033</v>
      </c>
      <c r="I8" s="636">
        <f t="shared" si="1"/>
        <v>10936</v>
      </c>
      <c r="J8" s="636">
        <f>J6-J7</f>
        <v>10353</v>
      </c>
      <c r="K8" s="680"/>
      <c r="L8" s="650" t="s">
        <v>200</v>
      </c>
      <c r="M8" s="407">
        <f>C8/C6</f>
        <v>0.49799999999999994</v>
      </c>
      <c r="N8" s="407">
        <f>D8/D6</f>
        <v>0.498</v>
      </c>
      <c r="O8" s="407">
        <f>E8/E6</f>
        <v>0.496</v>
      </c>
      <c r="P8" s="407">
        <f>F8/F6</f>
        <v>0.48765945646145314</v>
      </c>
      <c r="Q8" s="407">
        <f>G8/G6</f>
        <v>0.49301886792452831</v>
      </c>
      <c r="R8" s="685" t="s">
        <v>264</v>
      </c>
      <c r="S8" s="252"/>
      <c r="T8" s="16"/>
      <c r="U8" s="265" t="s">
        <v>79</v>
      </c>
      <c r="V8" s="276">
        <f>AVERAGE(C22:E22)</f>
        <v>1585.9182686003307</v>
      </c>
      <c r="W8" s="257"/>
      <c r="X8" s="265" t="s">
        <v>80</v>
      </c>
      <c r="Y8" s="277">
        <f>V9</f>
        <v>25724.848418333331</v>
      </c>
      <c r="Z8" s="257"/>
      <c r="AA8" s="265" t="s">
        <v>81</v>
      </c>
      <c r="AB8" s="278">
        <f>Y9</f>
        <v>27699.63009707566</v>
      </c>
      <c r="AC8" s="257"/>
      <c r="AD8" s="265"/>
      <c r="AE8" s="264"/>
      <c r="AF8" s="257"/>
      <c r="AG8" s="267"/>
      <c r="AH8" s="267"/>
      <c r="AI8" s="254"/>
      <c r="AJ8" s="16"/>
      <c r="AK8" s="18"/>
      <c r="AL8" s="18"/>
      <c r="AM8" s="18"/>
      <c r="AN8" s="18"/>
      <c r="AO8" s="18"/>
      <c r="AP8" s="18"/>
      <c r="AQ8" s="18"/>
      <c r="AR8" s="18"/>
      <c r="AS8" s="18"/>
      <c r="AT8" s="18"/>
      <c r="AU8" s="18"/>
      <c r="AV8" s="18"/>
      <c r="AW8" s="18"/>
      <c r="AX8" s="18"/>
      <c r="AY8" s="18"/>
      <c r="AZ8" s="18"/>
    </row>
    <row r="9" spans="1:52" ht="15" customHeight="1" x14ac:dyDescent="0.3">
      <c r="A9" s="248"/>
      <c r="B9" s="635" t="str">
        <f>'Financials DF'!B38</f>
        <v>Other Operating Revenue</v>
      </c>
      <c r="C9" s="637">
        <f>C6*M9</f>
        <v>544.60423909999986</v>
      </c>
      <c r="D9" s="637">
        <f>D6*N9</f>
        <v>514.62046599999985</v>
      </c>
      <c r="E9" s="637">
        <f>E6*O9</f>
        <v>484.26620000000003</v>
      </c>
      <c r="F9" s="639">
        <f>'Financials DF'!C38</f>
        <v>435</v>
      </c>
      <c r="G9" s="637">
        <f>'Financials DF'!D38</f>
        <v>330</v>
      </c>
      <c r="H9" s="637">
        <f>'Financials DF'!E38</f>
        <v>386</v>
      </c>
      <c r="I9" s="637">
        <f>'Financials DF'!F38</f>
        <v>446</v>
      </c>
      <c r="J9" s="637">
        <f>'Financials DF'!G38</f>
        <v>511</v>
      </c>
      <c r="K9" s="680"/>
      <c r="L9" s="650"/>
      <c r="M9" s="370">
        <v>0.02</v>
      </c>
      <c r="N9" s="370">
        <v>0.02</v>
      </c>
      <c r="O9" s="370">
        <v>0.02</v>
      </c>
      <c r="P9" s="407">
        <f>F9/F6</f>
        <v>2.0105379922351636E-2</v>
      </c>
      <c r="Q9" s="407">
        <f>G9/G6</f>
        <v>1.5566037735849057E-2</v>
      </c>
      <c r="R9" s="685" t="s">
        <v>263</v>
      </c>
      <c r="S9" s="252"/>
      <c r="T9" s="16"/>
      <c r="U9" s="265" t="s">
        <v>80</v>
      </c>
      <c r="V9" s="279">
        <f>AVERAGE(C6:E6)</f>
        <v>25724.848418333331</v>
      </c>
      <c r="W9" s="257"/>
      <c r="X9" s="265" t="s">
        <v>83</v>
      </c>
      <c r="Y9" s="277">
        <f>AVERAGE(C91:E91)</f>
        <v>27699.63009707566</v>
      </c>
      <c r="Z9" s="257"/>
      <c r="AA9" s="265" t="s">
        <v>41</v>
      </c>
      <c r="AB9" s="278">
        <f>AVERAGE(C53:E53)</f>
        <v>11116.787434289799</v>
      </c>
      <c r="AC9" s="257"/>
      <c r="AD9" s="265"/>
      <c r="AE9" s="264"/>
      <c r="AF9" s="257"/>
      <c r="AG9" s="16"/>
      <c r="AH9" s="16"/>
      <c r="AI9" s="254"/>
      <c r="AJ9" s="16"/>
      <c r="AK9" s="18"/>
      <c r="AL9" s="18"/>
      <c r="AM9" s="18"/>
      <c r="AN9" s="18"/>
      <c r="AO9" s="18"/>
      <c r="AP9" s="18"/>
      <c r="AQ9" s="18"/>
      <c r="AR9" s="18"/>
      <c r="AS9" s="18"/>
      <c r="AT9" s="18"/>
      <c r="AU9" s="18"/>
      <c r="AV9" s="18"/>
      <c r="AW9" s="18"/>
      <c r="AX9" s="18"/>
      <c r="AY9" s="18"/>
      <c r="AZ9" s="18"/>
    </row>
    <row r="10" spans="1:52" ht="15" customHeight="1" x14ac:dyDescent="0.3">
      <c r="A10" s="248"/>
      <c r="B10" s="632" t="str">
        <f>'Financials DF'!B39</f>
        <v>Selling, General &amp; Admin Expense</v>
      </c>
      <c r="C10" s="262">
        <f>D10*(1+M10)</f>
        <v>10704.744960000002</v>
      </c>
      <c r="D10" s="262">
        <f>E10*(1+N10)</f>
        <v>10098.816000000001</v>
      </c>
      <c r="E10" s="262">
        <f>F10*(1+O10)</f>
        <v>9617.92</v>
      </c>
      <c r="F10" s="633">
        <f>'Financials DF'!C39</f>
        <v>8704</v>
      </c>
      <c r="G10" s="262">
        <f>'Financials DF'!D39</f>
        <v>8706</v>
      </c>
      <c r="H10" s="262">
        <f>'Financials DF'!E39</f>
        <v>7852</v>
      </c>
      <c r="I10" s="262">
        <f>'Financials DF'!F39</f>
        <v>7742</v>
      </c>
      <c r="J10" s="262">
        <f>'Financials DF'!G39</f>
        <v>8922</v>
      </c>
      <c r="K10" s="680"/>
      <c r="L10" s="650" t="s">
        <v>635</v>
      </c>
      <c r="M10" s="370">
        <v>0.06</v>
      </c>
      <c r="N10" s="370">
        <v>0.05</v>
      </c>
      <c r="O10" s="370">
        <v>0.105</v>
      </c>
      <c r="P10" s="407">
        <f>F10/G10-1</f>
        <v>-2.2972662531584032E-4</v>
      </c>
      <c r="Q10" s="407">
        <f>G10/H10-1</f>
        <v>0.10876209882832399</v>
      </c>
      <c r="R10" s="685" t="s">
        <v>265</v>
      </c>
      <c r="S10" s="252"/>
      <c r="T10" s="16"/>
      <c r="U10" s="280"/>
      <c r="V10" s="280"/>
      <c r="W10" s="254"/>
      <c r="X10" s="280"/>
      <c r="Y10" s="280"/>
      <c r="Z10" s="254"/>
      <c r="AA10" s="280"/>
      <c r="AB10" s="280"/>
      <c r="AC10" s="254"/>
      <c r="AD10" s="280"/>
      <c r="AE10" s="280"/>
      <c r="AF10" s="254"/>
      <c r="AG10" s="16"/>
      <c r="AH10" s="16"/>
      <c r="AI10" s="254"/>
      <c r="AJ10" s="16"/>
      <c r="AK10" s="18"/>
      <c r="AL10" s="18"/>
      <c r="AM10" s="18"/>
      <c r="AN10" s="18"/>
      <c r="AO10" s="18"/>
      <c r="AP10" s="18"/>
      <c r="AQ10" s="18"/>
      <c r="AR10" s="18"/>
      <c r="AS10" s="18"/>
      <c r="AT10" s="18"/>
      <c r="AU10" s="18"/>
      <c r="AV10" s="18"/>
      <c r="AW10" s="18"/>
      <c r="AX10" s="18"/>
      <c r="AY10" s="18"/>
      <c r="AZ10" s="18"/>
    </row>
    <row r="11" spans="1:52" ht="15" customHeight="1" x14ac:dyDescent="0.3">
      <c r="A11" s="248"/>
      <c r="B11" s="634" t="str">
        <f>'Financials DF'!B40</f>
        <v>Operating profit (loss)</v>
      </c>
      <c r="C11" s="636">
        <f t="shared" ref="C11:J11" si="2">C8+C9-C10</f>
        <v>3400.5048326899923</v>
      </c>
      <c r="D11" s="636">
        <f t="shared" si="2"/>
        <v>3229.8540693999967</v>
      </c>
      <c r="E11" s="636">
        <f t="shared" si="2"/>
        <v>2876.1479600000002</v>
      </c>
      <c r="F11" s="638">
        <f t="shared" si="2"/>
        <v>2282</v>
      </c>
      <c r="G11" s="636">
        <f t="shared" si="2"/>
        <v>2076</v>
      </c>
      <c r="H11" s="636">
        <f t="shared" si="2"/>
        <v>1567</v>
      </c>
      <c r="I11" s="636">
        <f t="shared" si="2"/>
        <v>3640</v>
      </c>
      <c r="J11" s="636">
        <f t="shared" si="2"/>
        <v>1942</v>
      </c>
      <c r="K11" s="686"/>
      <c r="L11" s="687" t="s">
        <v>201</v>
      </c>
      <c r="M11" s="407">
        <f>C11/C6</f>
        <v>0.12487985177308156</v>
      </c>
      <c r="N11" s="407">
        <f>D11/D6</f>
        <v>0.12552373186805973</v>
      </c>
      <c r="O11" s="407">
        <f>E11/E6</f>
        <v>0.11878375818919429</v>
      </c>
      <c r="P11" s="407">
        <f>F11/F6</f>
        <v>0.10547236088001478</v>
      </c>
      <c r="Q11" s="407">
        <f>G11/G6</f>
        <v>9.792452830188679E-2</v>
      </c>
      <c r="R11" s="685"/>
      <c r="S11" s="252"/>
      <c r="T11" s="16"/>
      <c r="U11" s="16"/>
      <c r="V11" s="16"/>
      <c r="W11" s="254"/>
      <c r="X11" s="16"/>
      <c r="Y11" s="16"/>
      <c r="Z11" s="254"/>
      <c r="AA11" s="16"/>
      <c r="AB11" s="16"/>
      <c r="AC11" s="254"/>
      <c r="AD11" s="16"/>
      <c r="AE11" s="16"/>
      <c r="AF11" s="254"/>
      <c r="AG11" s="16"/>
      <c r="AH11" s="16"/>
      <c r="AI11" s="254"/>
      <c r="AJ11" s="16"/>
      <c r="AK11" s="18"/>
      <c r="AL11" s="18"/>
      <c r="AM11" s="18"/>
      <c r="AN11" s="18"/>
      <c r="AO11" s="18"/>
      <c r="AP11" s="18"/>
      <c r="AQ11" s="18"/>
      <c r="AR11" s="18"/>
      <c r="AS11" s="18"/>
      <c r="AT11" s="18"/>
      <c r="AU11" s="18"/>
      <c r="AV11" s="18"/>
      <c r="AW11" s="18"/>
      <c r="AX11" s="18"/>
      <c r="AY11" s="18"/>
      <c r="AZ11" s="18"/>
    </row>
    <row r="12" spans="1:52" ht="15" customHeight="1" x14ac:dyDescent="0.3">
      <c r="A12" s="248"/>
      <c r="B12" s="635" t="str">
        <f>'Financials DF'!B41</f>
        <v>Interest Expense</v>
      </c>
      <c r="C12" s="637">
        <f t="shared" ref="C12:D12" si="3">M12*(C54+C55+C56+C60)</f>
        <v>835.06563586499999</v>
      </c>
      <c r="D12" s="637">
        <f t="shared" si="3"/>
        <v>830.56806990000007</v>
      </c>
      <c r="E12" s="637">
        <f>O12*(E54+E55+E56+E60)</f>
        <v>844.17491249999989</v>
      </c>
      <c r="F12" s="639">
        <f>'Financials DF'!C41</f>
        <v>827</v>
      </c>
      <c r="G12" s="637">
        <f>'Financials DF'!D41</f>
        <v>844</v>
      </c>
      <c r="H12" s="637">
        <f>'Financials DF'!E41</f>
        <v>979</v>
      </c>
      <c r="I12" s="637">
        <f>'Financials DF'!F41</f>
        <v>602</v>
      </c>
      <c r="J12" s="637">
        <f>'Financials DF'!G41</f>
        <v>548</v>
      </c>
      <c r="K12" s="680"/>
      <c r="L12" s="650" t="s">
        <v>634</v>
      </c>
      <c r="M12" s="370">
        <v>7.4999999999999997E-2</v>
      </c>
      <c r="N12" s="370">
        <v>7.4999999999999997E-2</v>
      </c>
      <c r="O12" s="370">
        <v>7.4999999999999997E-2</v>
      </c>
      <c r="P12" s="672">
        <f>F12/(F54+F55+F56+F60)</f>
        <v>7.417040358744395E-2</v>
      </c>
      <c r="Q12" s="672">
        <f>G12/(G54+G55+G56+G60)</f>
        <v>7.494893881538052E-2</v>
      </c>
      <c r="R12" s="685" t="s">
        <v>267</v>
      </c>
      <c r="S12" s="252"/>
      <c r="T12" s="16"/>
      <c r="U12" s="16"/>
      <c r="V12" s="16"/>
      <c r="W12" s="254"/>
      <c r="X12" s="281" t="s">
        <v>338</v>
      </c>
      <c r="Y12" s="282" t="s">
        <v>128</v>
      </c>
      <c r="Z12" s="254"/>
      <c r="AA12" s="16"/>
      <c r="AB12" s="16"/>
      <c r="AC12" s="254"/>
      <c r="AD12" s="16"/>
      <c r="AE12" s="16"/>
      <c r="AF12" s="254"/>
      <c r="AG12" s="16"/>
      <c r="AH12" s="16"/>
      <c r="AI12" s="254"/>
      <c r="AJ12" s="16"/>
      <c r="AK12" s="18"/>
      <c r="AL12" s="18"/>
      <c r="AM12" s="18"/>
      <c r="AN12" s="18"/>
      <c r="AO12" s="18"/>
      <c r="AP12" s="18"/>
      <c r="AQ12" s="18"/>
      <c r="AR12" s="18"/>
      <c r="AS12" s="18"/>
      <c r="AT12" s="18"/>
      <c r="AU12" s="18"/>
      <c r="AV12" s="18"/>
      <c r="AW12" s="18"/>
      <c r="AX12" s="18"/>
      <c r="AY12" s="18"/>
      <c r="AZ12" s="18"/>
    </row>
    <row r="13" spans="1:52" ht="15" customHeight="1" x14ac:dyDescent="0.3">
      <c r="A13" s="248"/>
      <c r="B13" s="632" t="str">
        <f>'Financials DF'!B43</f>
        <v>Foreign Exchange Losses (Gains)</v>
      </c>
      <c r="C13" s="283">
        <f>C6*M13</f>
        <v>0</v>
      </c>
      <c r="D13" s="283">
        <f>D6*N13</f>
        <v>0</v>
      </c>
      <c r="E13" s="283">
        <f>E6*O13</f>
        <v>0</v>
      </c>
      <c r="F13" s="633" t="e">
        <f>-'Financials DF'!C43</f>
        <v>#VALUE!</v>
      </c>
      <c r="G13" s="262" t="e">
        <f>-'Financials DF'!D43</f>
        <v>#VALUE!</v>
      </c>
      <c r="H13" s="262" t="e">
        <f>-'Financials DF'!E43</f>
        <v>#VALUE!</v>
      </c>
      <c r="I13" s="262">
        <f>-'Financials DF'!F43</f>
        <v>128</v>
      </c>
      <c r="J13" s="262" t="e">
        <f>-'Financials DF'!G43</f>
        <v>#VALUE!</v>
      </c>
      <c r="K13" s="680"/>
      <c r="L13" s="688"/>
      <c r="M13" s="619">
        <v>0</v>
      </c>
      <c r="N13" s="619">
        <v>0</v>
      </c>
      <c r="O13" s="619">
        <v>0</v>
      </c>
      <c r="P13" s="407" t="e">
        <f>F13/F6</f>
        <v>#VALUE!</v>
      </c>
      <c r="Q13" s="407" t="e">
        <f>G13/G6</f>
        <v>#VALUE!</v>
      </c>
      <c r="R13" s="689" t="s">
        <v>264</v>
      </c>
      <c r="S13" s="252"/>
      <c r="T13" s="16"/>
      <c r="U13" s="255" t="s">
        <v>85</v>
      </c>
      <c r="V13" s="256"/>
      <c r="W13" s="257"/>
      <c r="X13" s="284" t="s">
        <v>129</v>
      </c>
      <c r="Y13" s="285">
        <v>0.06</v>
      </c>
      <c r="Z13" s="257"/>
      <c r="AA13" s="286" t="s">
        <v>86</v>
      </c>
      <c r="AB13" s="259" t="s">
        <v>87</v>
      </c>
      <c r="AC13" s="257"/>
      <c r="AD13" s="286" t="s">
        <v>88</v>
      </c>
      <c r="AE13" s="256"/>
      <c r="AF13" s="287"/>
      <c r="AG13" s="16"/>
      <c r="AH13" s="16"/>
      <c r="AI13" s="254"/>
      <c r="AJ13" s="16"/>
      <c r="AK13" s="18"/>
      <c r="AL13" s="18"/>
      <c r="AM13" s="18"/>
      <c r="AN13" s="18"/>
      <c r="AO13" s="18"/>
      <c r="AP13" s="18"/>
      <c r="AQ13" s="18"/>
      <c r="AR13" s="18"/>
      <c r="AS13" s="18"/>
      <c r="AT13" s="18"/>
      <c r="AU13" s="18"/>
      <c r="AV13" s="18"/>
      <c r="AW13" s="18"/>
      <c r="AX13" s="18"/>
      <c r="AY13" s="18"/>
      <c r="AZ13" s="18"/>
    </row>
    <row r="14" spans="1:52" ht="15" customHeight="1" x14ac:dyDescent="0.3">
      <c r="A14" s="248"/>
      <c r="B14" s="632" t="str">
        <f>'Financials DF'!B44</f>
        <v>Net Non-Operating Losses (Gains)</v>
      </c>
      <c r="C14" s="262">
        <f t="shared" ref="C14:D14" si="4">C6*M14</f>
        <v>0</v>
      </c>
      <c r="D14" s="262">
        <f t="shared" si="4"/>
        <v>0</v>
      </c>
      <c r="E14" s="262">
        <f>E6*O14</f>
        <v>0</v>
      </c>
      <c r="F14" s="633">
        <f>'Financials DF'!C44</f>
        <v>-79</v>
      </c>
      <c r="G14" s="262">
        <f>'Financials DF'!D44</f>
        <v>56</v>
      </c>
      <c r="H14" s="262">
        <f>'Financials DF'!E44</f>
        <v>-142</v>
      </c>
      <c r="I14" s="262">
        <f>'Financials DF'!F44</f>
        <v>-191</v>
      </c>
      <c r="J14" s="262">
        <f>'Financials DF'!G44</f>
        <v>-294</v>
      </c>
      <c r="K14" s="680"/>
      <c r="L14" s="650"/>
      <c r="M14" s="370">
        <v>0</v>
      </c>
      <c r="N14" s="370">
        <v>0</v>
      </c>
      <c r="O14" s="370">
        <v>0</v>
      </c>
      <c r="P14" s="407">
        <f>F14/F6</f>
        <v>-3.6513218709558143E-3</v>
      </c>
      <c r="Q14" s="407">
        <f>G14/G6</f>
        <v>2.6415094339622643E-3</v>
      </c>
      <c r="R14" s="689" t="s">
        <v>264</v>
      </c>
      <c r="S14" s="252"/>
      <c r="T14" s="16"/>
      <c r="U14" s="258" t="str">
        <f>U7</f>
        <v>NTC SJ Equity</v>
      </c>
      <c r="V14" s="271">
        <f>1-(V15/V16)</f>
        <v>0.41399081967098639</v>
      </c>
      <c r="W14" s="257"/>
      <c r="X14" s="258" t="s">
        <v>130</v>
      </c>
      <c r="Y14" s="288">
        <f>Y15*Y16</f>
        <v>5.9059832512753874E-2</v>
      </c>
      <c r="Z14" s="257"/>
      <c r="AA14" s="258" t="s">
        <v>299</v>
      </c>
      <c r="AB14" s="285">
        <v>0.15</v>
      </c>
      <c r="AC14" s="257"/>
      <c r="AD14" s="258" t="str">
        <f>U14</f>
        <v>NTC SJ Equity</v>
      </c>
      <c r="AE14" s="289">
        <f>AE15*(1-AE16)</f>
        <v>2281.5616469015972</v>
      </c>
      <c r="AF14" s="287"/>
      <c r="AG14" s="16"/>
      <c r="AH14" s="16"/>
      <c r="AI14" s="254"/>
      <c r="AJ14" s="16"/>
      <c r="AK14" s="18"/>
      <c r="AL14" s="18"/>
      <c r="AM14" s="18"/>
      <c r="AN14" s="18"/>
      <c r="AO14" s="18"/>
      <c r="AP14" s="18"/>
      <c r="AQ14" s="18"/>
      <c r="AR14" s="18"/>
      <c r="AS14" s="18"/>
      <c r="AT14" s="18"/>
      <c r="AU14" s="18"/>
      <c r="AV14" s="18"/>
      <c r="AW14" s="18"/>
      <c r="AX14" s="18"/>
      <c r="AY14" s="18"/>
      <c r="AZ14" s="18"/>
    </row>
    <row r="15" spans="1:52" ht="15" customHeight="1" x14ac:dyDescent="0.3">
      <c r="A15" s="248"/>
      <c r="B15" s="640" t="str">
        <f>'Financials DF'!B45</f>
        <v>Pretax Income</v>
      </c>
      <c r="C15" s="636">
        <f>C11-C12-C13-C14</f>
        <v>2565.4391968249925</v>
      </c>
      <c r="D15" s="636">
        <f>D11-D12-D13-D14</f>
        <v>2399.2859994999967</v>
      </c>
      <c r="E15" s="636">
        <f>E11-E12-E13-E14</f>
        <v>2031.9730475000003</v>
      </c>
      <c r="F15" s="638">
        <f>'Financials DF'!C45</f>
        <v>1534</v>
      </c>
      <c r="G15" s="636">
        <f>'Financials DF'!D45</f>
        <v>1176</v>
      </c>
      <c r="H15" s="636">
        <f>'Financials DF'!E45</f>
        <v>730</v>
      </c>
      <c r="I15" s="636">
        <f>'Financials DF'!F45</f>
        <v>3357</v>
      </c>
      <c r="J15" s="636">
        <f>'Financials DF'!G45</f>
        <v>1688</v>
      </c>
      <c r="K15" s="680"/>
      <c r="L15" s="650" t="s">
        <v>623</v>
      </c>
      <c r="M15" s="407">
        <f>C15/C6</f>
        <v>9.4212972013019106E-2</v>
      </c>
      <c r="N15" s="407">
        <f>D15/D6</f>
        <v>9.3244872989563438E-2</v>
      </c>
      <c r="O15" s="407">
        <f>E15/E6</f>
        <v>8.3919672589166883E-2</v>
      </c>
      <c r="P15" s="407">
        <f>F15/F6</f>
        <v>7.0900351266407841E-2</v>
      </c>
      <c r="Q15" s="407">
        <f>G15/G6</f>
        <v>5.5471698113207547E-2</v>
      </c>
      <c r="R15" s="685"/>
      <c r="S15" s="252"/>
      <c r="T15" s="16"/>
      <c r="U15" s="265" t="s">
        <v>89</v>
      </c>
      <c r="V15" s="208">
        <f>AVERAGE(C39:E39)</f>
        <v>0.7403097802321853</v>
      </c>
      <c r="W15" s="257"/>
      <c r="X15" s="265" t="s">
        <v>85</v>
      </c>
      <c r="Y15" s="290">
        <f>V14</f>
        <v>0.41399081967098639</v>
      </c>
      <c r="Z15" s="257"/>
      <c r="AA15" s="265" t="s">
        <v>90</v>
      </c>
      <c r="AB15" s="291">
        <v>0.09</v>
      </c>
      <c r="AC15" s="257"/>
      <c r="AD15" s="265" t="s">
        <v>91</v>
      </c>
      <c r="AE15" s="277">
        <f>AVERAGE(C11:E11)</f>
        <v>3168.8356206966632</v>
      </c>
      <c r="AF15" s="287"/>
      <c r="AG15" s="16"/>
      <c r="AH15" s="16"/>
      <c r="AI15" s="254"/>
      <c r="AJ15" s="16"/>
      <c r="AK15" s="18"/>
      <c r="AL15" s="18"/>
      <c r="AM15" s="18"/>
      <c r="AN15" s="18"/>
      <c r="AO15" s="18"/>
      <c r="AP15" s="18"/>
      <c r="AQ15" s="18"/>
      <c r="AR15" s="18"/>
      <c r="AS15" s="18"/>
      <c r="AT15" s="18"/>
      <c r="AU15" s="18"/>
      <c r="AV15" s="18"/>
      <c r="AW15" s="18"/>
      <c r="AX15" s="18"/>
      <c r="AY15" s="18"/>
      <c r="AZ15" s="18"/>
    </row>
    <row r="16" spans="1:52" ht="15" customHeight="1" x14ac:dyDescent="0.3">
      <c r="A16" s="248"/>
      <c r="B16" s="635" t="str">
        <f>'Financials DF'!B46</f>
        <v>Income Tax Expense</v>
      </c>
      <c r="C16" s="641">
        <f>C15*M16</f>
        <v>820.9405429839976</v>
      </c>
      <c r="D16" s="641">
        <f>D15*N16</f>
        <v>767.77151983999897</v>
      </c>
      <c r="E16" s="641">
        <f>E15*O16</f>
        <v>650.23137520000012</v>
      </c>
      <c r="F16" s="639">
        <f>'Financials DF'!C46</f>
        <v>484</v>
      </c>
      <c r="G16" s="637">
        <f>'Financials DF'!D46</f>
        <v>416</v>
      </c>
      <c r="H16" s="637">
        <f>'Financials DF'!E46</f>
        <v>291</v>
      </c>
      <c r="I16" s="637">
        <f>'Financials DF'!F46</f>
        <v>879</v>
      </c>
      <c r="J16" s="637">
        <f>'Financials DF'!G46</f>
        <v>682</v>
      </c>
      <c r="K16" s="680"/>
      <c r="L16" s="687" t="s">
        <v>472</v>
      </c>
      <c r="M16" s="619">
        <v>0.32</v>
      </c>
      <c r="N16" s="619">
        <v>0.32</v>
      </c>
      <c r="O16" s="619">
        <v>0.32</v>
      </c>
      <c r="P16" s="407">
        <f>F16/F15</f>
        <v>0.31551499348109519</v>
      </c>
      <c r="Q16" s="407">
        <f>G16/G15</f>
        <v>0.35374149659863946</v>
      </c>
      <c r="R16" s="685" t="s">
        <v>268</v>
      </c>
      <c r="S16" s="252"/>
      <c r="T16" s="16"/>
      <c r="U16" s="265" t="s">
        <v>92</v>
      </c>
      <c r="V16" s="208">
        <f>AVERAGE(C33:E33)</f>
        <v>1.2633074789315415</v>
      </c>
      <c r="W16" s="257"/>
      <c r="X16" s="265" t="s">
        <v>66</v>
      </c>
      <c r="Y16" s="290">
        <f>AE7</f>
        <v>0.14265976371092209</v>
      </c>
      <c r="Z16" s="257"/>
      <c r="AA16" s="265" t="s">
        <v>93</v>
      </c>
      <c r="AB16" s="292">
        <f>AB14/(5%*1+AB15)</f>
        <v>1.0714285714285714</v>
      </c>
      <c r="AC16" s="257"/>
      <c r="AD16" s="265" t="s">
        <v>94</v>
      </c>
      <c r="AE16" s="293">
        <v>0.28000000000000003</v>
      </c>
      <c r="AF16" s="287"/>
      <c r="AG16" s="16"/>
      <c r="AH16" s="16"/>
      <c r="AI16" s="254"/>
      <c r="AJ16" s="16"/>
      <c r="AK16" s="18"/>
      <c r="AL16" s="18"/>
      <c r="AM16" s="18"/>
      <c r="AN16" s="18"/>
      <c r="AO16" s="18"/>
      <c r="AP16" s="18"/>
      <c r="AQ16" s="18"/>
      <c r="AR16" s="18"/>
      <c r="AS16" s="18"/>
      <c r="AT16" s="18"/>
      <c r="AU16" s="18"/>
      <c r="AV16" s="18"/>
      <c r="AW16" s="18"/>
      <c r="AX16" s="18"/>
      <c r="AY16" s="18"/>
      <c r="AZ16" s="18"/>
    </row>
    <row r="17" spans="1:52" ht="15" customHeight="1" x14ac:dyDescent="0.3">
      <c r="A17" s="248"/>
      <c r="B17" s="632" t="str">
        <f>'Financials DF'!B47</f>
        <v>Income Before XO Items</v>
      </c>
      <c r="C17" s="262">
        <f>C15-C16</f>
        <v>1744.4986538409948</v>
      </c>
      <c r="D17" s="262">
        <f t="shared" ref="D17:J17" si="5">D15-D16</f>
        <v>1631.5144796599977</v>
      </c>
      <c r="E17" s="262">
        <f t="shared" si="5"/>
        <v>1381.7416723000001</v>
      </c>
      <c r="F17" s="633">
        <f t="shared" si="5"/>
        <v>1050</v>
      </c>
      <c r="G17" s="262">
        <f t="shared" si="5"/>
        <v>760</v>
      </c>
      <c r="H17" s="262">
        <f t="shared" si="5"/>
        <v>439</v>
      </c>
      <c r="I17" s="262">
        <f t="shared" si="5"/>
        <v>2478</v>
      </c>
      <c r="J17" s="262">
        <f t="shared" si="5"/>
        <v>1006</v>
      </c>
      <c r="K17" s="680"/>
      <c r="L17" s="650"/>
      <c r="M17" s="407"/>
      <c r="N17" s="407"/>
      <c r="O17" s="407"/>
      <c r="P17" s="376"/>
      <c r="Q17" s="376"/>
      <c r="R17" s="685"/>
      <c r="S17" s="252"/>
      <c r="T17" s="16"/>
      <c r="U17" s="280"/>
      <c r="V17" s="280"/>
      <c r="W17" s="254"/>
      <c r="X17" s="280"/>
      <c r="Y17" s="280"/>
      <c r="Z17" s="254"/>
      <c r="AA17" s="280"/>
      <c r="AB17" s="280"/>
      <c r="AC17" s="254"/>
      <c r="AD17" s="280"/>
      <c r="AE17" s="280"/>
      <c r="AF17" s="254"/>
      <c r="AG17" s="16"/>
      <c r="AH17" s="16"/>
      <c r="AI17" s="254"/>
      <c r="AJ17" s="16"/>
      <c r="AK17" s="18"/>
      <c r="AL17" s="18"/>
      <c r="AM17" s="18"/>
      <c r="AN17" s="18"/>
      <c r="AO17" s="18"/>
      <c r="AP17" s="18"/>
      <c r="AQ17" s="18"/>
      <c r="AR17" s="18"/>
      <c r="AS17" s="18"/>
      <c r="AT17" s="18"/>
      <c r="AU17" s="18"/>
      <c r="AV17" s="18"/>
      <c r="AW17" s="18"/>
      <c r="AX17" s="18"/>
      <c r="AY17" s="18"/>
      <c r="AZ17" s="18"/>
    </row>
    <row r="18" spans="1:52" ht="15" customHeight="1" x14ac:dyDescent="0.3">
      <c r="A18" s="248"/>
      <c r="B18" s="632" t="str">
        <f>'Financials DF'!B48</f>
        <v>Extraordinary Loss Net of Tax</v>
      </c>
      <c r="C18" s="262">
        <f>-O18*C17</f>
        <v>0</v>
      </c>
      <c r="D18" s="262">
        <f>-P18*D17</f>
        <v>0</v>
      </c>
      <c r="E18" s="262">
        <f>-O18*E17</f>
        <v>0</v>
      </c>
      <c r="F18" s="633" t="str">
        <f>'Financials DF'!C48</f>
        <v>NA</v>
      </c>
      <c r="G18" s="262" t="str">
        <f>'Financials DF'!D48</f>
        <v>NA</v>
      </c>
      <c r="H18" s="262" t="str">
        <f>'Financials DF'!E48</f>
        <v>NA</v>
      </c>
      <c r="I18" s="262" t="str">
        <f>'Financials DF'!F48</f>
        <v>NA</v>
      </c>
      <c r="J18" s="262">
        <f>'Financials DF'!G48</f>
        <v>-3738</v>
      </c>
      <c r="K18" s="680"/>
      <c r="L18" s="650"/>
      <c r="M18" s="370"/>
      <c r="N18" s="370"/>
      <c r="O18" s="370"/>
      <c r="P18" s="673"/>
      <c r="Q18" s="376"/>
      <c r="R18" s="685"/>
      <c r="S18" s="252"/>
      <c r="T18" s="16"/>
      <c r="U18" s="255" t="s">
        <v>95</v>
      </c>
      <c r="V18" s="256"/>
      <c r="W18" s="257"/>
      <c r="X18" s="255" t="s">
        <v>96</v>
      </c>
      <c r="Y18" s="256"/>
      <c r="Z18" s="257"/>
      <c r="AA18" s="284" t="s">
        <v>21</v>
      </c>
      <c r="AB18" s="256"/>
      <c r="AC18" s="257"/>
      <c r="AD18" s="286" t="s">
        <v>97</v>
      </c>
      <c r="AE18" s="256"/>
      <c r="AF18" s="287"/>
      <c r="AG18" s="16"/>
      <c r="AH18" s="16"/>
      <c r="AI18" s="254"/>
      <c r="AJ18" s="16"/>
      <c r="AK18" s="18"/>
      <c r="AL18" s="18"/>
      <c r="AM18" s="18"/>
      <c r="AN18" s="18"/>
      <c r="AO18" s="18"/>
      <c r="AP18" s="18"/>
      <c r="AQ18" s="18"/>
      <c r="AR18" s="18"/>
      <c r="AS18" s="18"/>
      <c r="AT18" s="18"/>
      <c r="AU18" s="18"/>
      <c r="AV18" s="18"/>
      <c r="AW18" s="18"/>
      <c r="AX18" s="18"/>
      <c r="AY18" s="18"/>
      <c r="AZ18" s="18"/>
    </row>
    <row r="19" spans="1:52" ht="15" customHeight="1" x14ac:dyDescent="0.3">
      <c r="A19" s="248"/>
      <c r="B19" s="632" t="str">
        <f>'Financials DF'!B49</f>
        <v>Minority Interests</v>
      </c>
      <c r="C19" s="262">
        <f>C17*M19</f>
        <v>0</v>
      </c>
      <c r="D19" s="262">
        <f>D17*N19</f>
        <v>0</v>
      </c>
      <c r="E19" s="262">
        <f>E17*O19</f>
        <v>0</v>
      </c>
      <c r="F19" s="633">
        <f>'Financials DF'!C49</f>
        <v>37</v>
      </c>
      <c r="G19" s="262">
        <f>'Financials DF'!D49</f>
        <v>-9</v>
      </c>
      <c r="H19" s="262">
        <f>'Financials DF'!E49</f>
        <v>-7</v>
      </c>
      <c r="I19" s="262">
        <f>'Financials DF'!F49</f>
        <v>31</v>
      </c>
      <c r="J19" s="262">
        <f>'Financials DF'!G49</f>
        <v>-196</v>
      </c>
      <c r="K19" s="680"/>
      <c r="L19" s="650"/>
      <c r="M19" s="370">
        <v>0</v>
      </c>
      <c r="N19" s="370">
        <v>0</v>
      </c>
      <c r="O19" s="370">
        <v>0</v>
      </c>
      <c r="P19" s="407">
        <f>F19/F17</f>
        <v>3.5238095238095235E-2</v>
      </c>
      <c r="Q19" s="407">
        <f>G19/G17</f>
        <v>-1.1842105263157895E-2</v>
      </c>
      <c r="R19" s="685" t="s">
        <v>269</v>
      </c>
      <c r="S19" s="252"/>
      <c r="T19" s="16"/>
      <c r="U19" s="258" t="str">
        <f>U14</f>
        <v>NTC SJ Equity</v>
      </c>
      <c r="V19" s="272">
        <f>V20+V21</f>
        <v>24742.124970066667</v>
      </c>
      <c r="W19" s="257"/>
      <c r="X19" s="258" t="str">
        <f>U14</f>
        <v>NTC SJ Equity</v>
      </c>
      <c r="Y19" s="294">
        <f>Y20+Y21</f>
        <v>21215.982110740661</v>
      </c>
      <c r="Z19" s="257"/>
      <c r="AA19" s="258" t="str">
        <f>U14</f>
        <v>NTC SJ Equity</v>
      </c>
      <c r="AB19" s="273">
        <f>IF(V21&lt;=0,AB20,(AB20*(V20/V19)+AB21*(V21/V19)))</f>
        <v>0.13383309123164119</v>
      </c>
      <c r="AC19" s="257"/>
      <c r="AD19" s="258" t="str">
        <f>U14</f>
        <v>NTC SJ Equity</v>
      </c>
      <c r="AE19" s="295">
        <f>AE20+AE21</f>
        <v>4499.8416447109967</v>
      </c>
      <c r="AF19" s="287"/>
      <c r="AG19" s="16"/>
      <c r="AH19" s="16"/>
      <c r="AI19" s="254"/>
      <c r="AJ19" s="16"/>
      <c r="AK19" s="18"/>
      <c r="AL19" s="18"/>
      <c r="AM19" s="18"/>
      <c r="AN19" s="18"/>
      <c r="AO19" s="18"/>
      <c r="AP19" s="18"/>
      <c r="AQ19" s="18"/>
      <c r="AR19" s="18"/>
      <c r="AS19" s="18"/>
      <c r="AT19" s="18"/>
      <c r="AU19" s="18"/>
      <c r="AV19" s="18"/>
      <c r="AW19" s="18"/>
      <c r="AX19" s="18"/>
      <c r="AY19" s="18"/>
      <c r="AZ19" s="18"/>
    </row>
    <row r="20" spans="1:52" ht="15" customHeight="1" x14ac:dyDescent="0.3">
      <c r="A20" s="248"/>
      <c r="B20" s="640" t="str">
        <f>'Financials DF'!B50</f>
        <v>Net profit (loss)</v>
      </c>
      <c r="C20" s="637">
        <f>C17-C19</f>
        <v>1744.4986538409948</v>
      </c>
      <c r="D20" s="637">
        <f>D17-D19</f>
        <v>1631.5144796599977</v>
      </c>
      <c r="E20" s="637">
        <f>E17-E19</f>
        <v>1381.7416723000001</v>
      </c>
      <c r="F20" s="639">
        <f>F17-F19</f>
        <v>1013</v>
      </c>
      <c r="G20" s="637" t="e">
        <f>G17-G18-G19</f>
        <v>#VALUE!</v>
      </c>
      <c r="H20" s="637" t="e">
        <f>H17-H18-H19</f>
        <v>#VALUE!</v>
      </c>
      <c r="I20" s="637" t="e">
        <f>I17-I18-I19</f>
        <v>#VALUE!</v>
      </c>
      <c r="J20" s="637">
        <f>J17-J18-J19</f>
        <v>4940</v>
      </c>
      <c r="K20" s="680"/>
      <c r="L20" s="650" t="s">
        <v>633</v>
      </c>
      <c r="M20" s="407">
        <f>C20/C6</f>
        <v>6.4064820968852992E-2</v>
      </c>
      <c r="N20" s="407">
        <f>D20/D6</f>
        <v>6.340651363290313E-2</v>
      </c>
      <c r="O20" s="407">
        <f>E20/E6</f>
        <v>5.7065377360633475E-2</v>
      </c>
      <c r="P20" s="407">
        <f>F20/F6</f>
        <v>4.6820114623775187E-2</v>
      </c>
      <c r="Q20" s="407" t="e">
        <f>G20/G6</f>
        <v>#VALUE!</v>
      </c>
      <c r="R20" s="685"/>
      <c r="S20" s="252"/>
      <c r="T20" s="16"/>
      <c r="U20" s="265" t="s">
        <v>293</v>
      </c>
      <c r="V20" s="277">
        <f>V59+AVERAGE(C50:E50)</f>
        <v>20575.419999999998</v>
      </c>
      <c r="W20" s="257"/>
      <c r="X20" s="265" t="s">
        <v>43</v>
      </c>
      <c r="Y20" s="296">
        <f>AVERAGE(C91:E91)-AVERAGE(C64:E64)</f>
        <v>21161.982110740661</v>
      </c>
      <c r="Z20" s="257"/>
      <c r="AA20" s="265" t="s">
        <v>336</v>
      </c>
      <c r="AB20" s="297">
        <f>AB14</f>
        <v>0.15</v>
      </c>
      <c r="AC20" s="257"/>
      <c r="AD20" s="265" t="s">
        <v>91</v>
      </c>
      <c r="AE20" s="298">
        <f>AVERAGE(C11:E11)</f>
        <v>3168.8356206966632</v>
      </c>
      <c r="AF20" s="287"/>
      <c r="AG20" s="16"/>
      <c r="AH20" s="16"/>
      <c r="AI20" s="254"/>
      <c r="AJ20" s="16"/>
      <c r="AK20" s="18"/>
      <c r="AL20" s="18"/>
      <c r="AM20" s="18"/>
      <c r="AN20" s="18"/>
      <c r="AO20" s="18"/>
      <c r="AP20" s="18"/>
      <c r="AQ20" s="18"/>
      <c r="AR20" s="18"/>
      <c r="AS20" s="18"/>
      <c r="AT20" s="18"/>
      <c r="AU20" s="18"/>
      <c r="AV20" s="18"/>
      <c r="AW20" s="18"/>
      <c r="AX20" s="18"/>
      <c r="AY20" s="18"/>
      <c r="AZ20" s="18"/>
    </row>
    <row r="21" spans="1:52" ht="15" customHeight="1" x14ac:dyDescent="0.3">
      <c r="A21" s="248"/>
      <c r="B21" s="635" t="str">
        <f>'Financials DF'!B51</f>
        <v>Total Cash Preferred Dividends</v>
      </c>
      <c r="C21" s="629">
        <f>M21*C49</f>
        <v>0</v>
      </c>
      <c r="D21" s="629">
        <f>N21*D49</f>
        <v>0</v>
      </c>
      <c r="E21" s="629">
        <f>O21*E49</f>
        <v>0</v>
      </c>
      <c r="F21" s="639">
        <f>'Financials DF'!C51</f>
        <v>38</v>
      </c>
      <c r="G21" s="637">
        <f>'Financials DF'!D51</f>
        <v>39</v>
      </c>
      <c r="H21" s="637">
        <f>'Financials DF'!E51</f>
        <v>54</v>
      </c>
      <c r="I21" s="637">
        <f>'Financials DF'!F51</f>
        <v>54</v>
      </c>
      <c r="J21" s="637">
        <f>'Financials DF'!G51</f>
        <v>55</v>
      </c>
      <c r="K21" s="680"/>
      <c r="L21" s="650"/>
      <c r="M21" s="370">
        <v>0</v>
      </c>
      <c r="N21" s="370">
        <v>0</v>
      </c>
      <c r="O21" s="370">
        <v>0</v>
      </c>
      <c r="P21" s="674">
        <f>F21/G49</f>
        <v>5.9006211180124224E-2</v>
      </c>
      <c r="Q21" s="674">
        <f>G21/H49</f>
        <v>6.0559006211180127E-2</v>
      </c>
      <c r="R21" s="685" t="s">
        <v>270</v>
      </c>
      <c r="S21" s="252"/>
      <c r="T21" s="16"/>
      <c r="U21" s="265" t="s">
        <v>98</v>
      </c>
      <c r="V21" s="299">
        <f>AVERAGE(C54:E54)+AVERAGE(C60:E60)-AVERAGE(C85:E85)</f>
        <v>4166.7049700666666</v>
      </c>
      <c r="W21" s="257"/>
      <c r="X21" s="265" t="s">
        <v>15</v>
      </c>
      <c r="Y21" s="300">
        <f>AVERAGE(C50:E50)</f>
        <v>54</v>
      </c>
      <c r="Z21" s="257"/>
      <c r="AA21" s="265" t="s">
        <v>337</v>
      </c>
      <c r="AB21" s="301">
        <f>O12*(1-AE16)</f>
        <v>5.3999999999999999E-2</v>
      </c>
      <c r="AC21" s="257"/>
      <c r="AD21" s="265" t="s">
        <v>12</v>
      </c>
      <c r="AE21" s="302">
        <f>AVERAGE(C104:E104)</f>
        <v>1331.0060240143332</v>
      </c>
      <c r="AF21" s="287"/>
      <c r="AG21" s="16"/>
      <c r="AH21" s="16"/>
      <c r="AI21" s="254"/>
      <c r="AJ21" s="16"/>
      <c r="AK21" s="18"/>
      <c r="AL21" s="18"/>
      <c r="AM21" s="18"/>
      <c r="AN21" s="18"/>
      <c r="AO21" s="18"/>
      <c r="AP21" s="18"/>
      <c r="AQ21" s="18"/>
      <c r="AR21" s="18"/>
      <c r="AS21" s="18"/>
      <c r="AT21" s="18"/>
      <c r="AU21" s="18"/>
      <c r="AV21" s="18"/>
      <c r="AW21" s="18"/>
      <c r="AX21" s="18"/>
      <c r="AY21" s="18"/>
      <c r="AZ21" s="18"/>
    </row>
    <row r="22" spans="1:52" ht="15" customHeight="1" x14ac:dyDescent="0.3">
      <c r="A22" s="248"/>
      <c r="B22" s="632" t="str">
        <f>'Financials DF'!B52</f>
        <v>Net Inc Avail to Common Shareholders</v>
      </c>
      <c r="C22" s="262">
        <f>C20-C21</f>
        <v>1744.4986538409948</v>
      </c>
      <c r="D22" s="262">
        <f>D20-D21</f>
        <v>1631.5144796599977</v>
      </c>
      <c r="E22" s="262">
        <f>E20-E21</f>
        <v>1381.7416723000001</v>
      </c>
      <c r="F22" s="633">
        <f>'Financials DF'!C52</f>
        <v>975</v>
      </c>
      <c r="G22" s="262">
        <f>'Financials DF'!D52</f>
        <v>730</v>
      </c>
      <c r="H22" s="262">
        <f>'Financials DF'!E52</f>
        <v>392</v>
      </c>
      <c r="I22" s="262">
        <f>'Financials DF'!F52</f>
        <v>2393</v>
      </c>
      <c r="J22" s="262">
        <f>'Financials DF'!G52</f>
        <v>4885</v>
      </c>
      <c r="K22" s="680"/>
      <c r="L22" s="650"/>
      <c r="M22" s="673">
        <f>C22/C20</f>
        <v>1</v>
      </c>
      <c r="N22" s="673">
        <f>D22/D20</f>
        <v>1</v>
      </c>
      <c r="O22" s="673">
        <f>E22/E20</f>
        <v>1</v>
      </c>
      <c r="P22" s="673">
        <f>F22/F20</f>
        <v>0.96248766041461009</v>
      </c>
      <c r="Q22" s="673" t="e">
        <f>G22/G20</f>
        <v>#VALUE!</v>
      </c>
      <c r="R22" s="685" t="s">
        <v>271</v>
      </c>
      <c r="S22" s="252"/>
      <c r="T22" s="16"/>
      <c r="U22" s="280"/>
      <c r="V22" s="280"/>
      <c r="W22" s="254"/>
      <c r="X22" s="280"/>
      <c r="Y22" s="280"/>
      <c r="Z22" s="254"/>
      <c r="AA22" s="280"/>
      <c r="AB22" s="280"/>
      <c r="AC22" s="254"/>
      <c r="AD22" s="280"/>
      <c r="AE22" s="280"/>
      <c r="AF22" s="254"/>
      <c r="AG22" s="16"/>
      <c r="AH22" s="16"/>
      <c r="AI22" s="254"/>
      <c r="AJ22" s="16"/>
      <c r="AK22" s="18"/>
      <c r="AL22" s="18"/>
      <c r="AM22" s="18"/>
      <c r="AN22" s="18"/>
      <c r="AO22" s="18"/>
      <c r="AP22" s="18"/>
      <c r="AQ22" s="18"/>
      <c r="AR22" s="18"/>
      <c r="AS22" s="18"/>
      <c r="AT22" s="18"/>
      <c r="AU22" s="18"/>
      <c r="AV22" s="18"/>
      <c r="AW22" s="18"/>
      <c r="AX22" s="18"/>
      <c r="AY22" s="18"/>
      <c r="AZ22" s="18"/>
    </row>
    <row r="23" spans="1:52" ht="15" customHeight="1" x14ac:dyDescent="0.3">
      <c r="A23" s="248"/>
      <c r="B23" s="632" t="str">
        <f>'Financials DF'!B53</f>
        <v>Abnormal Losses (Gains)</v>
      </c>
      <c r="C23" s="303">
        <f>M23*C20</f>
        <v>0</v>
      </c>
      <c r="D23" s="303">
        <f>N23*D20</f>
        <v>0</v>
      </c>
      <c r="E23" s="303">
        <f>O23*E20</f>
        <v>0</v>
      </c>
      <c r="F23" s="633">
        <f>'Financials DF'!C53</f>
        <v>274</v>
      </c>
      <c r="G23" s="262">
        <f>'Financials DF'!D53</f>
        <v>272</v>
      </c>
      <c r="H23" s="262">
        <f>'Financials DF'!E53</f>
        <v>-195</v>
      </c>
      <c r="I23" s="262">
        <f>'Financials DF'!F53</f>
        <v>39</v>
      </c>
      <c r="J23" s="262">
        <f>'Financials DF'!G53</f>
        <v>237</v>
      </c>
      <c r="K23" s="680"/>
      <c r="L23" s="650"/>
      <c r="M23" s="370">
        <v>0</v>
      </c>
      <c r="N23" s="370">
        <v>0</v>
      </c>
      <c r="O23" s="370">
        <v>0</v>
      </c>
      <c r="P23" s="407">
        <f>F23/F20</f>
        <v>0.2704837117472853</v>
      </c>
      <c r="Q23" s="407" t="e">
        <f>G23/G20</f>
        <v>#VALUE!</v>
      </c>
      <c r="R23" s="685" t="s">
        <v>272</v>
      </c>
      <c r="S23" s="252"/>
      <c r="T23" s="16"/>
      <c r="U23" s="16"/>
      <c r="V23" s="16"/>
      <c r="W23" s="254"/>
      <c r="X23" s="16"/>
      <c r="Y23" s="16"/>
      <c r="Z23" s="254"/>
      <c r="AA23" s="16"/>
      <c r="AB23" s="16"/>
      <c r="AC23" s="254"/>
      <c r="AD23" s="16"/>
      <c r="AE23" s="16"/>
      <c r="AF23" s="254"/>
      <c r="AG23" s="16"/>
      <c r="AH23" s="16"/>
      <c r="AI23" s="254"/>
      <c r="AJ23" s="16"/>
      <c r="AK23" s="18"/>
      <c r="AL23" s="18"/>
      <c r="AM23" s="18"/>
      <c r="AN23" s="18"/>
      <c r="AO23" s="18"/>
      <c r="AP23" s="18"/>
      <c r="AQ23" s="18"/>
      <c r="AR23" s="18"/>
      <c r="AS23" s="18"/>
      <c r="AT23" s="18"/>
      <c r="AU23" s="18"/>
      <c r="AV23" s="18"/>
      <c r="AW23" s="18"/>
      <c r="AX23" s="18"/>
      <c r="AY23" s="18"/>
      <c r="AZ23" s="18"/>
    </row>
    <row r="24" spans="1:52" ht="15" customHeight="1" x14ac:dyDescent="0.3">
      <c r="A24" s="248"/>
      <c r="B24" s="632" t="str">
        <f>'Financials DF'!B54</f>
        <v>Tax Effect on Abnormal Items</v>
      </c>
      <c r="C24" s="303">
        <f>C23*M24</f>
        <v>0</v>
      </c>
      <c r="D24" s="303">
        <f>D23*N24</f>
        <v>0</v>
      </c>
      <c r="E24" s="303">
        <f>E23*O24</f>
        <v>0</v>
      </c>
      <c r="F24" s="633">
        <f>'Financials DF'!C54</f>
        <v>-276</v>
      </c>
      <c r="G24" s="262">
        <f>'Financials DF'!D54</f>
        <v>-33.909999999999997</v>
      </c>
      <c r="H24" s="262">
        <f>'Financials DF'!E54</f>
        <v>157.78</v>
      </c>
      <c r="I24" s="262">
        <f>'Financials DF'!F54</f>
        <v>6</v>
      </c>
      <c r="J24" s="262">
        <f>'Financials DF'!G54</f>
        <v>-74</v>
      </c>
      <c r="K24" s="680"/>
      <c r="L24" s="650"/>
      <c r="M24" s="370">
        <v>0</v>
      </c>
      <c r="N24" s="370">
        <v>0</v>
      </c>
      <c r="O24" s="370">
        <v>0</v>
      </c>
      <c r="P24" s="376">
        <f>G24/G23</f>
        <v>-0.12466911764705881</v>
      </c>
      <c r="Q24" s="376">
        <f>H24/H23</f>
        <v>-0.80912820512820516</v>
      </c>
      <c r="R24" s="685"/>
      <c r="S24" s="252"/>
      <c r="T24" s="16"/>
      <c r="U24" s="255" t="s">
        <v>99</v>
      </c>
      <c r="V24" s="256"/>
      <c r="W24" s="257"/>
      <c r="X24" s="284" t="s">
        <v>100</v>
      </c>
      <c r="Y24" s="256"/>
      <c r="Z24" s="257"/>
      <c r="AA24" s="284" t="s">
        <v>127</v>
      </c>
      <c r="AB24" s="256"/>
      <c r="AC24" s="257"/>
      <c r="AD24" s="286" t="s">
        <v>86</v>
      </c>
      <c r="AE24" s="259" t="s">
        <v>101</v>
      </c>
      <c r="AF24" s="287"/>
      <c r="AG24" s="304" t="s">
        <v>310</v>
      </c>
      <c r="AH24" s="305"/>
      <c r="AI24" s="305"/>
      <c r="AJ24" s="304" t="s">
        <v>311</v>
      </c>
      <c r="AK24" s="18"/>
      <c r="AL24" s="18"/>
      <c r="AM24" s="18"/>
      <c r="AN24" s="18"/>
      <c r="AO24" s="18"/>
      <c r="AP24" s="18"/>
      <c r="AQ24" s="18"/>
      <c r="AR24" s="18"/>
      <c r="AS24" s="18"/>
      <c r="AT24" s="18"/>
      <c r="AU24" s="18"/>
      <c r="AV24" s="18"/>
      <c r="AW24" s="18"/>
      <c r="AX24" s="18"/>
      <c r="AY24" s="18"/>
      <c r="AZ24" s="18"/>
    </row>
    <row r="25" spans="1:52" ht="15" customHeight="1" x14ac:dyDescent="0.3">
      <c r="A25" s="248"/>
      <c r="B25" s="632" t="str">
        <f>'Financials DF'!B55</f>
        <v>Normalized Income</v>
      </c>
      <c r="C25" s="303">
        <f>C22+C23+C24</f>
        <v>1744.4986538409948</v>
      </c>
      <c r="D25" s="303">
        <f>D22+D23+D24</f>
        <v>1631.5144796599977</v>
      </c>
      <c r="E25" s="303">
        <f>E22+E23+E24</f>
        <v>1381.7416723000001</v>
      </c>
      <c r="F25" s="633">
        <f>'Financials DF'!C55</f>
        <v>973</v>
      </c>
      <c r="G25" s="262">
        <f>'Financials DF'!D55</f>
        <v>968.09</v>
      </c>
      <c r="H25" s="262">
        <f>'Financials DF'!E55</f>
        <v>354.78</v>
      </c>
      <c r="I25" s="262">
        <f>'Financials DF'!F55</f>
        <v>2438</v>
      </c>
      <c r="J25" s="262">
        <f>'Financials DF'!G55</f>
        <v>1310</v>
      </c>
      <c r="K25" s="680"/>
      <c r="L25" s="650"/>
      <c r="M25" s="619"/>
      <c r="N25" s="619"/>
      <c r="O25" s="619"/>
      <c r="P25" s="673"/>
      <c r="Q25" s="376"/>
      <c r="R25" s="685"/>
      <c r="S25" s="252"/>
      <c r="T25" s="16"/>
      <c r="U25" s="258" t="str">
        <f>U19</f>
        <v>NTC SJ Equity</v>
      </c>
      <c r="V25" s="345">
        <f>V26/V27</f>
        <v>0.10753976106279563</v>
      </c>
      <c r="W25" s="308"/>
      <c r="X25" s="258" t="str">
        <f>U19</f>
        <v>NTC SJ Equity</v>
      </c>
      <c r="Y25" s="288"/>
      <c r="Z25" s="257"/>
      <c r="AA25" s="258" t="str">
        <f>X25</f>
        <v>NTC SJ Equity</v>
      </c>
      <c r="AB25" s="307">
        <f>AB26*AB27</f>
        <v>0.125</v>
      </c>
      <c r="AC25" s="257"/>
      <c r="AD25" s="258" t="str">
        <f>AA25</f>
        <v>NTC SJ Equity</v>
      </c>
      <c r="AE25" s="273">
        <f>AE26+(5%*AE27)</f>
        <v>0.14357142857142857</v>
      </c>
      <c r="AF25" s="287"/>
      <c r="AG25" s="286" t="s">
        <v>66</v>
      </c>
      <c r="AH25" s="309"/>
      <c r="AI25" s="310">
        <f>AE7</f>
        <v>0.14265976371092209</v>
      </c>
      <c r="AJ25" s="311"/>
      <c r="AK25" s="18"/>
      <c r="AL25" s="18"/>
      <c r="AM25" s="18"/>
      <c r="AN25" s="18"/>
      <c r="AO25" s="18"/>
      <c r="AP25" s="18"/>
      <c r="AQ25" s="18"/>
      <c r="AR25" s="18"/>
      <c r="AS25" s="18"/>
      <c r="AT25" s="18"/>
      <c r="AU25" s="18"/>
      <c r="AV25" s="18"/>
      <c r="AW25" s="18"/>
      <c r="AX25" s="18"/>
      <c r="AY25" s="18"/>
      <c r="AZ25" s="18"/>
    </row>
    <row r="26" spans="1:52" ht="15" customHeight="1" x14ac:dyDescent="0.3">
      <c r="A26" s="248"/>
      <c r="B26" s="632" t="str">
        <f>'Financials DF'!B56</f>
        <v>Basic EPS Before Abnormal Items</v>
      </c>
      <c r="C26" s="312">
        <f>C22/C29</f>
        <v>1.3038106530949138</v>
      </c>
      <c r="D26" s="312">
        <f>D22/D29</f>
        <v>1.2193680714947666</v>
      </c>
      <c r="E26" s="312">
        <f>E22/E29</f>
        <v>1.0326918328101644</v>
      </c>
      <c r="F26" s="642">
        <f>'Financials DF'!C56</f>
        <v>0.72199999999999998</v>
      </c>
      <c r="G26" s="621">
        <f>'Financials DF'!D56</f>
        <v>0.72399999999999998</v>
      </c>
      <c r="H26" s="621">
        <f>'Financials DF'!E56</f>
        <v>0.255</v>
      </c>
      <c r="I26" s="621">
        <f>'Financials DF'!F56</f>
        <v>1.8129999999999999</v>
      </c>
      <c r="J26" s="621">
        <f>'Financials DF'!G56</f>
        <v>0.96199999999999997</v>
      </c>
      <c r="K26" s="680"/>
      <c r="L26" s="650"/>
      <c r="M26" s="675"/>
      <c r="N26" s="675"/>
      <c r="O26" s="675"/>
      <c r="P26" s="376"/>
      <c r="Q26" s="376"/>
      <c r="R26" s="685"/>
      <c r="S26" s="252"/>
      <c r="T26" s="16"/>
      <c r="U26" s="265" t="s">
        <v>88</v>
      </c>
      <c r="V26" s="276">
        <f>AE14</f>
        <v>2281.5616469015972</v>
      </c>
      <c r="W26" s="257"/>
      <c r="X26" s="265" t="s">
        <v>102</v>
      </c>
      <c r="Y26" s="293">
        <v>0.15</v>
      </c>
      <c r="Z26" s="257"/>
      <c r="AA26" s="265" t="s">
        <v>103</v>
      </c>
      <c r="AB26" s="313">
        <v>0.5</v>
      </c>
      <c r="AC26" s="257"/>
      <c r="AD26" s="265" t="s">
        <v>90</v>
      </c>
      <c r="AE26" s="297">
        <f>AB15</f>
        <v>0.09</v>
      </c>
      <c r="AF26" s="287"/>
      <c r="AG26" s="314" t="s">
        <v>312</v>
      </c>
      <c r="AH26" s="199"/>
      <c r="AI26" s="315">
        <f>O39</f>
        <v>0.55000000000000004</v>
      </c>
      <c r="AJ26" s="316" t="s">
        <v>139</v>
      </c>
      <c r="AK26" s="18"/>
      <c r="AL26" s="18"/>
      <c r="AM26" s="18"/>
      <c r="AN26" s="18"/>
      <c r="AO26" s="18"/>
      <c r="AP26" s="18"/>
      <c r="AQ26" s="18"/>
      <c r="AR26" s="18"/>
      <c r="AS26" s="18"/>
      <c r="AT26" s="18"/>
      <c r="AU26" s="18"/>
      <c r="AV26" s="18"/>
      <c r="AW26" s="18"/>
      <c r="AX26" s="18"/>
      <c r="AY26" s="18"/>
      <c r="AZ26" s="18"/>
    </row>
    <row r="27" spans="1:52" ht="15" customHeight="1" x14ac:dyDescent="0.3">
      <c r="A27" s="248"/>
      <c r="B27" s="632" t="str">
        <f>'Financials DF'!B57</f>
        <v>Basic EPS Before XO Items</v>
      </c>
      <c r="C27" s="312">
        <f>C25/C29</f>
        <v>1.3038106530949138</v>
      </c>
      <c r="D27" s="312">
        <f>D25/D29</f>
        <v>1.2193680714947666</v>
      </c>
      <c r="E27" s="312">
        <f>E25/E29</f>
        <v>1.0326918328101644</v>
      </c>
      <c r="F27" s="642">
        <f>'Financials DF'!C57</f>
        <v>0.72299999999999998</v>
      </c>
      <c r="G27" s="621">
        <f>'Financials DF'!D57</f>
        <v>0.54600000000000004</v>
      </c>
      <c r="H27" s="621">
        <f>'Financials DF'!E57</f>
        <v>0.28299999999999997</v>
      </c>
      <c r="I27" s="621">
        <f>'Financials DF'!F57</f>
        <v>1.7669999999999999</v>
      </c>
      <c r="J27" s="621">
        <f>'Financials DF'!G57</f>
        <v>0.84199999999999997</v>
      </c>
      <c r="K27" s="680"/>
      <c r="L27" s="650"/>
      <c r="M27" s="407">
        <f>C27/D27-1</f>
        <v>6.9251101102420165E-2</v>
      </c>
      <c r="N27" s="407">
        <f>D27/E27-1</f>
        <v>0.1807666457249093</v>
      </c>
      <c r="O27" s="407">
        <f>E27/F27-1</f>
        <v>0.42834278396979864</v>
      </c>
      <c r="P27" s="407">
        <f>F27/G27-1</f>
        <v>0.32417582417582413</v>
      </c>
      <c r="Q27" s="407">
        <f>G27/H27-1</f>
        <v>0.92932862190812759</v>
      </c>
      <c r="R27" s="685" t="s">
        <v>265</v>
      </c>
      <c r="S27" s="252"/>
      <c r="T27" s="16"/>
      <c r="U27" s="265" t="s">
        <v>96</v>
      </c>
      <c r="V27" s="276">
        <f>Y19</f>
        <v>21215.982110740661</v>
      </c>
      <c r="W27" s="257"/>
      <c r="X27" s="265" t="s">
        <v>104</v>
      </c>
      <c r="Y27" s="293">
        <v>0.08</v>
      </c>
      <c r="Z27" s="257"/>
      <c r="AA27" s="265" t="s">
        <v>126</v>
      </c>
      <c r="AB27" s="313">
        <v>0.25</v>
      </c>
      <c r="AC27" s="257"/>
      <c r="AD27" s="265" t="s">
        <v>93</v>
      </c>
      <c r="AE27" s="317">
        <f>AB16</f>
        <v>1.0714285714285714</v>
      </c>
      <c r="AF27" s="287"/>
      <c r="AG27" s="318" t="s">
        <v>313</v>
      </c>
      <c r="AH27" s="182"/>
      <c r="AI27" s="315">
        <f>Y13</f>
        <v>0.06</v>
      </c>
      <c r="AJ27" s="319">
        <f>AI30</f>
        <v>6.36</v>
      </c>
      <c r="AK27" s="18"/>
      <c r="AL27" s="18"/>
      <c r="AM27" s="18"/>
      <c r="AN27" s="18"/>
      <c r="AO27" s="18"/>
      <c r="AP27" s="18"/>
      <c r="AQ27" s="18"/>
      <c r="AR27" s="18"/>
      <c r="AS27" s="18"/>
      <c r="AT27" s="18"/>
      <c r="AU27" s="18"/>
      <c r="AV27" s="18"/>
      <c r="AW27" s="18"/>
      <c r="AX27" s="18"/>
      <c r="AY27" s="18"/>
      <c r="AZ27" s="18"/>
    </row>
    <row r="28" spans="1:52" ht="15" customHeight="1" x14ac:dyDescent="0.3">
      <c r="A28" s="248"/>
      <c r="B28" s="632" t="str">
        <f>'Financials DF'!B58</f>
        <v>Basic EPS</v>
      </c>
      <c r="C28" s="312">
        <f>C27</f>
        <v>1.3038106530949138</v>
      </c>
      <c r="D28" s="312">
        <f>D27</f>
        <v>1.2193680714947666</v>
      </c>
      <c r="E28" s="312">
        <f>E27</f>
        <v>1.0326918328101644</v>
      </c>
      <c r="F28" s="642">
        <f>'Financials DF'!C58</f>
        <v>0.72299999999999998</v>
      </c>
      <c r="G28" s="621">
        <f>'Financials DF'!D58</f>
        <v>0.54600000000000004</v>
      </c>
      <c r="H28" s="621">
        <f>'Financials DF'!E58</f>
        <v>0.28299999999999997</v>
      </c>
      <c r="I28" s="621">
        <f>'Financials DF'!F58</f>
        <v>1.7669999999999999</v>
      </c>
      <c r="J28" s="621">
        <f>'Financials DF'!G58</f>
        <v>3.577</v>
      </c>
      <c r="K28" s="680"/>
      <c r="L28" s="650"/>
      <c r="M28" s="675"/>
      <c r="N28" s="675"/>
      <c r="O28" s="675"/>
      <c r="P28" s="376"/>
      <c r="Q28" s="376"/>
      <c r="R28" s="685"/>
      <c r="S28" s="252"/>
      <c r="T28" s="16"/>
      <c r="U28" s="258"/>
      <c r="V28" s="288"/>
      <c r="W28" s="257"/>
      <c r="X28" s="258"/>
      <c r="Y28" s="288"/>
      <c r="Z28" s="257"/>
      <c r="AA28" s="258"/>
      <c r="AB28" s="307"/>
      <c r="AC28" s="257"/>
      <c r="AD28" s="258"/>
      <c r="AE28" s="273"/>
      <c r="AF28" s="287"/>
      <c r="AG28" s="318" t="s">
        <v>314</v>
      </c>
      <c r="AH28" s="182"/>
      <c r="AI28" s="315">
        <f>AB14</f>
        <v>0.15</v>
      </c>
      <c r="AJ28" s="318"/>
      <c r="AK28" s="18"/>
      <c r="AL28" s="18"/>
      <c r="AM28" s="18"/>
      <c r="AN28" s="18"/>
      <c r="AO28" s="18"/>
      <c r="AP28" s="18"/>
      <c r="AQ28" s="18"/>
      <c r="AR28" s="18"/>
      <c r="AS28" s="18"/>
      <c r="AT28" s="18"/>
      <c r="AU28" s="18"/>
      <c r="AV28" s="18"/>
      <c r="AW28" s="18"/>
      <c r="AX28" s="18"/>
      <c r="AY28" s="18"/>
      <c r="AZ28" s="18"/>
    </row>
    <row r="29" spans="1:52" ht="15" customHeight="1" x14ac:dyDescent="0.3">
      <c r="A29" s="248"/>
      <c r="B29" s="632" t="str">
        <f>'Financials DF'!B59</f>
        <v>Diluted Weighted Avg Shares</v>
      </c>
      <c r="C29" s="320">
        <f>D29*(1+M29)</f>
        <v>1338</v>
      </c>
      <c r="D29" s="320">
        <f>E29*(1+N29)</f>
        <v>1338</v>
      </c>
      <c r="E29" s="320">
        <f>F29*(1+O29)</f>
        <v>1338</v>
      </c>
      <c r="F29" s="633">
        <f>'Financials DF'!C59</f>
        <v>1338</v>
      </c>
      <c r="G29" s="262">
        <f>'Financials DF'!D59</f>
        <v>1336.9960000000001</v>
      </c>
      <c r="H29" s="262">
        <f>'Financials DF'!E59</f>
        <v>1336</v>
      </c>
      <c r="I29" s="262">
        <f>'Financials DF'!F59</f>
        <v>1345</v>
      </c>
      <c r="J29" s="262">
        <f>'Financials DF'!G59</f>
        <v>1362</v>
      </c>
      <c r="K29" s="680"/>
      <c r="L29" s="650"/>
      <c r="M29" s="370">
        <v>0</v>
      </c>
      <c r="N29" s="370">
        <v>0</v>
      </c>
      <c r="O29" s="370">
        <v>0</v>
      </c>
      <c r="P29" s="407">
        <f>F29/G29-1</f>
        <v>7.509371755787253E-4</v>
      </c>
      <c r="Q29" s="407">
        <f>G29/H29-1</f>
        <v>7.4550898203606941E-4</v>
      </c>
      <c r="R29" s="685" t="s">
        <v>273</v>
      </c>
      <c r="S29" s="252"/>
      <c r="T29" s="16"/>
      <c r="U29" s="280"/>
      <c r="V29" s="280"/>
      <c r="W29" s="254"/>
      <c r="X29" s="280"/>
      <c r="Y29" s="280"/>
      <c r="Z29" s="254"/>
      <c r="AA29" s="280"/>
      <c r="AB29" s="280"/>
      <c r="AC29" s="254"/>
      <c r="AD29" s="280"/>
      <c r="AE29" s="280"/>
      <c r="AF29" s="254"/>
      <c r="AG29" s="318" t="s">
        <v>315</v>
      </c>
      <c r="AH29" s="182"/>
      <c r="AI29" s="321">
        <f>F39</f>
        <v>0.54</v>
      </c>
      <c r="AJ29" s="304" t="s">
        <v>84</v>
      </c>
      <c r="AK29" s="18"/>
      <c r="AL29" s="18"/>
      <c r="AM29" s="18"/>
      <c r="AN29" s="18"/>
      <c r="AO29" s="18"/>
      <c r="AP29" s="18"/>
      <c r="AQ29" s="18"/>
      <c r="AR29" s="18"/>
      <c r="AS29" s="18"/>
      <c r="AT29" s="18"/>
      <c r="AU29" s="18"/>
      <c r="AV29" s="18"/>
      <c r="AW29" s="18"/>
      <c r="AX29" s="18"/>
      <c r="AY29" s="18"/>
      <c r="AZ29" s="18"/>
    </row>
    <row r="30" spans="1:52" ht="15" customHeight="1" x14ac:dyDescent="0.3">
      <c r="A30" s="248"/>
      <c r="B30" s="632" t="str">
        <f>'Financials DF'!B60</f>
        <v>Diluted EPS Before Abnormal Items</v>
      </c>
      <c r="C30" s="312">
        <f>C22/C32</f>
        <v>1.4354716134083205</v>
      </c>
      <c r="D30" s="312">
        <f>D22/D32</f>
        <v>1.2939683957819277</v>
      </c>
      <c r="E30" s="312">
        <f>E22/E32</f>
        <v>1.0604824276043765</v>
      </c>
      <c r="F30" s="643">
        <f>'Financials DF'!C60</f>
        <v>0.71599999999999997</v>
      </c>
      <c r="G30" s="622">
        <f>'Financials DF'!D60</f>
        <v>0.72</v>
      </c>
      <c r="H30" s="622">
        <f>'Financials DF'!E60</f>
        <v>0.255</v>
      </c>
      <c r="I30" s="622">
        <f>'Financials DF'!F60</f>
        <v>1.7829999999999999</v>
      </c>
      <c r="J30" s="622">
        <f>'Financials DF'!G60</f>
        <v>0.94199999999999995</v>
      </c>
      <c r="K30" s="680"/>
      <c r="L30" s="650"/>
      <c r="M30" s="675"/>
      <c r="N30" s="675"/>
      <c r="O30" s="675"/>
      <c r="P30" s="376"/>
      <c r="Q30" s="376"/>
      <c r="R30" s="685"/>
      <c r="S30" s="252"/>
      <c r="T30" s="16"/>
      <c r="U30" s="16"/>
      <c r="V30" s="16"/>
      <c r="W30" s="254"/>
      <c r="X30" s="16"/>
      <c r="Y30" s="16"/>
      <c r="Z30" s="254"/>
      <c r="AA30" s="16"/>
      <c r="AB30" s="16"/>
      <c r="AC30" s="254"/>
      <c r="AD30" s="16"/>
      <c r="AE30" s="16"/>
      <c r="AF30" s="254"/>
      <c r="AG30" s="314" t="s">
        <v>139</v>
      </c>
      <c r="AH30" s="199"/>
      <c r="AI30" s="317">
        <f>AI29*(1+AI27)/(AI28-AI27)</f>
        <v>6.36</v>
      </c>
      <c r="AJ30" s="314">
        <f>AI30/V58-1</f>
        <v>-0.5539971949509116</v>
      </c>
      <c r="AK30" s="18"/>
      <c r="AL30" s="18"/>
      <c r="AM30" s="18"/>
      <c r="AN30" s="18"/>
      <c r="AO30" s="18"/>
      <c r="AP30" s="18"/>
      <c r="AQ30" s="18"/>
      <c r="AR30" s="18"/>
      <c r="AS30" s="18"/>
      <c r="AT30" s="18"/>
      <c r="AU30" s="18"/>
      <c r="AV30" s="18"/>
      <c r="AW30" s="18"/>
      <c r="AX30" s="18"/>
      <c r="AY30" s="18"/>
      <c r="AZ30" s="18"/>
    </row>
    <row r="31" spans="1:52" ht="15" customHeight="1" x14ac:dyDescent="0.3">
      <c r="A31" s="248"/>
      <c r="B31" s="632" t="str">
        <f>'Financials DF'!B61</f>
        <v>Diluted EPS</v>
      </c>
      <c r="C31" s="312">
        <f>C25/C32</f>
        <v>1.4354716134083205</v>
      </c>
      <c r="D31" s="312">
        <f>D25/D32</f>
        <v>1.2939683957819277</v>
      </c>
      <c r="E31" s="312">
        <f>E25/E32</f>
        <v>1.0604824276043765</v>
      </c>
      <c r="F31" s="643">
        <f>'Financials DF'!C61</f>
        <v>0.71699999999999997</v>
      </c>
      <c r="G31" s="622">
        <f>'Financials DF'!D61</f>
        <v>0.54300000000000004</v>
      </c>
      <c r="H31" s="622">
        <f>'Financials DF'!E61</f>
        <v>0.28100000000000003</v>
      </c>
      <c r="I31" s="622">
        <f>'Financials DF'!F61</f>
        <v>1.75</v>
      </c>
      <c r="J31" s="622">
        <f>'Financials DF'!G61</f>
        <v>3.536</v>
      </c>
      <c r="K31" s="680"/>
      <c r="L31" s="650"/>
      <c r="M31" s="675"/>
      <c r="N31" s="675"/>
      <c r="O31" s="675"/>
      <c r="P31" s="376"/>
      <c r="Q31" s="376"/>
      <c r="R31" s="685"/>
      <c r="S31" s="252"/>
      <c r="T31" s="16"/>
      <c r="U31" s="16"/>
      <c r="V31" s="16"/>
      <c r="W31" s="254"/>
      <c r="X31" s="16"/>
      <c r="Y31" s="16"/>
      <c r="Z31" s="254"/>
      <c r="AA31" s="16"/>
      <c r="AB31" s="16"/>
      <c r="AC31" s="254"/>
      <c r="AD31" s="16"/>
      <c r="AE31" s="16"/>
      <c r="AF31" s="254"/>
      <c r="AG31" s="280"/>
      <c r="AH31" s="280"/>
      <c r="AI31" s="322"/>
      <c r="AJ31" s="280"/>
      <c r="AK31" s="18"/>
      <c r="AL31" s="18"/>
      <c r="AM31" s="18"/>
      <c r="AN31" s="18"/>
      <c r="AO31" s="18"/>
      <c r="AP31" s="18"/>
      <c r="AQ31" s="18"/>
      <c r="AR31" s="18"/>
      <c r="AS31" s="18"/>
      <c r="AT31" s="18"/>
      <c r="AU31" s="18"/>
      <c r="AV31" s="18"/>
      <c r="AW31" s="18"/>
      <c r="AX31" s="18"/>
      <c r="AY31" s="18"/>
      <c r="AZ31" s="18"/>
    </row>
    <row r="32" spans="1:52" ht="15" customHeight="1" x14ac:dyDescent="0.3">
      <c r="A32" s="248"/>
      <c r="B32" s="632" t="str">
        <f>'Financials DF'!B62</f>
        <v>Diluted Weighted Avg Shares</v>
      </c>
      <c r="C32" s="303">
        <f>D32+C88</f>
        <v>1215.2791023842917</v>
      </c>
      <c r="D32" s="303">
        <f>E32+D88</f>
        <v>1260.8611500701263</v>
      </c>
      <c r="E32" s="303">
        <f>F32+E88</f>
        <v>1302.9368863955119</v>
      </c>
      <c r="F32" s="633">
        <f>'Financials DF'!C62</f>
        <v>1338</v>
      </c>
      <c r="G32" s="262">
        <f>'Financials DF'!D62</f>
        <v>1336.9960000000001</v>
      </c>
      <c r="H32" s="262">
        <f>'Financials DF'!E62</f>
        <v>1336</v>
      </c>
      <c r="I32" s="262">
        <f>'Financials DF'!F62</f>
        <v>1345</v>
      </c>
      <c r="J32" s="262">
        <f>'Financials DF'!G62</f>
        <v>1362</v>
      </c>
      <c r="K32" s="680"/>
      <c r="L32" s="650"/>
      <c r="M32" s="676">
        <f>C32/D32-1</f>
        <v>-3.615152047733361E-2</v>
      </c>
      <c r="N32" s="676">
        <f>D32/E32-1</f>
        <v>-3.2292996510203453E-2</v>
      </c>
      <c r="O32" s="676">
        <f>E32/F32-1</f>
        <v>-2.6205615548944738E-2</v>
      </c>
      <c r="P32" s="407">
        <f t="shared" ref="P32:Q34" si="6">F32/G32-1</f>
        <v>7.509371755787253E-4</v>
      </c>
      <c r="Q32" s="407">
        <f t="shared" si="6"/>
        <v>7.4550898203606941E-4</v>
      </c>
      <c r="R32" s="685"/>
      <c r="S32" s="252"/>
      <c r="T32" s="16"/>
      <c r="U32" s="323" t="s">
        <v>67</v>
      </c>
      <c r="V32" s="256" t="s">
        <v>68</v>
      </c>
      <c r="W32" s="257"/>
      <c r="X32" s="304" t="s">
        <v>69</v>
      </c>
      <c r="Y32" s="256" t="s">
        <v>68</v>
      </c>
      <c r="Z32" s="257"/>
      <c r="AA32" s="304" t="s">
        <v>70</v>
      </c>
      <c r="AB32" s="256" t="s">
        <v>71</v>
      </c>
      <c r="AC32" s="257"/>
      <c r="AD32" s="304" t="s">
        <v>72</v>
      </c>
      <c r="AE32" s="256" t="s">
        <v>71</v>
      </c>
      <c r="AF32" s="257"/>
      <c r="AG32" s="304" t="s">
        <v>73</v>
      </c>
      <c r="AH32" s="256" t="s">
        <v>71</v>
      </c>
      <c r="AI32" s="304" t="s">
        <v>73</v>
      </c>
      <c r="AJ32" s="304" t="s">
        <v>311</v>
      </c>
      <c r="AK32" s="18"/>
      <c r="AL32" s="18"/>
      <c r="AM32" s="18"/>
      <c r="AN32" s="18"/>
      <c r="AO32" s="18"/>
      <c r="AP32" s="18"/>
      <c r="AQ32" s="18"/>
      <c r="AR32" s="18"/>
      <c r="AS32" s="18"/>
      <c r="AT32" s="18"/>
      <c r="AU32" s="18"/>
      <c r="AV32" s="18"/>
      <c r="AW32" s="18"/>
      <c r="AX32" s="18"/>
      <c r="AY32" s="18"/>
      <c r="AZ32" s="18"/>
    </row>
    <row r="33" spans="1:52" ht="15" customHeight="1" x14ac:dyDescent="0.3">
      <c r="A33" s="248"/>
      <c r="B33" s="640" t="str">
        <f>'Financials DF'!B63</f>
        <v>Headline EPS</v>
      </c>
      <c r="C33" s="645">
        <f>C25/C32</f>
        <v>1.4354716134083205</v>
      </c>
      <c r="D33" s="645">
        <f>D25/D32</f>
        <v>1.2939683957819277</v>
      </c>
      <c r="E33" s="645">
        <f>E25/E32</f>
        <v>1.0604824276043765</v>
      </c>
      <c r="F33" s="645">
        <f>F25/F32</f>
        <v>0.72720478325859494</v>
      </c>
      <c r="G33" s="645">
        <f t="shared" ref="G33:J33" si="7">G25/G32</f>
        <v>0.72407845648004932</v>
      </c>
      <c r="H33" s="645">
        <f>H25/H32</f>
        <v>0.26555389221556885</v>
      </c>
      <c r="I33" s="645">
        <f t="shared" si="7"/>
        <v>1.812639405204461</v>
      </c>
      <c r="J33" s="645">
        <f t="shared" si="7"/>
        <v>0.96182085168869313</v>
      </c>
      <c r="K33" s="690"/>
      <c r="L33" s="647" t="s">
        <v>632</v>
      </c>
      <c r="M33" s="677">
        <f t="shared" ref="M33:O34" si="8">C33/D33-1</f>
        <v>0.10935600752511765</v>
      </c>
      <c r="N33" s="677">
        <f t="shared" si="8"/>
        <v>0.22016957763741041</v>
      </c>
      <c r="O33" s="677">
        <f t="shared" si="8"/>
        <v>0.45829957670570987</v>
      </c>
      <c r="P33" s="677">
        <f t="shared" si="6"/>
        <v>4.3176630247274694E-3</v>
      </c>
      <c r="Q33" s="677">
        <f t="shared" si="6"/>
        <v>1.7266723542965949</v>
      </c>
      <c r="R33" s="691"/>
      <c r="S33" s="325"/>
      <c r="T33" s="324"/>
      <c r="U33" s="265"/>
      <c r="V33" s="256" t="s">
        <v>74</v>
      </c>
      <c r="W33" s="257"/>
      <c r="X33" s="265"/>
      <c r="Y33" s="256" t="s">
        <v>75</v>
      </c>
      <c r="Z33" s="257"/>
      <c r="AA33" s="265"/>
      <c r="AB33" s="256" t="s">
        <v>76</v>
      </c>
      <c r="AC33" s="257"/>
      <c r="AD33" s="265"/>
      <c r="AE33" s="256" t="s">
        <v>77</v>
      </c>
      <c r="AF33" s="257"/>
      <c r="AG33" s="265"/>
      <c r="AH33" s="256" t="s">
        <v>78</v>
      </c>
      <c r="AI33" s="265" t="s">
        <v>309</v>
      </c>
      <c r="AJ33" s="265" t="s">
        <v>139</v>
      </c>
      <c r="AK33" s="18"/>
      <c r="AL33" s="18"/>
      <c r="AM33" s="18"/>
      <c r="AN33" s="18"/>
      <c r="AO33" s="18"/>
      <c r="AP33" s="18"/>
      <c r="AQ33" s="18"/>
      <c r="AR33" s="18"/>
      <c r="AS33" s="18"/>
      <c r="AT33" s="18"/>
      <c r="AU33" s="18"/>
      <c r="AV33" s="18"/>
      <c r="AW33" s="18"/>
      <c r="AX33" s="18"/>
      <c r="AY33" s="18"/>
      <c r="AZ33" s="18"/>
    </row>
    <row r="34" spans="1:52" ht="15" customHeight="1" x14ac:dyDescent="0.3">
      <c r="A34" s="248"/>
      <c r="B34" s="635" t="str">
        <f>'Financials DF'!B64</f>
        <v>EBITDA</v>
      </c>
      <c r="C34" s="637">
        <f>C11+C104</f>
        <v>4801.0101109529924</v>
      </c>
      <c r="D34" s="637">
        <f>D11+D104</f>
        <v>4559.5607965799963</v>
      </c>
      <c r="E34" s="637">
        <f>E11+E104</f>
        <v>4138.9540266000004</v>
      </c>
      <c r="F34" s="639">
        <f>'Financials DF'!C64</f>
        <v>3485</v>
      </c>
      <c r="G34" s="637">
        <f>'Financials DF'!D64</f>
        <v>3244</v>
      </c>
      <c r="H34" s="637">
        <f>'Financials DF'!E64</f>
        <v>2732</v>
      </c>
      <c r="I34" s="637">
        <f>'Financials DF'!F64</f>
        <v>4388</v>
      </c>
      <c r="J34" s="637">
        <f>'Financials DF'!G64</f>
        <v>2904</v>
      </c>
      <c r="K34" s="747">
        <f>D34/D6</f>
        <v>0.17720091204378946</v>
      </c>
      <c r="L34" s="647" t="s">
        <v>680</v>
      </c>
      <c r="M34" s="407">
        <f t="shared" si="8"/>
        <v>5.2954511442001362E-2</v>
      </c>
      <c r="N34" s="407">
        <f t="shared" si="8"/>
        <v>0.10162151289356292</v>
      </c>
      <c r="O34" s="407">
        <f t="shared" si="8"/>
        <v>0.18764821423242473</v>
      </c>
      <c r="P34" s="407">
        <f t="shared" si="6"/>
        <v>7.4290998766954441E-2</v>
      </c>
      <c r="Q34" s="407">
        <f t="shared" si="6"/>
        <v>0.18740849194729137</v>
      </c>
      <c r="R34" s="685"/>
      <c r="S34" s="252"/>
      <c r="T34" s="16"/>
      <c r="U34" s="258" t="s">
        <v>115</v>
      </c>
      <c r="V34" s="327">
        <f>(AE7-(Y13))/(AE7*(AB14-Y13))</f>
        <v>6.4379878048257924</v>
      </c>
      <c r="W34" s="257"/>
      <c r="X34" s="258" t="s">
        <v>115</v>
      </c>
      <c r="Y34" s="328">
        <f>(AE7-Y13)/(AB14-Y13)</f>
        <v>0.91844181901024557</v>
      </c>
      <c r="Z34" s="257"/>
      <c r="AA34" s="258" t="s">
        <v>115</v>
      </c>
      <c r="AB34" s="328">
        <f>(V25-Y13)/((V25*(AB19-Y13)))</f>
        <v>5.9873807351208495</v>
      </c>
      <c r="AC34" s="257"/>
      <c r="AD34" s="258" t="s">
        <v>115</v>
      </c>
      <c r="AE34" s="328">
        <f>(V25-Y13)/(AB19-Y13)</f>
        <v>0.64388149364688185</v>
      </c>
      <c r="AF34" s="257"/>
      <c r="AG34" s="258" t="s">
        <v>115</v>
      </c>
      <c r="AH34" s="329">
        <f>(V25-Y13)/((V25*(AB19-Y13))*(1-AE21/AE19*(1-AE16)))</f>
        <v>7.6075486397268142</v>
      </c>
      <c r="AI34" s="330">
        <v>7.5</v>
      </c>
      <c r="AJ34" s="331"/>
      <c r="AK34" s="18"/>
      <c r="AL34" s="18"/>
      <c r="AM34" s="18"/>
      <c r="AN34" s="18"/>
      <c r="AO34" s="18"/>
      <c r="AP34" s="18"/>
      <c r="AQ34" s="18"/>
      <c r="AR34" s="18"/>
      <c r="AS34" s="18"/>
      <c r="AT34" s="18"/>
      <c r="AU34" s="18"/>
      <c r="AV34" s="18"/>
      <c r="AW34" s="18"/>
      <c r="AX34" s="18"/>
      <c r="AY34" s="18"/>
      <c r="AZ34" s="18"/>
    </row>
    <row r="35" spans="1:52" ht="15" customHeight="1" x14ac:dyDescent="0.3">
      <c r="A35" s="248"/>
      <c r="B35" s="632" t="s">
        <v>1922</v>
      </c>
      <c r="C35" s="337">
        <f>C34/C6</f>
        <v>0.17631188912106263</v>
      </c>
      <c r="D35" s="337">
        <f t="shared" ref="D35:J35" si="9">D34/D6</f>
        <v>0.17720091204378946</v>
      </c>
      <c r="E35" s="337">
        <f t="shared" si="9"/>
        <v>0.17093714269548443</v>
      </c>
      <c r="F35" s="337">
        <f t="shared" si="9"/>
        <v>0.16107413569975965</v>
      </c>
      <c r="G35" s="337">
        <f t="shared" si="9"/>
        <v>0.15301886792452829</v>
      </c>
      <c r="H35" s="337">
        <f t="shared" si="9"/>
        <v>0.14498752852518176</v>
      </c>
      <c r="I35" s="337">
        <f t="shared" si="9"/>
        <v>0.20325165593589328</v>
      </c>
      <c r="J35" s="337">
        <f t="shared" si="9"/>
        <v>0.1401747357242844</v>
      </c>
      <c r="K35" s="680"/>
      <c r="L35" s="650"/>
      <c r="M35" s="675"/>
      <c r="N35" s="675"/>
      <c r="O35" s="675"/>
      <c r="P35" s="376"/>
      <c r="Q35" s="376"/>
      <c r="R35" s="685"/>
      <c r="S35" s="252"/>
      <c r="T35" s="16"/>
      <c r="U35" s="265" t="s">
        <v>82</v>
      </c>
      <c r="V35" s="333">
        <f>V58/(AVERAGE(C33:E33))</f>
        <v>11.287829952578591</v>
      </c>
      <c r="W35" s="257"/>
      <c r="X35" s="265" t="s">
        <v>82</v>
      </c>
      <c r="Y35" s="334">
        <f>V59/(AVERAGE(C53:E53))</f>
        <v>1.8459847434611867</v>
      </c>
      <c r="Z35" s="257"/>
      <c r="AA35" s="265" t="str">
        <f>X35</f>
        <v>Mkt valuation</v>
      </c>
      <c r="AB35" s="335">
        <f>V19/AE14</f>
        <v>10.844381524236669</v>
      </c>
      <c r="AC35" s="257"/>
      <c r="AD35" s="265" t="str">
        <f>AA35</f>
        <v>Mkt valuation</v>
      </c>
      <c r="AE35" s="335">
        <f>V19/Y19</f>
        <v>1.1662021979902069</v>
      </c>
      <c r="AF35" s="257"/>
      <c r="AG35" s="265" t="str">
        <f>AD35</f>
        <v>Mkt valuation</v>
      </c>
      <c r="AH35" s="335">
        <f>V19/AE19</f>
        <v>5.4984434839274741</v>
      </c>
      <c r="AI35" s="336">
        <f>AH35</f>
        <v>5.4984434839274741</v>
      </c>
      <c r="AJ35" s="336"/>
      <c r="AK35" s="18"/>
      <c r="AL35" s="18"/>
      <c r="AM35" s="18"/>
      <c r="AN35" s="18"/>
      <c r="AO35" s="18"/>
      <c r="AP35" s="18"/>
      <c r="AQ35" s="18"/>
      <c r="AR35" s="18"/>
      <c r="AS35" s="18"/>
      <c r="AT35" s="18"/>
      <c r="AU35" s="18"/>
      <c r="AV35" s="18"/>
      <c r="AW35" s="18"/>
      <c r="AX35" s="18"/>
      <c r="AY35" s="18"/>
      <c r="AZ35" s="18"/>
    </row>
    <row r="36" spans="1:52" ht="15" customHeight="1" x14ac:dyDescent="0.3">
      <c r="A36" s="248"/>
      <c r="B36" s="632" t="str">
        <f>'Financials DF'!B66</f>
        <v>Operating Margin</v>
      </c>
      <c r="C36" s="337">
        <f>C11/C6</f>
        <v>0.12487985177308156</v>
      </c>
      <c r="D36" s="337">
        <f>D11/D6</f>
        <v>0.12552373186805973</v>
      </c>
      <c r="E36" s="337">
        <f>E11/E6</f>
        <v>0.11878375818919429</v>
      </c>
      <c r="F36" s="643">
        <f>'Financials DF'!C66</f>
        <v>10.55</v>
      </c>
      <c r="G36" s="622">
        <f>'Financials DF'!D66</f>
        <v>9.7899999999999991</v>
      </c>
      <c r="H36" s="622">
        <f>'Financials DF'!E66</f>
        <v>8.32</v>
      </c>
      <c r="I36" s="622">
        <f>'Financials DF'!F66</f>
        <v>16.86</v>
      </c>
      <c r="J36" s="622">
        <f>'Financials DF'!G66</f>
        <v>9.3699999999999992</v>
      </c>
      <c r="K36" s="680"/>
      <c r="L36" s="650"/>
      <c r="M36" s="675"/>
      <c r="N36" s="675"/>
      <c r="O36" s="675"/>
      <c r="P36" s="376"/>
      <c r="Q36" s="376"/>
      <c r="R36" s="692"/>
      <c r="S36" s="252"/>
      <c r="T36" s="16"/>
      <c r="U36" s="265" t="s">
        <v>84</v>
      </c>
      <c r="V36" s="338">
        <f>V34/V35-1</f>
        <v>-0.42965230412998034</v>
      </c>
      <c r="W36" s="257"/>
      <c r="X36" s="265" t="s">
        <v>84</v>
      </c>
      <c r="Y36" s="338">
        <f>Y34/Y35-1</f>
        <v>-0.5024651085207863</v>
      </c>
      <c r="Z36" s="257"/>
      <c r="AA36" s="265" t="s">
        <v>84</v>
      </c>
      <c r="AB36" s="338">
        <f>AB34/AB35-1</f>
        <v>-0.44788176976811978</v>
      </c>
      <c r="AC36" s="257"/>
      <c r="AD36" s="265" t="s">
        <v>84</v>
      </c>
      <c r="AE36" s="338">
        <f>AE34/AE35-1</f>
        <v>-0.44788176976811978</v>
      </c>
      <c r="AF36" s="257"/>
      <c r="AG36" s="265" t="s">
        <v>84</v>
      </c>
      <c r="AH36" s="338">
        <f>AH34/AH35-1</f>
        <v>0.38358221957986394</v>
      </c>
      <c r="AI36" s="339">
        <f>AI34/AI35-1</f>
        <v>0.36402238595764147</v>
      </c>
      <c r="AJ36" s="340">
        <f>V58*(1+AI36)</f>
        <v>19.450959223755966</v>
      </c>
      <c r="AK36" s="18"/>
      <c r="AL36" s="18"/>
      <c r="AM36" s="18"/>
      <c r="AN36" s="18"/>
      <c r="AO36" s="18"/>
      <c r="AP36" s="18"/>
      <c r="AQ36" s="18"/>
      <c r="AR36" s="18"/>
      <c r="AS36" s="18"/>
      <c r="AT36" s="18"/>
      <c r="AU36" s="18"/>
      <c r="AV36" s="18"/>
      <c r="AW36" s="18"/>
      <c r="AX36" s="18"/>
      <c r="AY36" s="18"/>
      <c r="AZ36" s="18"/>
    </row>
    <row r="37" spans="1:52" ht="15" customHeight="1" x14ac:dyDescent="0.3">
      <c r="A37" s="248"/>
      <c r="B37" s="632" t="str">
        <f>'Financials DF'!B67</f>
        <v>Profit Margin</v>
      </c>
      <c r="C37" s="337">
        <f>C20/C6</f>
        <v>6.4064820968852992E-2</v>
      </c>
      <c r="D37" s="337">
        <f>D20/D6</f>
        <v>6.340651363290313E-2</v>
      </c>
      <c r="E37" s="337">
        <f>E20/E6</f>
        <v>5.7065377360633475E-2</v>
      </c>
      <c r="F37" s="633">
        <f>'Financials DF'!C67</f>
        <v>4.68</v>
      </c>
      <c r="G37" s="262">
        <f>'Financials DF'!D67</f>
        <v>3.63</v>
      </c>
      <c r="H37" s="262">
        <f>'Financials DF'!E67</f>
        <v>2.37</v>
      </c>
      <c r="I37" s="262">
        <f>'Financials DF'!F67</f>
        <v>11.33</v>
      </c>
      <c r="J37" s="262">
        <f>'Financials DF'!G67</f>
        <v>23.85</v>
      </c>
      <c r="K37" s="680"/>
      <c r="L37" s="650"/>
      <c r="M37" s="675"/>
      <c r="N37" s="675"/>
      <c r="O37" s="675"/>
      <c r="P37" s="376"/>
      <c r="Q37" s="376"/>
      <c r="R37" s="685"/>
      <c r="S37" s="252"/>
      <c r="T37" s="16"/>
      <c r="U37" s="280"/>
      <c r="V37" s="280"/>
      <c r="W37" s="254"/>
      <c r="X37" s="280"/>
      <c r="Y37" s="280"/>
      <c r="Z37" s="254"/>
      <c r="AA37" s="280"/>
      <c r="AB37" s="280"/>
      <c r="AC37" s="254"/>
      <c r="AD37" s="280"/>
      <c r="AE37" s="280"/>
      <c r="AF37" s="254"/>
      <c r="AG37" s="280"/>
      <c r="AH37" s="280"/>
      <c r="AI37" s="322"/>
      <c r="AJ37" s="280"/>
      <c r="AK37" s="18"/>
      <c r="AL37" s="18"/>
      <c r="AM37" s="18"/>
      <c r="AN37" s="18"/>
      <c r="AO37" s="18"/>
      <c r="AP37" s="18"/>
      <c r="AQ37" s="18"/>
      <c r="AR37" s="18"/>
      <c r="AS37" s="18"/>
      <c r="AT37" s="18"/>
      <c r="AU37" s="18"/>
      <c r="AV37" s="18"/>
      <c r="AW37" s="18"/>
      <c r="AX37" s="18"/>
      <c r="AY37" s="18"/>
      <c r="AZ37" s="18"/>
    </row>
    <row r="38" spans="1:52" ht="15" customHeight="1" x14ac:dyDescent="0.3">
      <c r="A38" s="248"/>
      <c r="B38" s="632" t="str">
        <f>'Financials DF'!B68</f>
        <v>Actual Sales Per Employee</v>
      </c>
      <c r="C38" s="303"/>
      <c r="D38" s="303"/>
      <c r="E38" s="303"/>
      <c r="F38" s="633">
        <f>'Financials DF'!C68</f>
        <v>1202000</v>
      </c>
      <c r="G38" s="262">
        <f>'Financials DF'!D68</f>
        <v>1155565.25</v>
      </c>
      <c r="H38" s="262">
        <f>'Financials DF'!E68</f>
        <v>991371.6</v>
      </c>
      <c r="I38" s="262">
        <f>'Financials DF'!F68</f>
        <v>1025070.03</v>
      </c>
      <c r="J38" s="262">
        <f>'Financials DF'!G68</f>
        <v>935473.67</v>
      </c>
      <c r="K38" s="680"/>
      <c r="L38" s="650"/>
      <c r="M38" s="675"/>
      <c r="N38" s="675"/>
      <c r="O38" s="675"/>
      <c r="P38" s="376"/>
      <c r="Q38" s="376"/>
      <c r="R38" s="685"/>
      <c r="S38" s="252"/>
      <c r="T38" s="16"/>
      <c r="U38" s="16"/>
      <c r="V38" s="16"/>
      <c r="W38" s="254"/>
      <c r="X38" s="16"/>
      <c r="Y38" s="341"/>
      <c r="Z38" s="254"/>
      <c r="AA38" s="16"/>
      <c r="AB38" s="16"/>
      <c r="AC38" s="254"/>
      <c r="AD38" s="16"/>
      <c r="AE38" s="16"/>
      <c r="AF38" s="254"/>
      <c r="AG38" s="16"/>
      <c r="AH38" s="16"/>
      <c r="AI38" s="254"/>
      <c r="AJ38" s="16"/>
      <c r="AK38" s="18"/>
      <c r="AL38" s="18"/>
      <c r="AM38" s="18"/>
      <c r="AN38" s="18"/>
      <c r="AO38" s="18"/>
      <c r="AP38" s="18"/>
      <c r="AQ38" s="18"/>
      <c r="AR38" s="18"/>
      <c r="AS38" s="18"/>
      <c r="AT38" s="18"/>
      <c r="AU38" s="18"/>
      <c r="AV38" s="18"/>
      <c r="AW38" s="18"/>
      <c r="AX38" s="18"/>
      <c r="AY38" s="18"/>
      <c r="AZ38" s="18"/>
    </row>
    <row r="39" spans="1:52" ht="15" customHeight="1" x14ac:dyDescent="0.3">
      <c r="A39" s="248"/>
      <c r="B39" s="632" t="str">
        <f>'Financials DF'!B69</f>
        <v>Dividends per Share</v>
      </c>
      <c r="C39" s="342">
        <f>M39*C33</f>
        <v>0.86128296804499227</v>
      </c>
      <c r="D39" s="342">
        <f>N39*D33</f>
        <v>0.77638103746915654</v>
      </c>
      <c r="E39" s="342">
        <f>O39*E33</f>
        <v>0.58326533518240709</v>
      </c>
      <c r="F39" s="646">
        <f>'Financials DF'!C69</f>
        <v>0.54</v>
      </c>
      <c r="G39" s="342" t="str">
        <f>'Financials DF'!D69</f>
        <v>NA</v>
      </c>
      <c r="H39" s="342" t="str">
        <f>'Financials DF'!E69</f>
        <v>NA</v>
      </c>
      <c r="I39" s="342">
        <f>'Financials DF'!F69</f>
        <v>1.1100000000000001</v>
      </c>
      <c r="J39" s="342">
        <f>'Financials DF'!G69</f>
        <v>1.04</v>
      </c>
      <c r="K39" s="680"/>
      <c r="L39" s="668" t="s">
        <v>631</v>
      </c>
      <c r="M39" s="619">
        <v>0.6</v>
      </c>
      <c r="N39" s="619">
        <v>0.6</v>
      </c>
      <c r="O39" s="619">
        <v>0.55000000000000004</v>
      </c>
      <c r="P39" s="673">
        <f>F39/F33</f>
        <v>0.74256937307297022</v>
      </c>
      <c r="Q39" s="673" t="e">
        <f>G39/G33</f>
        <v>#VALUE!</v>
      </c>
      <c r="R39" s="685"/>
      <c r="S39" s="252"/>
      <c r="T39" s="16"/>
      <c r="U39" s="16"/>
      <c r="V39" s="16"/>
      <c r="W39" s="254"/>
      <c r="X39" s="16"/>
      <c r="Y39" s="16"/>
      <c r="Z39" s="254"/>
      <c r="AA39" s="16"/>
      <c r="AB39" s="16"/>
      <c r="AC39" s="254"/>
      <c r="AD39" s="16"/>
      <c r="AE39" s="16"/>
      <c r="AF39" s="254"/>
      <c r="AG39" s="16"/>
      <c r="AH39" s="16"/>
      <c r="AI39" s="254"/>
      <c r="AJ39" s="16"/>
      <c r="AK39" s="18"/>
      <c r="AL39" s="18"/>
      <c r="AM39" s="18"/>
      <c r="AN39" s="18"/>
      <c r="AO39" s="18"/>
      <c r="AP39" s="18"/>
      <c r="AQ39" s="18"/>
      <c r="AR39" s="18"/>
      <c r="AS39" s="18"/>
      <c r="AT39" s="18"/>
      <c r="AU39" s="18"/>
      <c r="AV39" s="18"/>
      <c r="AW39" s="18"/>
      <c r="AX39" s="18"/>
      <c r="AY39" s="18"/>
      <c r="AZ39" s="18"/>
    </row>
    <row r="40" spans="1:52" ht="15" customHeight="1" x14ac:dyDescent="0.3">
      <c r="A40" s="248"/>
      <c r="B40" s="632" t="str">
        <f>'Financials DF'!B70</f>
        <v>Total Cash Common Dividends</v>
      </c>
      <c r="C40" s="303">
        <f>C39*C32</f>
        <v>1046.6991923045969</v>
      </c>
      <c r="D40" s="303">
        <f>D39*D32</f>
        <v>978.9086877959985</v>
      </c>
      <c r="E40" s="303">
        <f>E39*E32</f>
        <v>759.95791976500016</v>
      </c>
      <c r="F40" s="633">
        <f>'Financials DF'!C70</f>
        <v>722.52</v>
      </c>
      <c r="G40" s="262" t="str">
        <f>'Financials DF'!D70</f>
        <v>NA</v>
      </c>
      <c r="H40" s="262" t="str">
        <f>'Financials DF'!E70</f>
        <v>NA</v>
      </c>
      <c r="I40" s="262">
        <f>'Financials DF'!F70</f>
        <v>1492.95</v>
      </c>
      <c r="J40" s="262">
        <f>'Financials DF'!G70</f>
        <v>1962.72</v>
      </c>
      <c r="K40" s="680"/>
      <c r="L40" s="650"/>
      <c r="M40" s="376"/>
      <c r="N40" s="376"/>
      <c r="O40" s="376"/>
      <c r="P40" s="376"/>
      <c r="Q40" s="376"/>
      <c r="R40" s="685"/>
      <c r="S40" s="252"/>
      <c r="T40" s="16"/>
      <c r="U40" s="323" t="s">
        <v>105</v>
      </c>
      <c r="V40" s="256" t="s">
        <v>106</v>
      </c>
      <c r="W40" s="343"/>
      <c r="X40" s="323" t="s">
        <v>107</v>
      </c>
      <c r="Y40" s="344" t="s">
        <v>108</v>
      </c>
      <c r="Z40" s="287"/>
      <c r="AA40" s="16"/>
      <c r="AB40" s="16"/>
      <c r="AC40" s="254"/>
      <c r="AD40" s="16"/>
      <c r="AE40" s="16"/>
      <c r="AF40" s="254"/>
      <c r="AG40" s="16"/>
      <c r="AH40" s="16"/>
      <c r="AI40" s="254"/>
      <c r="AJ40" s="16"/>
      <c r="AK40" s="18"/>
      <c r="AL40" s="18"/>
      <c r="AM40" s="18"/>
      <c r="AN40" s="18"/>
      <c r="AO40" s="18"/>
      <c r="AP40" s="18"/>
      <c r="AQ40" s="18"/>
      <c r="AR40" s="18"/>
      <c r="AS40" s="18"/>
      <c r="AT40" s="18"/>
      <c r="AU40" s="18"/>
      <c r="AV40" s="18"/>
      <c r="AW40" s="18"/>
      <c r="AX40" s="18"/>
      <c r="AY40" s="18"/>
      <c r="AZ40" s="18"/>
    </row>
    <row r="41" spans="1:52" ht="15" customHeight="1" x14ac:dyDescent="0.3">
      <c r="A41" s="248"/>
      <c r="B41" s="632" t="s">
        <v>305</v>
      </c>
      <c r="C41" s="337">
        <f t="shared" ref="C41:E41" si="10">C39/$AC$61</f>
        <v>6.0398525108344481E-2</v>
      </c>
      <c r="D41" s="337">
        <f t="shared" si="10"/>
        <v>5.4444673034302705E-2</v>
      </c>
      <c r="E41" s="337">
        <f t="shared" si="10"/>
        <v>4.0902197418121115E-2</v>
      </c>
      <c r="F41" s="647">
        <f>F39/'Financials DF'!C26</f>
        <v>3.5755669591127304E-2</v>
      </c>
      <c r="G41" s="337" t="e">
        <f>G39/'Financials DF'!D26</f>
        <v>#VALUE!</v>
      </c>
      <c r="H41" s="337" t="e">
        <f>H39/'Financials DF'!E26</f>
        <v>#VALUE!</v>
      </c>
      <c r="I41" s="337">
        <f>I39/'Financials DF'!F26</f>
        <v>5.0927164978015679E-2</v>
      </c>
      <c r="J41" s="337">
        <f>J39/'Financials DF'!G26</f>
        <v>3.8889408245302418E-2</v>
      </c>
      <c r="K41" s="680"/>
      <c r="L41" s="650"/>
      <c r="M41" s="376"/>
      <c r="N41" s="376"/>
      <c r="O41" s="376"/>
      <c r="P41" s="376"/>
      <c r="Q41" s="376"/>
      <c r="R41" s="685"/>
      <c r="S41" s="252"/>
      <c r="T41" s="16"/>
      <c r="U41" s="265"/>
      <c r="V41" s="256" t="s">
        <v>109</v>
      </c>
      <c r="W41" s="343"/>
      <c r="X41" s="265"/>
      <c r="Y41" s="344" t="s">
        <v>110</v>
      </c>
      <c r="Z41" s="287"/>
      <c r="AA41" s="16"/>
      <c r="AB41" s="16"/>
      <c r="AC41" s="254"/>
      <c r="AD41" s="16"/>
      <c r="AE41" s="16"/>
      <c r="AF41" s="254"/>
      <c r="AG41" s="16"/>
      <c r="AH41" s="16"/>
      <c r="AI41" s="254"/>
      <c r="AJ41" s="16"/>
      <c r="AK41" s="18"/>
      <c r="AL41" s="18"/>
      <c r="AM41" s="18"/>
      <c r="AN41" s="18"/>
      <c r="AO41" s="18"/>
      <c r="AP41" s="18"/>
      <c r="AQ41" s="18"/>
      <c r="AR41" s="18"/>
      <c r="AS41" s="18"/>
      <c r="AT41" s="18"/>
      <c r="AU41" s="18"/>
      <c r="AV41" s="18"/>
      <c r="AW41" s="18"/>
      <c r="AX41" s="18"/>
      <c r="AY41" s="18"/>
      <c r="AZ41" s="18"/>
    </row>
    <row r="42" spans="1:52" ht="15" customHeight="1" x14ac:dyDescent="0.3">
      <c r="A42" s="248"/>
      <c r="B42" s="648" t="s">
        <v>737</v>
      </c>
      <c r="C42" s="332">
        <f>(C54+C60-C85)/C91</f>
        <v>0.1436988426898636</v>
      </c>
      <c r="D42" s="332">
        <f t="shared" ref="D42:J42" si="11">(D54+D60-D85)/D91</f>
        <v>0.15071998712615334</v>
      </c>
      <c r="E42" s="332">
        <f t="shared" si="11"/>
        <v>0.15700382715182964</v>
      </c>
      <c r="F42" s="649">
        <f>(F54+F60-F85)/F91</f>
        <v>0.18542063189950514</v>
      </c>
      <c r="G42" s="332">
        <f t="shared" si="11"/>
        <v>0.20807150384450257</v>
      </c>
      <c r="H42" s="332">
        <f t="shared" si="11"/>
        <v>0.24757169287696576</v>
      </c>
      <c r="I42" s="332">
        <f t="shared" si="11"/>
        <v>0.23759047396684566</v>
      </c>
      <c r="J42" s="332">
        <f t="shared" si="11"/>
        <v>0.23248004671987541</v>
      </c>
      <c r="K42" s="680"/>
      <c r="L42" s="650" t="str">
        <f t="shared" ref="L42:O43" si="12">B42</f>
        <v>Net Debt to Assets</v>
      </c>
      <c r="M42" s="671">
        <f t="shared" si="12"/>
        <v>0.1436988426898636</v>
      </c>
      <c r="N42" s="671">
        <f t="shared" si="12"/>
        <v>0.15071998712615334</v>
      </c>
      <c r="O42" s="671">
        <f t="shared" si="12"/>
        <v>0.15700382715182964</v>
      </c>
      <c r="P42" s="376"/>
      <c r="Q42" s="376"/>
      <c r="R42" s="685"/>
      <c r="S42" s="252"/>
      <c r="T42" s="16"/>
      <c r="U42" s="258" t="s">
        <v>132</v>
      </c>
      <c r="V42" s="345">
        <f>(AE7*(V35*AB14-1)/(V35*AE7-1))</f>
        <v>0.16202688174350643</v>
      </c>
      <c r="W42" s="343"/>
      <c r="X42" s="258" t="s">
        <v>131</v>
      </c>
      <c r="Y42" s="345">
        <f>(Y13)/(1-(V35*(AB14-Y13)))</f>
        <v>-3.7724707854048898</v>
      </c>
      <c r="Z42" s="287"/>
      <c r="AA42" s="16"/>
      <c r="AB42" s="16"/>
      <c r="AC42" s="254"/>
      <c r="AD42" s="16"/>
      <c r="AE42" s="16"/>
      <c r="AF42" s="254"/>
      <c r="AG42" s="16"/>
      <c r="AH42" s="16"/>
      <c r="AI42" s="254"/>
      <c r="AJ42" s="16"/>
      <c r="AK42" s="18"/>
      <c r="AL42" s="18"/>
      <c r="AM42" s="18"/>
      <c r="AN42" s="18"/>
      <c r="AO42" s="18"/>
      <c r="AP42" s="18"/>
      <c r="AQ42" s="18"/>
      <c r="AR42" s="18"/>
      <c r="AS42" s="18"/>
      <c r="AT42" s="18"/>
      <c r="AU42" s="18"/>
      <c r="AV42" s="18"/>
      <c r="AW42" s="18"/>
      <c r="AX42" s="18"/>
      <c r="AY42" s="18"/>
      <c r="AZ42" s="18"/>
    </row>
    <row r="43" spans="1:52" ht="15" customHeight="1" x14ac:dyDescent="0.3">
      <c r="A43" s="248"/>
      <c r="B43" s="648" t="s">
        <v>683</v>
      </c>
      <c r="C43" s="342">
        <f t="shared" ref="C43:J43" si="13">(C54+C60-C85)/C34</f>
        <v>0.839450112593079</v>
      </c>
      <c r="D43" s="342">
        <f t="shared" si="13"/>
        <v>0.91307937710200826</v>
      </c>
      <c r="E43" s="342">
        <f t="shared" si="13"/>
        <v>1.0405202551954336</v>
      </c>
      <c r="F43" s="646">
        <f t="shared" si="13"/>
        <v>1.3977044476327116</v>
      </c>
      <c r="G43" s="342">
        <f t="shared" si="13"/>
        <v>1.6433415536374847</v>
      </c>
      <c r="H43" s="342">
        <f t="shared" si="13"/>
        <v>2.3510248901903368</v>
      </c>
      <c r="I43" s="342">
        <f>(I54+I60-I85)/I34</f>
        <v>1.1595259799453055</v>
      </c>
      <c r="J43" s="342">
        <f t="shared" si="13"/>
        <v>1.6449724517906337</v>
      </c>
      <c r="K43" s="680"/>
      <c r="L43" s="650" t="str">
        <f t="shared" si="12"/>
        <v>Net Debt to EBITDA</v>
      </c>
      <c r="M43" s="671">
        <f t="shared" si="12"/>
        <v>0.839450112593079</v>
      </c>
      <c r="N43" s="671">
        <f t="shared" si="12"/>
        <v>0.91307937710200826</v>
      </c>
      <c r="O43" s="671">
        <f t="shared" si="12"/>
        <v>1.0405202551954336</v>
      </c>
      <c r="P43" s="376"/>
      <c r="Q43" s="376"/>
      <c r="R43" s="685"/>
      <c r="S43" s="252"/>
      <c r="T43" s="16"/>
      <c r="U43" s="265" t="s">
        <v>111</v>
      </c>
      <c r="V43" s="346">
        <f ca="1">Z65/F33-1</f>
        <v>0.74506632687093743</v>
      </c>
      <c r="W43" s="343"/>
      <c r="X43" s="265" t="s">
        <v>112</v>
      </c>
      <c r="Y43" s="346">
        <f>AE7</f>
        <v>0.14265976371092209</v>
      </c>
      <c r="Z43" s="287"/>
      <c r="AA43" s="16"/>
      <c r="AB43" s="16"/>
      <c r="AC43" s="254"/>
      <c r="AD43" s="16"/>
      <c r="AE43" s="16"/>
      <c r="AF43" s="254"/>
      <c r="AG43" s="16"/>
      <c r="AH43" s="16"/>
      <c r="AI43" s="254"/>
      <c r="AJ43" s="16"/>
      <c r="AK43" s="18"/>
      <c r="AL43" s="18"/>
      <c r="AM43" s="18"/>
      <c r="AN43" s="18"/>
      <c r="AO43" s="18"/>
      <c r="AP43" s="18"/>
      <c r="AQ43" s="18"/>
      <c r="AR43" s="18"/>
      <c r="AS43" s="18"/>
      <c r="AT43" s="18"/>
      <c r="AU43" s="18"/>
      <c r="AV43" s="18"/>
      <c r="AW43" s="18"/>
      <c r="AX43" s="18"/>
      <c r="AY43" s="18"/>
      <c r="AZ43" s="18"/>
    </row>
    <row r="44" spans="1:52" ht="15" customHeight="1" x14ac:dyDescent="0.3">
      <c r="A44" s="248"/>
      <c r="B44" s="648" t="s">
        <v>685</v>
      </c>
      <c r="C44" s="332">
        <f t="shared" ref="C44:I44" si="14">C39/D39-1</f>
        <v>0.10935600752511765</v>
      </c>
      <c r="D44" s="332">
        <f>D39/E39-1</f>
        <v>0.33109408469535673</v>
      </c>
      <c r="E44" s="332">
        <f t="shared" si="14"/>
        <v>8.0120991078531656E-2</v>
      </c>
      <c r="F44" s="649" t="e">
        <f t="shared" si="14"/>
        <v>#VALUE!</v>
      </c>
      <c r="G44" s="332" t="e">
        <f t="shared" si="14"/>
        <v>#VALUE!</v>
      </c>
      <c r="H44" s="332" t="e">
        <f t="shared" si="14"/>
        <v>#VALUE!</v>
      </c>
      <c r="I44" s="332">
        <f t="shared" si="14"/>
        <v>6.7307692307692291E-2</v>
      </c>
      <c r="J44" s="332"/>
      <c r="K44" s="680"/>
      <c r="L44" s="650" t="s">
        <v>681</v>
      </c>
      <c r="M44" s="407">
        <f>C39/D39-1</f>
        <v>0.10935600752511765</v>
      </c>
      <c r="N44" s="407">
        <f>D39/E39-1</f>
        <v>0.33109408469535673</v>
      </c>
      <c r="O44" s="407">
        <f>E39/F39-1</f>
        <v>8.0120991078531656E-2</v>
      </c>
      <c r="P44" s="376"/>
      <c r="Q44" s="376"/>
      <c r="R44" s="685"/>
      <c r="S44" s="252"/>
      <c r="T44" s="16"/>
      <c r="U44" s="265" t="s">
        <v>113</v>
      </c>
      <c r="V44" s="338">
        <f ca="1">V43-V42</f>
        <v>0.583039445127431</v>
      </c>
      <c r="W44" s="343"/>
      <c r="X44" s="265" t="s">
        <v>114</v>
      </c>
      <c r="Y44" s="338">
        <f>Y43-Y42</f>
        <v>3.9151305491158119</v>
      </c>
      <c r="Z44" s="287"/>
      <c r="AA44" s="16"/>
      <c r="AB44" s="16"/>
      <c r="AC44" s="254"/>
      <c r="AD44" s="16"/>
      <c r="AE44" s="16"/>
      <c r="AF44" s="254"/>
      <c r="AG44" s="16"/>
      <c r="AH44" s="16"/>
      <c r="AI44" s="254"/>
      <c r="AJ44" s="16"/>
      <c r="AK44" s="18"/>
      <c r="AL44" s="18"/>
      <c r="AM44" s="18"/>
      <c r="AN44" s="18"/>
      <c r="AO44" s="18"/>
      <c r="AP44" s="18"/>
      <c r="AQ44" s="18"/>
      <c r="AR44" s="18"/>
      <c r="AS44" s="18"/>
      <c r="AT44" s="18"/>
      <c r="AU44" s="18"/>
      <c r="AV44" s="18"/>
      <c r="AW44" s="18"/>
      <c r="AX44" s="18"/>
      <c r="AY44" s="18"/>
      <c r="AZ44" s="18"/>
    </row>
    <row r="45" spans="1:52" ht="15" customHeight="1" x14ac:dyDescent="0.3">
      <c r="A45" s="248"/>
      <c r="B45" s="632" t="s">
        <v>684</v>
      </c>
      <c r="C45" s="342">
        <f t="shared" ref="C45:J45" si="15">C34/C12</f>
        <v>5.7492607823334527</v>
      </c>
      <c r="D45" s="342">
        <f t="shared" si="15"/>
        <v>5.4896894809945742</v>
      </c>
      <c r="E45" s="342">
        <f t="shared" si="15"/>
        <v>4.9029578649081218</v>
      </c>
      <c r="F45" s="646">
        <f t="shared" si="15"/>
        <v>4.214026602176542</v>
      </c>
      <c r="G45" s="342">
        <f t="shared" si="15"/>
        <v>3.8436018957345972</v>
      </c>
      <c r="H45" s="342">
        <f t="shared" si="15"/>
        <v>2.7906026557711949</v>
      </c>
      <c r="I45" s="342">
        <f t="shared" si="15"/>
        <v>7.2890365448504983</v>
      </c>
      <c r="J45" s="342">
        <f t="shared" si="15"/>
        <v>5.2992700729927007</v>
      </c>
      <c r="K45" s="680" t="s">
        <v>300</v>
      </c>
      <c r="L45" s="650"/>
      <c r="M45" s="376"/>
      <c r="N45" s="376"/>
      <c r="O45" s="376"/>
      <c r="P45" s="376"/>
      <c r="Q45" s="376"/>
      <c r="R45" s="685"/>
      <c r="S45" s="252"/>
      <c r="T45" s="16"/>
      <c r="U45" s="280"/>
      <c r="V45" s="280"/>
      <c r="W45" s="254"/>
      <c r="X45" s="280"/>
      <c r="Y45" s="280"/>
      <c r="Z45" s="254"/>
      <c r="AA45" s="16"/>
      <c r="AB45" s="16"/>
      <c r="AC45" s="254"/>
      <c r="AD45" s="16"/>
      <c r="AE45" s="16"/>
      <c r="AF45" s="254"/>
      <c r="AG45" s="16"/>
      <c r="AH45" s="16"/>
      <c r="AI45" s="254"/>
      <c r="AJ45" s="16"/>
      <c r="AK45" s="18"/>
      <c r="AL45" s="18"/>
      <c r="AM45" s="18"/>
      <c r="AN45" s="18"/>
      <c r="AO45" s="18"/>
      <c r="AP45" s="18"/>
      <c r="AQ45" s="18"/>
      <c r="AR45" s="18"/>
      <c r="AS45" s="18"/>
      <c r="AT45" s="18"/>
      <c r="AU45" s="18"/>
      <c r="AV45" s="18"/>
      <c r="AW45" s="18"/>
      <c r="AX45" s="18"/>
      <c r="AY45" s="18"/>
      <c r="AZ45" s="18"/>
    </row>
    <row r="46" spans="1:52" ht="15" customHeight="1" x14ac:dyDescent="0.3">
      <c r="A46" s="248"/>
      <c r="B46" s="695" t="s">
        <v>680</v>
      </c>
      <c r="C46" s="696">
        <f>C34/D34-1</f>
        <v>5.2954511442001362E-2</v>
      </c>
      <c r="D46" s="696">
        <f>D34/E34-1</f>
        <v>0.10162151289356292</v>
      </c>
      <c r="E46" s="696">
        <f>E34/F34-1</f>
        <v>0.18764821423242473</v>
      </c>
      <c r="F46" s="697"/>
      <c r="G46" s="697"/>
      <c r="H46" s="697"/>
      <c r="I46" s="697"/>
      <c r="J46" s="697"/>
      <c r="K46" s="625"/>
      <c r="L46" s="699"/>
      <c r="M46" s="700"/>
      <c r="N46" s="700"/>
      <c r="O46" s="700"/>
      <c r="P46" s="700"/>
      <c r="Q46" s="700"/>
      <c r="R46" s="701"/>
      <c r="S46" s="252"/>
      <c r="T46" s="16"/>
      <c r="U46" s="16"/>
      <c r="V46" s="16"/>
      <c r="W46" s="254"/>
      <c r="X46" s="16"/>
      <c r="Y46" s="16"/>
      <c r="Z46" s="254"/>
      <c r="AA46" s="16"/>
      <c r="AB46" s="16"/>
      <c r="AC46" s="254"/>
      <c r="AD46" s="16"/>
      <c r="AE46" s="16"/>
      <c r="AF46" s="254"/>
      <c r="AG46" s="16"/>
      <c r="AH46" s="16"/>
      <c r="AI46" s="254"/>
      <c r="AJ46" s="16"/>
      <c r="AK46" s="18"/>
      <c r="AL46" s="18"/>
      <c r="AM46" s="18"/>
      <c r="AN46" s="18"/>
      <c r="AO46" s="18"/>
      <c r="AP46" s="18"/>
      <c r="AQ46" s="18"/>
      <c r="AR46" s="18"/>
      <c r="AS46" s="18"/>
      <c r="AT46" s="18"/>
      <c r="AU46" s="18"/>
      <c r="AV46" s="18"/>
      <c r="AW46" s="18"/>
      <c r="AX46" s="18"/>
      <c r="AY46" s="18"/>
      <c r="AZ46" s="18"/>
    </row>
    <row r="47" spans="1:52" ht="15" customHeight="1" x14ac:dyDescent="0.3">
      <c r="A47" s="248"/>
      <c r="B47" s="624"/>
      <c r="C47" s="404"/>
      <c r="D47" s="404"/>
      <c r="E47" s="623"/>
      <c r="F47" s="623"/>
      <c r="G47" s="623"/>
      <c r="H47" s="623"/>
      <c r="I47" s="623"/>
      <c r="J47" s="623"/>
      <c r="K47" s="625"/>
      <c r="L47" s="679"/>
      <c r="M47" s="625"/>
      <c r="N47" s="625"/>
      <c r="O47" s="625"/>
      <c r="P47" s="625"/>
      <c r="Q47" s="625"/>
      <c r="R47" s="698"/>
      <c r="S47" s="252"/>
      <c r="T47" s="16"/>
      <c r="U47" s="311"/>
      <c r="V47" s="309"/>
      <c r="W47" s="309"/>
      <c r="X47" s="347" t="s">
        <v>116</v>
      </c>
      <c r="Y47" s="347" t="s">
        <v>117</v>
      </c>
      <c r="Z47" s="347" t="s">
        <v>118</v>
      </c>
      <c r="AA47" s="347" t="s">
        <v>119</v>
      </c>
      <c r="AB47" s="309"/>
      <c r="AC47" s="348"/>
      <c r="AD47" s="306"/>
      <c r="AE47" s="16"/>
      <c r="AF47" s="254"/>
      <c r="AG47" s="16"/>
      <c r="AH47" s="16"/>
      <c r="AI47" s="254"/>
      <c r="AJ47" s="16"/>
      <c r="AK47" s="18"/>
      <c r="AL47" s="18"/>
      <c r="AM47" s="18"/>
      <c r="AN47" s="18"/>
      <c r="AO47" s="18"/>
      <c r="AP47" s="18"/>
      <c r="AQ47" s="18"/>
      <c r="AR47" s="18"/>
      <c r="AS47" s="18"/>
      <c r="AT47" s="18"/>
      <c r="AU47" s="18"/>
      <c r="AV47" s="18"/>
      <c r="AW47" s="18"/>
      <c r="AX47" s="18"/>
      <c r="AY47" s="18"/>
      <c r="AZ47" s="18"/>
    </row>
    <row r="48" spans="1:52" ht="15" customHeight="1" x14ac:dyDescent="0.3">
      <c r="A48" s="248"/>
      <c r="B48" s="627" t="s">
        <v>60</v>
      </c>
      <c r="C48" s="628" t="str">
        <f>C$4</f>
        <v>FY3</v>
      </c>
      <c r="D48" s="628" t="str">
        <f t="shared" ref="D48:J48" si="16">D$4</f>
        <v>FY2</v>
      </c>
      <c r="E48" s="628" t="str">
        <f t="shared" si="16"/>
        <v>FY1</v>
      </c>
      <c r="F48" s="630">
        <f t="shared" si="16"/>
        <v>2022</v>
      </c>
      <c r="G48" s="628">
        <f t="shared" si="16"/>
        <v>2021</v>
      </c>
      <c r="H48" s="628">
        <f t="shared" si="16"/>
        <v>2020</v>
      </c>
      <c r="I48" s="628">
        <f t="shared" si="16"/>
        <v>2019</v>
      </c>
      <c r="J48" s="628">
        <f t="shared" si="16"/>
        <v>2018</v>
      </c>
      <c r="K48" s="680"/>
      <c r="L48" s="652"/>
      <c r="M48" s="702" t="str">
        <f>M4</f>
        <v>FY3</v>
      </c>
      <c r="N48" s="702" t="str">
        <f>N4</f>
        <v>FY2</v>
      </c>
      <c r="O48" s="702" t="str">
        <f>O4</f>
        <v>FY1</v>
      </c>
      <c r="P48" s="702">
        <f>P4</f>
        <v>2022</v>
      </c>
      <c r="Q48" s="702">
        <f>Q4</f>
        <v>2021</v>
      </c>
      <c r="R48" s="703"/>
      <c r="S48" s="252"/>
      <c r="T48" s="16"/>
      <c r="U48" s="316"/>
      <c r="V48" s="199"/>
      <c r="W48" s="199"/>
      <c r="X48" s="350">
        <f>AE7</f>
        <v>0.14265976371092209</v>
      </c>
      <c r="Y48" s="351">
        <v>0.05</v>
      </c>
      <c r="Z48" s="352">
        <f>(X48-Y48)/(X48*(Y52-Y48))</f>
        <v>6.4951575202860106</v>
      </c>
      <c r="AA48" s="353">
        <f>Z48/X48</f>
        <v>45.529007979064374</v>
      </c>
      <c r="AB48" s="199"/>
      <c r="AC48" s="182"/>
      <c r="AD48" s="306"/>
      <c r="AE48" s="16"/>
      <c r="AF48" s="254"/>
      <c r="AG48" s="16"/>
      <c r="AH48" s="16"/>
      <c r="AI48" s="254"/>
      <c r="AJ48" s="16"/>
      <c r="AK48" s="18"/>
      <c r="AL48" s="18"/>
      <c r="AM48" s="18"/>
      <c r="AN48" s="18"/>
      <c r="AO48" s="18"/>
      <c r="AP48" s="18"/>
      <c r="AQ48" s="18"/>
      <c r="AR48" s="18"/>
      <c r="AS48" s="18"/>
      <c r="AT48" s="18"/>
      <c r="AU48" s="18"/>
      <c r="AV48" s="18"/>
      <c r="AW48" s="18"/>
      <c r="AX48" s="18"/>
      <c r="AY48" s="18"/>
      <c r="AZ48" s="18"/>
    </row>
    <row r="49" spans="1:52" ht="15" customHeight="1" x14ac:dyDescent="0.3">
      <c r="A49" s="248"/>
      <c r="B49" s="635" t="str">
        <f>'Financials DF'!B125</f>
        <v>Total Preferred Equity</v>
      </c>
      <c r="C49" s="629">
        <f>D49</f>
        <v>644</v>
      </c>
      <c r="D49" s="629">
        <f>E49</f>
        <v>644</v>
      </c>
      <c r="E49" s="629">
        <f>F49</f>
        <v>644</v>
      </c>
      <c r="F49" s="631">
        <f>'Financials DF'!C125</f>
        <v>644</v>
      </c>
      <c r="G49" s="629">
        <f>'Financials DF'!D125</f>
        <v>644</v>
      </c>
      <c r="H49" s="629">
        <f>'Financials DF'!E125</f>
        <v>644</v>
      </c>
      <c r="I49" s="629">
        <f>'Financials DF'!F125</f>
        <v>644</v>
      </c>
      <c r="J49" s="629">
        <f>'Financials DF'!G125</f>
        <v>644</v>
      </c>
      <c r="K49" s="680"/>
      <c r="L49" s="655"/>
      <c r="M49" s="682"/>
      <c r="N49" s="682"/>
      <c r="O49" s="682"/>
      <c r="P49" s="682"/>
      <c r="Q49" s="682"/>
      <c r="R49" s="684"/>
      <c r="S49" s="252"/>
      <c r="T49" s="16"/>
      <c r="U49" s="316"/>
      <c r="V49" s="199"/>
      <c r="W49" s="199"/>
      <c r="X49" s="354"/>
      <c r="Y49" s="199"/>
      <c r="Z49" s="355"/>
      <c r="AA49" s="355"/>
      <c r="AB49" s="199"/>
      <c r="AC49" s="182"/>
      <c r="AD49" s="306"/>
      <c r="AE49" s="16"/>
      <c r="AF49" s="254"/>
      <c r="AG49" s="16"/>
      <c r="AH49" s="16"/>
      <c r="AI49" s="254"/>
      <c r="AJ49" s="16"/>
      <c r="AK49" s="18"/>
      <c r="AL49" s="18"/>
      <c r="AM49" s="18"/>
      <c r="AN49" s="18"/>
      <c r="AO49" s="18"/>
      <c r="AP49" s="18"/>
      <c r="AQ49" s="18"/>
      <c r="AR49" s="18"/>
      <c r="AS49" s="18"/>
      <c r="AT49" s="18"/>
      <c r="AU49" s="18"/>
      <c r="AV49" s="18"/>
      <c r="AW49" s="18"/>
      <c r="AX49" s="18"/>
      <c r="AY49" s="18"/>
      <c r="AZ49" s="18"/>
    </row>
    <row r="50" spans="1:52" ht="15" customHeight="1" x14ac:dyDescent="0.3">
      <c r="A50" s="248"/>
      <c r="B50" s="632" t="str">
        <f>'Financials DF'!B126</f>
        <v>BS Minority Interest</v>
      </c>
      <c r="C50" s="303">
        <f>D50+C19</f>
        <v>54</v>
      </c>
      <c r="D50" s="303">
        <f>E50+D19</f>
        <v>54</v>
      </c>
      <c r="E50" s="303">
        <f>F50+E19</f>
        <v>54</v>
      </c>
      <c r="F50" s="650">
        <f>'Financials DF'!C126</f>
        <v>54</v>
      </c>
      <c r="G50" s="303">
        <f>'Financials DF'!D126</f>
        <v>12</v>
      </c>
      <c r="H50" s="303">
        <f>'Financials DF'!E126</f>
        <v>32</v>
      </c>
      <c r="I50" s="303">
        <f>'Financials DF'!F126</f>
        <v>52</v>
      </c>
      <c r="J50" s="303">
        <f>'Financials DF'!G126</f>
        <v>50</v>
      </c>
      <c r="K50" s="680"/>
      <c r="L50" s="650"/>
      <c r="M50" s="376"/>
      <c r="N50" s="376"/>
      <c r="O50" s="376"/>
      <c r="P50" s="376"/>
      <c r="Q50" s="376"/>
      <c r="R50" s="685"/>
      <c r="S50" s="252"/>
      <c r="T50" s="16"/>
      <c r="U50" s="356" t="s">
        <v>125</v>
      </c>
      <c r="V50" s="199"/>
      <c r="W50" s="199"/>
      <c r="X50" s="199"/>
      <c r="Y50" s="199"/>
      <c r="Z50" s="199"/>
      <c r="AA50" s="199"/>
      <c r="AB50" s="199"/>
      <c r="AC50" s="182"/>
      <c r="AD50" s="306"/>
      <c r="AE50" s="16"/>
      <c r="AF50" s="254"/>
      <c r="AG50" s="16"/>
      <c r="AH50" s="16"/>
      <c r="AI50" s="254"/>
      <c r="AJ50" s="16"/>
      <c r="AK50" s="18"/>
      <c r="AL50" s="18"/>
      <c r="AM50" s="18"/>
      <c r="AN50" s="18"/>
      <c r="AO50" s="18"/>
      <c r="AP50" s="18"/>
      <c r="AQ50" s="18"/>
      <c r="AR50" s="18"/>
      <c r="AS50" s="18"/>
      <c r="AT50" s="18"/>
      <c r="AU50" s="18"/>
      <c r="AV50" s="18"/>
      <c r="AW50" s="18"/>
      <c r="AX50" s="18"/>
      <c r="AY50" s="18"/>
      <c r="AZ50" s="18"/>
    </row>
    <row r="51" spans="1:52" ht="15" customHeight="1" x14ac:dyDescent="0.3">
      <c r="A51" s="248"/>
      <c r="B51" s="632" t="str">
        <f>'Financials DF'!B127</f>
        <v>Share Capital &amp; APIC</v>
      </c>
      <c r="C51" s="303">
        <f>D51-C87</f>
        <v>2547</v>
      </c>
      <c r="D51" s="303">
        <f>E51-D87</f>
        <v>3197</v>
      </c>
      <c r="E51" s="303">
        <f>F51-E87</f>
        <v>3797</v>
      </c>
      <c r="F51" s="650">
        <f>'Financials DF'!C127</f>
        <v>4297</v>
      </c>
      <c r="G51" s="303">
        <f>'Financials DF'!D127</f>
        <v>4297</v>
      </c>
      <c r="H51" s="303">
        <f>'Financials DF'!E127</f>
        <v>4297</v>
      </c>
      <c r="I51" s="303">
        <f>'Financials DF'!F127</f>
        <v>4334</v>
      </c>
      <c r="J51" s="303">
        <f>'Financials DF'!G127</f>
        <v>4391</v>
      </c>
      <c r="K51" s="680"/>
      <c r="L51" s="650"/>
      <c r="M51" s="376"/>
      <c r="N51" s="376"/>
      <c r="O51" s="376"/>
      <c r="P51" s="376"/>
      <c r="Q51" s="376"/>
      <c r="R51" s="685"/>
      <c r="S51" s="252"/>
      <c r="T51" s="16"/>
      <c r="U51" s="357" t="s">
        <v>67</v>
      </c>
      <c r="V51" s="309" t="s">
        <v>68</v>
      </c>
      <c r="W51" s="316"/>
      <c r="X51" s="358" t="s">
        <v>134</v>
      </c>
      <c r="Y51" s="358" t="s">
        <v>120</v>
      </c>
      <c r="Z51" s="358" t="s">
        <v>135</v>
      </c>
      <c r="AA51" s="358" t="s">
        <v>121</v>
      </c>
      <c r="AB51" s="358" t="s">
        <v>122</v>
      </c>
      <c r="AC51" s="182"/>
      <c r="AD51" s="306"/>
      <c r="AE51" s="16"/>
      <c r="AF51" s="254"/>
      <c r="AG51" s="16"/>
      <c r="AH51" s="16"/>
      <c r="AI51" s="254"/>
      <c r="AJ51" s="16"/>
      <c r="AK51" s="18"/>
      <c r="AL51" s="18"/>
      <c r="AM51" s="18"/>
      <c r="AN51" s="18"/>
      <c r="AO51" s="18"/>
      <c r="AP51" s="18"/>
      <c r="AQ51" s="18"/>
      <c r="AR51" s="18"/>
      <c r="AS51" s="18"/>
      <c r="AT51" s="18"/>
      <c r="AU51" s="18"/>
      <c r="AV51" s="18"/>
      <c r="AW51" s="18"/>
      <c r="AX51" s="18"/>
      <c r="AY51" s="18"/>
      <c r="AZ51" s="18"/>
    </row>
    <row r="52" spans="1:52" ht="15" customHeight="1" x14ac:dyDescent="0.3">
      <c r="A52" s="248"/>
      <c r="B52" s="632" t="str">
        <f>'Financials DF'!B128</f>
        <v>Retained Earnings &amp; Other Equity</v>
      </c>
      <c r="C52" s="303">
        <f>D52+C25-C40</f>
        <v>7921.1890059353973</v>
      </c>
      <c r="D52" s="303">
        <f>E52+D25-D40</f>
        <v>7223.3895443990004</v>
      </c>
      <c r="E52" s="303">
        <f>F52+E25-E40</f>
        <v>6570.7837525350005</v>
      </c>
      <c r="F52" s="650">
        <f>'Financials DF'!C128</f>
        <v>5949</v>
      </c>
      <c r="G52" s="303">
        <f>'Financials DF'!D128</f>
        <v>5636</v>
      </c>
      <c r="H52" s="303">
        <f>'Financials DF'!E128</f>
        <v>4826</v>
      </c>
      <c r="I52" s="303">
        <f>'Financials DF'!F128</f>
        <v>5205</v>
      </c>
      <c r="J52" s="303">
        <f>'Financials DF'!G128</f>
        <v>5330</v>
      </c>
      <c r="K52" s="680"/>
      <c r="L52" s="650"/>
      <c r="M52" s="376"/>
      <c r="N52" s="376"/>
      <c r="O52" s="376"/>
      <c r="P52" s="376"/>
      <c r="Q52" s="376"/>
      <c r="R52" s="685"/>
      <c r="S52" s="252"/>
      <c r="T52" s="16"/>
      <c r="U52" s="316"/>
      <c r="V52" s="309" t="s">
        <v>74</v>
      </c>
      <c r="W52" s="316"/>
      <c r="X52" s="205">
        <v>0.7</v>
      </c>
      <c r="Y52" s="205">
        <v>0.15</v>
      </c>
      <c r="Z52" s="205">
        <v>0.1</v>
      </c>
      <c r="AA52" s="315">
        <f>X52-X48</f>
        <v>0.55734023628907781</v>
      </c>
      <c r="AB52" s="359">
        <f>(X52-Z52)/((X52)*(Y52-Z52))</f>
        <v>17.142857142857146</v>
      </c>
      <c r="AC52" s="182"/>
      <c r="AD52" s="306"/>
      <c r="AE52" s="16"/>
      <c r="AF52" s="254"/>
      <c r="AG52" s="16"/>
      <c r="AH52" s="16"/>
      <c r="AI52" s="254"/>
      <c r="AJ52" s="16"/>
      <c r="AK52" s="18"/>
      <c r="AL52" s="18"/>
      <c r="AM52" s="18"/>
      <c r="AN52" s="18"/>
      <c r="AO52" s="18"/>
      <c r="AP52" s="18"/>
      <c r="AQ52" s="18"/>
      <c r="AR52" s="18"/>
      <c r="AS52" s="18"/>
      <c r="AT52" s="18"/>
      <c r="AU52" s="18"/>
      <c r="AV52" s="18"/>
      <c r="AW52" s="18"/>
      <c r="AX52" s="18"/>
      <c r="AY52" s="18"/>
      <c r="AZ52" s="18"/>
    </row>
    <row r="53" spans="1:52" ht="15" customHeight="1" x14ac:dyDescent="0.3">
      <c r="A53" s="248"/>
      <c r="B53" s="652" t="str">
        <f>'Financials DF'!B129</f>
        <v>Total Shareholders' Equity</v>
      </c>
      <c r="C53" s="628">
        <f t="shared" ref="C53:J53" si="17">SUM(C49:C52)</f>
        <v>11166.189005935397</v>
      </c>
      <c r="D53" s="628">
        <f t="shared" si="17"/>
        <v>11118.389544399</v>
      </c>
      <c r="E53" s="628">
        <f>SUM(E49:E52)</f>
        <v>11065.783752535001</v>
      </c>
      <c r="F53" s="630">
        <f>SUM(F49:F52)</f>
        <v>10944</v>
      </c>
      <c r="G53" s="628">
        <f t="shared" si="17"/>
        <v>10589</v>
      </c>
      <c r="H53" s="628">
        <f t="shared" si="17"/>
        <v>9799</v>
      </c>
      <c r="I53" s="628">
        <f t="shared" si="17"/>
        <v>10235</v>
      </c>
      <c r="J53" s="628">
        <f t="shared" si="17"/>
        <v>10415</v>
      </c>
      <c r="K53" s="680"/>
      <c r="L53" s="650" t="s">
        <v>682</v>
      </c>
      <c r="M53" s="407">
        <f>C53/D53-1</f>
        <v>4.2991353509893582E-3</v>
      </c>
      <c r="N53" s="407">
        <f>D53/E53-1</f>
        <v>4.7539146833543988E-3</v>
      </c>
      <c r="O53" s="407">
        <f>E53/F53-1</f>
        <v>1.1127901364674786E-2</v>
      </c>
      <c r="P53" s="376"/>
      <c r="Q53" s="376"/>
      <c r="R53" s="685"/>
      <c r="S53" s="252"/>
      <c r="T53" s="16"/>
      <c r="U53" s="311" t="s">
        <v>124</v>
      </c>
      <c r="V53" s="360">
        <f>(X48-Y48)/(X48*(Y52-Y48))</f>
        <v>6.4951575202860106</v>
      </c>
      <c r="W53" s="316"/>
      <c r="X53" s="199"/>
      <c r="Y53" s="199"/>
      <c r="Z53" s="361"/>
      <c r="AA53" s="362"/>
      <c r="AB53" s="352">
        <f>AA53*$I$5</f>
        <v>0</v>
      </c>
      <c r="AC53" s="182"/>
      <c r="AD53" s="306"/>
      <c r="AE53" s="16"/>
      <c r="AF53" s="254"/>
      <c r="AG53" s="16"/>
      <c r="AH53" s="16"/>
      <c r="AI53" s="254"/>
      <c r="AJ53" s="16"/>
      <c r="AK53" s="18"/>
      <c r="AL53" s="18"/>
      <c r="AM53" s="18"/>
      <c r="AN53" s="18"/>
      <c r="AO53" s="18"/>
      <c r="AP53" s="18"/>
      <c r="AQ53" s="18"/>
      <c r="AR53" s="18"/>
      <c r="AS53" s="18"/>
      <c r="AT53" s="18"/>
      <c r="AU53" s="18"/>
      <c r="AV53" s="18"/>
      <c r="AW53" s="18"/>
      <c r="AX53" s="18"/>
      <c r="AY53" s="18"/>
      <c r="AZ53" s="18"/>
    </row>
    <row r="54" spans="1:52" ht="15" customHeight="1" x14ac:dyDescent="0.3">
      <c r="A54" s="248"/>
      <c r="B54" s="635" t="str">
        <f>'Financials DF'!B115</f>
        <v>Long Term Debt</v>
      </c>
      <c r="C54" s="639">
        <f t="shared" ref="C54:D54" si="18">D54+M54</f>
        <v>5265</v>
      </c>
      <c r="D54" s="637">
        <f t="shared" si="18"/>
        <v>5265</v>
      </c>
      <c r="E54" s="637">
        <f>F54+O54</f>
        <v>5265</v>
      </c>
      <c r="F54" s="631">
        <f>'Financials DF'!C117</f>
        <v>5265</v>
      </c>
      <c r="G54" s="629">
        <f>'Financials DF'!D117</f>
        <v>4936</v>
      </c>
      <c r="H54" s="629">
        <f>'Financials DF'!E117</f>
        <v>6761</v>
      </c>
      <c r="I54" s="629">
        <f>'Financials DF'!F117</f>
        <v>5038</v>
      </c>
      <c r="J54" s="629">
        <f>'Financials DF'!G117</f>
        <v>5094</v>
      </c>
      <c r="K54" s="680"/>
      <c r="L54" s="650" t="s">
        <v>1771</v>
      </c>
      <c r="M54" s="704">
        <v>0</v>
      </c>
      <c r="N54" s="704">
        <v>0</v>
      </c>
      <c r="O54" s="704">
        <v>0</v>
      </c>
      <c r="P54" s="407">
        <f>F54/F53</f>
        <v>0.48108552631578949</v>
      </c>
      <c r="Q54" s="407">
        <f>G54/G53</f>
        <v>0.46614411181414678</v>
      </c>
      <c r="R54" s="685" t="s">
        <v>274</v>
      </c>
      <c r="S54" s="252"/>
      <c r="T54" s="16"/>
      <c r="U54" s="316" t="s">
        <v>123</v>
      </c>
      <c r="V54" s="363">
        <f>AB52</f>
        <v>17.142857142857146</v>
      </c>
      <c r="W54" s="316"/>
      <c r="X54" s="199"/>
      <c r="Y54" s="199"/>
      <c r="Z54" s="199"/>
      <c r="AA54" s="364"/>
      <c r="AB54" s="199"/>
      <c r="AC54" s="182"/>
      <c r="AD54" s="306"/>
      <c r="AE54" s="16"/>
      <c r="AF54" s="254"/>
      <c r="AG54" s="16"/>
      <c r="AH54" s="16"/>
      <c r="AI54" s="254"/>
      <c r="AJ54" s="16"/>
      <c r="AK54" s="18"/>
      <c r="AL54" s="18"/>
      <c r="AM54" s="18"/>
      <c r="AN54" s="18"/>
      <c r="AO54" s="18"/>
      <c r="AP54" s="18"/>
      <c r="AQ54" s="18"/>
      <c r="AR54" s="18"/>
      <c r="AS54" s="18"/>
      <c r="AT54" s="18"/>
      <c r="AU54" s="18"/>
      <c r="AV54" s="18"/>
      <c r="AW54" s="18"/>
      <c r="AX54" s="18"/>
      <c r="AY54" s="18"/>
      <c r="AZ54" s="18"/>
    </row>
    <row r="55" spans="1:52" ht="15" customHeight="1" x14ac:dyDescent="0.3">
      <c r="A55" s="248"/>
      <c r="B55" s="632" t="str">
        <f>'Financials DF'!B122</f>
        <v>Other Long-Term Liabilities</v>
      </c>
      <c r="C55" s="633">
        <f t="shared" ref="C55:E55" si="19">D55</f>
        <v>874</v>
      </c>
      <c r="D55" s="262">
        <f t="shared" si="19"/>
        <v>874</v>
      </c>
      <c r="E55" s="262">
        <f t="shared" si="19"/>
        <v>874</v>
      </c>
      <c r="F55" s="650">
        <f>'Financials DF'!C122</f>
        <v>874</v>
      </c>
      <c r="G55" s="303">
        <f>'Financials DF'!D122</f>
        <v>886</v>
      </c>
      <c r="H55" s="303">
        <f>'Financials DF'!E122</f>
        <v>821</v>
      </c>
      <c r="I55" s="303">
        <f>'Financials DF'!F122</f>
        <v>823</v>
      </c>
      <c r="J55" s="303">
        <f>'Financials DF'!G122</f>
        <v>813</v>
      </c>
      <c r="K55" s="680"/>
      <c r="L55" s="650"/>
      <c r="M55" s="407">
        <f>C55/C53</f>
        <v>7.8272004847439403E-2</v>
      </c>
      <c r="N55" s="407">
        <f>D55/D53</f>
        <v>7.8608506790471849E-2</v>
      </c>
      <c r="O55" s="407">
        <f>E55/E53</f>
        <v>7.8982204925139632E-2</v>
      </c>
      <c r="P55" s="407">
        <f>F55/F53</f>
        <v>7.9861111111111105E-2</v>
      </c>
      <c r="Q55" s="407">
        <f>G55/G53</f>
        <v>8.3671734819151952E-2</v>
      </c>
      <c r="R55" s="685" t="s">
        <v>274</v>
      </c>
      <c r="S55" s="252"/>
      <c r="T55" s="16"/>
      <c r="U55" s="316" t="s">
        <v>143</v>
      </c>
      <c r="V55" s="363">
        <f>AVERAGE(V53:V54)</f>
        <v>11.819007331571578</v>
      </c>
      <c r="W55" s="316"/>
      <c r="X55" s="199"/>
      <c r="Y55" s="199"/>
      <c r="Z55" s="199"/>
      <c r="AA55" s="315"/>
      <c r="AB55" s="199"/>
      <c r="AC55" s="182"/>
      <c r="AD55" s="306"/>
      <c r="AE55" s="16"/>
      <c r="AF55" s="254"/>
      <c r="AG55" s="16"/>
      <c r="AH55" s="16"/>
      <c r="AI55" s="254"/>
      <c r="AJ55" s="16"/>
      <c r="AK55" s="18"/>
      <c r="AL55" s="18"/>
      <c r="AM55" s="18"/>
      <c r="AN55" s="18"/>
      <c r="AO55" s="18"/>
      <c r="AP55" s="18"/>
      <c r="AQ55" s="18"/>
      <c r="AR55" s="18"/>
      <c r="AS55" s="18"/>
      <c r="AT55" s="18"/>
      <c r="AU55" s="18"/>
      <c r="AV55" s="18"/>
      <c r="AW55" s="18"/>
      <c r="AX55" s="18"/>
      <c r="AY55" s="18"/>
      <c r="AZ55" s="18"/>
    </row>
    <row r="56" spans="1:52" ht="15" customHeight="1" x14ac:dyDescent="0.3">
      <c r="A56" s="248"/>
      <c r="B56" s="632" t="s">
        <v>1801</v>
      </c>
      <c r="C56" s="633">
        <f t="shared" ref="C56" si="20">D56+M56</f>
        <v>3906</v>
      </c>
      <c r="D56" s="262">
        <f t="shared" ref="D56" si="21">E56+N56</f>
        <v>3906</v>
      </c>
      <c r="E56" s="262">
        <f>F56+O56</f>
        <v>3906</v>
      </c>
      <c r="F56" s="650">
        <f>'Financials DF'!C118</f>
        <v>3906</v>
      </c>
      <c r="G56" s="303">
        <f>'Financials DF'!D118</f>
        <v>3588</v>
      </c>
      <c r="H56" s="303">
        <f>'Financials DF'!E118</f>
        <v>3546</v>
      </c>
      <c r="I56" s="303">
        <f>'Financials DF'!F118</f>
        <v>23</v>
      </c>
      <c r="J56" s="303">
        <f>'Financials DF'!G118</f>
        <v>20</v>
      </c>
      <c r="K56" s="680"/>
      <c r="L56" s="650" t="s">
        <v>1824</v>
      </c>
      <c r="M56" s="704">
        <v>0</v>
      </c>
      <c r="N56" s="704">
        <v>0</v>
      </c>
      <c r="O56" s="704">
        <v>0</v>
      </c>
      <c r="P56" s="407">
        <f>F56/F53</f>
        <v>0.35690789473684209</v>
      </c>
      <c r="Q56" s="407">
        <f>G56/G53</f>
        <v>0.33884219473038057</v>
      </c>
      <c r="R56" s="685" t="s">
        <v>274</v>
      </c>
      <c r="S56" s="252"/>
      <c r="T56" s="16"/>
      <c r="U56" s="365" t="str">
        <f>IF('Financials DF'!B10="",'Financials DF'!B8,'Financials DF'!B10)</f>
        <v>NTC SJ Equity</v>
      </c>
      <c r="V56" s="280"/>
      <c r="W56" s="318"/>
      <c r="X56" s="536" t="s">
        <v>133</v>
      </c>
      <c r="Y56" s="182"/>
      <c r="Z56" s="182"/>
      <c r="AA56" s="182"/>
      <c r="AB56" s="182"/>
      <c r="AC56" s="182"/>
      <c r="AD56" s="306"/>
      <c r="AE56" s="16"/>
      <c r="AF56" s="254"/>
      <c r="AG56" s="16"/>
      <c r="AH56" s="16"/>
      <c r="AI56" s="254"/>
      <c r="AJ56" s="16"/>
      <c r="AK56" s="18"/>
      <c r="AL56" s="18"/>
      <c r="AM56" s="18"/>
      <c r="AN56" s="18"/>
      <c r="AO56" s="18"/>
      <c r="AP56" s="18"/>
      <c r="AQ56" s="18"/>
      <c r="AR56" s="18"/>
      <c r="AS56" s="18"/>
      <c r="AT56" s="18"/>
      <c r="AU56" s="18"/>
      <c r="AV56" s="18"/>
      <c r="AW56" s="18"/>
      <c r="AX56" s="18"/>
      <c r="AY56" s="18"/>
      <c r="AZ56" s="18"/>
    </row>
    <row r="57" spans="1:52" ht="15" customHeight="1" x14ac:dyDescent="0.3">
      <c r="A57" s="248"/>
      <c r="B57" s="632"/>
      <c r="C57" s="650"/>
      <c r="D57" s="303"/>
      <c r="E57" s="303"/>
      <c r="F57" s="650"/>
      <c r="G57" s="303"/>
      <c r="H57" s="303"/>
      <c r="I57" s="303"/>
      <c r="J57" s="303"/>
      <c r="K57" s="680"/>
      <c r="L57" s="650"/>
      <c r="M57" s="376"/>
      <c r="N57" s="376"/>
      <c r="O57" s="376"/>
      <c r="P57" s="376"/>
      <c r="Q57" s="376"/>
      <c r="R57" s="685"/>
      <c r="S57" s="252"/>
      <c r="T57" s="16"/>
      <c r="U57" s="366"/>
      <c r="V57" s="16"/>
      <c r="W57" s="318"/>
      <c r="X57" s="367">
        <f>V55*E33</f>
        <v>12.533849586858951</v>
      </c>
      <c r="Y57" s="182"/>
      <c r="Z57" s="182"/>
      <c r="AA57" s="182"/>
      <c r="AB57" s="182"/>
      <c r="AC57" s="182"/>
      <c r="AD57" s="306"/>
      <c r="AE57" s="16"/>
      <c r="AF57" s="254"/>
      <c r="AG57" s="16"/>
      <c r="AH57" s="16"/>
      <c r="AI57" s="254"/>
      <c r="AJ57" s="16"/>
      <c r="AK57" s="18"/>
      <c r="AL57" s="18"/>
      <c r="AM57" s="18"/>
      <c r="AN57" s="18"/>
      <c r="AO57" s="18"/>
      <c r="AP57" s="18"/>
      <c r="AQ57" s="18"/>
      <c r="AR57" s="18"/>
      <c r="AS57" s="18"/>
      <c r="AT57" s="18"/>
      <c r="AU57" s="18"/>
      <c r="AV57" s="18"/>
      <c r="AW57" s="18"/>
      <c r="AX57" s="18"/>
      <c r="AY57" s="18"/>
      <c r="AZ57" s="18"/>
    </row>
    <row r="58" spans="1:52" ht="15" customHeight="1" x14ac:dyDescent="0.3">
      <c r="A58" s="248"/>
      <c r="B58" s="652" t="str">
        <f>'Financials DF'!B123</f>
        <v>Total Long-Term Liabilities</v>
      </c>
      <c r="C58" s="628">
        <f>SUM(C54:C57)</f>
        <v>10045</v>
      </c>
      <c r="D58" s="628">
        <f>SUM(D54:D57)</f>
        <v>10045</v>
      </c>
      <c r="E58" s="628">
        <f t="shared" ref="E58:I58" si="22">SUM(E54:E57)</f>
        <v>10045</v>
      </c>
      <c r="F58" s="630">
        <f>SUM(F54:F57)</f>
        <v>10045</v>
      </c>
      <c r="G58" s="628">
        <f t="shared" si="22"/>
        <v>9410</v>
      </c>
      <c r="H58" s="628">
        <f t="shared" si="22"/>
        <v>11128</v>
      </c>
      <c r="I58" s="628">
        <f t="shared" si="22"/>
        <v>5884</v>
      </c>
      <c r="J58" s="628">
        <f>SUM(J54:J57)</f>
        <v>5927</v>
      </c>
      <c r="K58" s="680"/>
      <c r="L58" s="650"/>
      <c r="M58" s="349" t="str">
        <f>M48</f>
        <v>FY3</v>
      </c>
      <c r="N58" s="349" t="str">
        <f>N48</f>
        <v>FY2</v>
      </c>
      <c r="O58" s="349" t="str">
        <f>O48</f>
        <v>FY1</v>
      </c>
      <c r="P58" s="349">
        <f>P48</f>
        <v>2022</v>
      </c>
      <c r="Q58" s="349">
        <f>Q48</f>
        <v>2021</v>
      </c>
      <c r="R58" s="685"/>
      <c r="S58" s="252"/>
      <c r="T58" s="16"/>
      <c r="U58" s="368" t="str">
        <f>Frontend!B21</f>
        <v>Current Price (ZAR)</v>
      </c>
      <c r="V58" s="369">
        <f>Frontend!C21</f>
        <v>14.26</v>
      </c>
      <c r="W58" s="318"/>
      <c r="X58" s="182"/>
      <c r="Y58" s="182"/>
      <c r="Z58" s="182"/>
      <c r="AA58" s="182"/>
      <c r="AB58" s="182"/>
      <c r="AC58" s="182"/>
      <c r="AD58" s="306"/>
      <c r="AE58" s="16"/>
      <c r="AF58" s="254"/>
      <c r="AG58" s="16"/>
      <c r="AH58" s="16"/>
      <c r="AI58" s="254"/>
      <c r="AJ58" s="16"/>
      <c r="AK58" s="18"/>
      <c r="AL58" s="18"/>
      <c r="AM58" s="18"/>
      <c r="AN58" s="18"/>
      <c r="AO58" s="18"/>
      <c r="AP58" s="18"/>
      <c r="AQ58" s="18"/>
      <c r="AR58" s="18"/>
      <c r="AS58" s="18"/>
      <c r="AT58" s="18"/>
      <c r="AU58" s="18"/>
      <c r="AV58" s="18"/>
      <c r="AW58" s="18"/>
      <c r="AX58" s="18"/>
      <c r="AY58" s="18"/>
      <c r="AZ58" s="18"/>
    </row>
    <row r="59" spans="1:52" ht="15" customHeight="1" x14ac:dyDescent="0.3">
      <c r="A59" s="248"/>
      <c r="B59" s="632" t="str">
        <f>'Financials DF'!B105</f>
        <v>Trade Creditors</v>
      </c>
      <c r="C59" s="629">
        <f>M59*C6</f>
        <v>1633.8127172999993</v>
      </c>
      <c r="D59" s="629">
        <f>N59*D6</f>
        <v>1543.8613979999996</v>
      </c>
      <c r="E59" s="629">
        <f>O59*E6</f>
        <v>1452.7986000000001</v>
      </c>
      <c r="F59" s="631">
        <f>'Financials DF'!C105</f>
        <v>1324</v>
      </c>
      <c r="G59" s="629">
        <f>'Financials DF'!D105</f>
        <v>1076</v>
      </c>
      <c r="H59" s="629">
        <f>'Financials DF'!E105</f>
        <v>1050</v>
      </c>
      <c r="I59" s="629">
        <f>'Financials DF'!F105</f>
        <v>1328</v>
      </c>
      <c r="J59" s="629">
        <f>'Financials DF'!G105</f>
        <v>1191</v>
      </c>
      <c r="K59" s="680"/>
      <c r="L59" s="631" t="s">
        <v>637</v>
      </c>
      <c r="M59" s="705">
        <v>0.06</v>
      </c>
      <c r="N59" s="705">
        <v>0.06</v>
      </c>
      <c r="O59" s="705">
        <v>0.06</v>
      </c>
      <c r="P59" s="706">
        <f>F59/F6</f>
        <v>6.1194305786651873E-2</v>
      </c>
      <c r="Q59" s="706">
        <f>G59/G6</f>
        <v>5.0754716981132077E-2</v>
      </c>
      <c r="R59" s="684" t="s">
        <v>276</v>
      </c>
      <c r="S59" s="252"/>
      <c r="T59" s="16"/>
      <c r="U59" s="368" t="str">
        <f>Frontend!B23</f>
        <v>Current Market Cap (ZAR m)</v>
      </c>
      <c r="V59" s="369">
        <f>Frontend!C23</f>
        <v>20521.419999999998</v>
      </c>
      <c r="W59" s="318"/>
      <c r="X59" s="182"/>
      <c r="Y59" s="182"/>
      <c r="Z59" s="182"/>
      <c r="AA59" s="182"/>
      <c r="AB59" s="182"/>
      <c r="AC59" s="182"/>
      <c r="AD59" s="306"/>
      <c r="AE59" s="16"/>
      <c r="AF59" s="254"/>
      <c r="AG59" s="16"/>
      <c r="AH59" s="16"/>
      <c r="AI59" s="254"/>
      <c r="AJ59" s="16"/>
      <c r="AK59" s="18"/>
      <c r="AL59" s="18"/>
      <c r="AM59" s="18"/>
      <c r="AN59" s="18"/>
      <c r="AO59" s="18"/>
      <c r="AP59" s="18"/>
      <c r="AQ59" s="18"/>
      <c r="AR59" s="18"/>
      <c r="AS59" s="18"/>
      <c r="AT59" s="18"/>
      <c r="AU59" s="18"/>
      <c r="AV59" s="18"/>
      <c r="AW59" s="18"/>
      <c r="AX59" s="18"/>
      <c r="AY59" s="18"/>
      <c r="AZ59" s="18"/>
    </row>
    <row r="60" spans="1:52" ht="15" customHeight="1" x14ac:dyDescent="0.3">
      <c r="A60" s="248"/>
      <c r="B60" s="653" t="str">
        <f>'Financials DF'!B106</f>
        <v>Short Term Debt</v>
      </c>
      <c r="C60" s="303">
        <f>M60*C6</f>
        <v>1089.2084781999997</v>
      </c>
      <c r="D60" s="303">
        <f>N60*D6</f>
        <v>1029.2409319999997</v>
      </c>
      <c r="E60" s="303">
        <f>O60*E6</f>
        <v>1210.6655000000001</v>
      </c>
      <c r="F60" s="650">
        <f>'Financials DF'!C108</f>
        <v>1105</v>
      </c>
      <c r="G60" s="303">
        <f>'Financials DF'!D108</f>
        <v>1851</v>
      </c>
      <c r="H60" s="303">
        <f>'Financials DF'!E108</f>
        <v>1112</v>
      </c>
      <c r="I60" s="303">
        <f>'Financials DF'!F108</f>
        <v>1782</v>
      </c>
      <c r="J60" s="303">
        <f>'Financials DF'!G108</f>
        <v>1054</v>
      </c>
      <c r="K60" s="680"/>
      <c r="L60" s="650" t="s">
        <v>638</v>
      </c>
      <c r="M60" s="370">
        <v>0.04</v>
      </c>
      <c r="N60" s="370">
        <v>0.04</v>
      </c>
      <c r="O60" s="370">
        <v>0.05</v>
      </c>
      <c r="P60" s="407">
        <f>F60/F6</f>
        <v>5.1072286929192086E-2</v>
      </c>
      <c r="Q60" s="407">
        <f>G60/G6</f>
        <v>8.7311320754716981E-2</v>
      </c>
      <c r="R60" s="685" t="s">
        <v>276</v>
      </c>
      <c r="S60" s="252"/>
      <c r="T60" s="16"/>
      <c r="U60" s="287"/>
      <c r="V60" s="254"/>
      <c r="W60" s="371"/>
      <c r="X60" s="182"/>
      <c r="Y60" s="182"/>
      <c r="Z60" s="182"/>
      <c r="AA60" s="182"/>
      <c r="AB60" s="182"/>
      <c r="AC60" s="182"/>
      <c r="AD60" s="306"/>
      <c r="AE60" s="16"/>
      <c r="AF60" s="254"/>
      <c r="AG60" s="16"/>
      <c r="AH60" s="16"/>
      <c r="AI60" s="254"/>
      <c r="AJ60" s="16"/>
      <c r="AK60" s="18"/>
      <c r="AL60" s="18"/>
      <c r="AM60" s="18"/>
      <c r="AN60" s="18"/>
      <c r="AO60" s="18"/>
      <c r="AP60" s="18"/>
      <c r="AQ60" s="18"/>
      <c r="AR60" s="18"/>
      <c r="AS60" s="18"/>
      <c r="AT60" s="18"/>
      <c r="AU60" s="18"/>
      <c r="AV60" s="18"/>
      <c r="AW60" s="18"/>
      <c r="AX60" s="18"/>
      <c r="AY60" s="18"/>
      <c r="AZ60" s="18"/>
    </row>
    <row r="61" spans="1:52" ht="15" customHeight="1" x14ac:dyDescent="0.3">
      <c r="A61" s="248"/>
      <c r="B61" s="653" t="s">
        <v>1802</v>
      </c>
      <c r="C61" s="303">
        <f t="shared" ref="C61:D61" si="23">M61*C6</f>
        <v>707.98551082999973</v>
      </c>
      <c r="D61" s="303">
        <f t="shared" si="23"/>
        <v>669.00660579999976</v>
      </c>
      <c r="E61" s="303">
        <f>O61*E6</f>
        <v>629.54606000000001</v>
      </c>
      <c r="F61" s="650">
        <f>'Financials DF'!C109</f>
        <v>582</v>
      </c>
      <c r="G61" s="303">
        <f>'Financials DF'!D109</f>
        <v>508</v>
      </c>
      <c r="H61" s="303">
        <f>'Financials DF'!E109</f>
        <v>499</v>
      </c>
      <c r="I61" s="303">
        <f>'Financials DF'!F109</f>
        <v>3</v>
      </c>
      <c r="J61" s="303">
        <f>'Financials DF'!G109</f>
        <v>8</v>
      </c>
      <c r="K61" s="680"/>
      <c r="L61" s="650" t="s">
        <v>1824</v>
      </c>
      <c r="M61" s="370">
        <v>2.5999999999999999E-2</v>
      </c>
      <c r="N61" s="370">
        <v>2.5999999999999999E-2</v>
      </c>
      <c r="O61" s="370">
        <v>2.5999999999999999E-2</v>
      </c>
      <c r="P61" s="407">
        <f>F61/F6</f>
        <v>2.689961175818081E-2</v>
      </c>
      <c r="Q61" s="407">
        <f>G61/G6</f>
        <v>2.3962264150943397E-2</v>
      </c>
      <c r="R61" s="685" t="s">
        <v>276</v>
      </c>
      <c r="S61" s="252"/>
      <c r="T61" s="16"/>
      <c r="U61" s="372" t="s">
        <v>294</v>
      </c>
      <c r="V61" s="723">
        <v>0.15</v>
      </c>
      <c r="W61" s="197"/>
      <c r="X61" s="197"/>
      <c r="Y61" s="197" t="s">
        <v>301</v>
      </c>
      <c r="Z61" s="373">
        <f>EOMONTH('Financials DF'!C24,0)</f>
        <v>45199</v>
      </c>
      <c r="AA61" s="197"/>
      <c r="AB61" s="374" t="str">
        <f>U56</f>
        <v>NTC SJ Equity</v>
      </c>
      <c r="AC61" s="375">
        <f>V58</f>
        <v>14.26</v>
      </c>
      <c r="AD61" s="306"/>
      <c r="AE61" s="16"/>
      <c r="AF61" s="254"/>
      <c r="AG61" s="16"/>
      <c r="AH61" s="16"/>
      <c r="AI61" s="254"/>
      <c r="AJ61" s="16"/>
      <c r="AK61" s="18"/>
      <c r="AL61" s="18"/>
      <c r="AM61" s="18"/>
      <c r="AN61" s="18"/>
      <c r="AO61" s="18"/>
      <c r="AP61" s="18"/>
      <c r="AQ61" s="18"/>
      <c r="AR61" s="18"/>
      <c r="AS61" s="18"/>
      <c r="AT61" s="18"/>
      <c r="AU61" s="18"/>
      <c r="AV61" s="18"/>
      <c r="AW61" s="18"/>
      <c r="AX61" s="18"/>
      <c r="AY61" s="18"/>
      <c r="AZ61" s="18"/>
    </row>
    <row r="62" spans="1:52" ht="15" customHeight="1" x14ac:dyDescent="0.3">
      <c r="A62" s="248"/>
      <c r="B62" s="653" t="str">
        <f>'Financials DF'!B113</f>
        <v>Other Current Liabilities</v>
      </c>
      <c r="C62" s="303">
        <f>M62*C6</f>
        <v>3403.7764943749989</v>
      </c>
      <c r="D62" s="303">
        <f>N62*D6</f>
        <v>3216.3779124999992</v>
      </c>
      <c r="E62" s="303">
        <f>O62*E6</f>
        <v>3026.6637500000002</v>
      </c>
      <c r="F62" s="650">
        <f>'Financials DF'!C113</f>
        <v>2270</v>
      </c>
      <c r="G62" s="303">
        <f>'Financials DF'!D113</f>
        <v>2187</v>
      </c>
      <c r="H62" s="303">
        <f>'Financials DF'!E113</f>
        <v>2356</v>
      </c>
      <c r="I62" s="303">
        <f>'Financials DF'!F113</f>
        <v>2183</v>
      </c>
      <c r="J62" s="303">
        <f>'Financials DF'!G113</f>
        <v>1953</v>
      </c>
      <c r="K62" s="680"/>
      <c r="L62" s="650" t="s">
        <v>639</v>
      </c>
      <c r="M62" s="370">
        <v>0.125</v>
      </c>
      <c r="N62" s="370">
        <v>0.125</v>
      </c>
      <c r="O62" s="370">
        <v>0.125</v>
      </c>
      <c r="P62" s="407">
        <f>F62/F6</f>
        <v>0.10491772970974302</v>
      </c>
      <c r="Q62" s="407">
        <f>G62/G6</f>
        <v>0.10316037735849057</v>
      </c>
      <c r="R62" s="685" t="s">
        <v>276</v>
      </c>
      <c r="S62" s="252"/>
      <c r="T62" s="16"/>
      <c r="U62" s="377" t="s">
        <v>295</v>
      </c>
      <c r="V62" s="724">
        <v>0.2</v>
      </c>
      <c r="W62" s="199"/>
      <c r="X62" s="199"/>
      <c r="Y62" s="199" t="s">
        <v>302</v>
      </c>
      <c r="Z62" s="378">
        <f ca="1">Frontend!C9</f>
        <v>45160</v>
      </c>
      <c r="AA62" s="199"/>
      <c r="AB62" s="199"/>
      <c r="AC62" s="379"/>
      <c r="AD62" s="306"/>
      <c r="AE62" s="16"/>
      <c r="AF62" s="254"/>
      <c r="AG62" s="16"/>
      <c r="AH62" s="16"/>
      <c r="AI62" s="254"/>
      <c r="AJ62" s="16"/>
      <c r="AK62" s="18"/>
      <c r="AL62" s="18"/>
      <c r="AM62" s="18"/>
      <c r="AN62" s="18"/>
      <c r="AO62" s="18"/>
      <c r="AP62" s="18"/>
      <c r="AQ62" s="18"/>
      <c r="AR62" s="18"/>
      <c r="AS62" s="18"/>
      <c r="AT62" s="18"/>
      <c r="AU62" s="18"/>
      <c r="AV62" s="18"/>
      <c r="AW62" s="18"/>
      <c r="AX62" s="18"/>
      <c r="AY62" s="18"/>
      <c r="AZ62" s="18"/>
    </row>
    <row r="63" spans="1:52" ht="15" customHeight="1" x14ac:dyDescent="0.3">
      <c r="A63" s="248"/>
      <c r="B63" s="653"/>
      <c r="C63" s="303"/>
      <c r="D63" s="303"/>
      <c r="E63" s="303"/>
      <c r="F63" s="650"/>
      <c r="G63" s="303"/>
      <c r="H63" s="303"/>
      <c r="I63" s="303"/>
      <c r="J63" s="303"/>
      <c r="K63" s="680"/>
      <c r="L63" s="650"/>
      <c r="M63" s="376"/>
      <c r="N63" s="376"/>
      <c r="O63" s="376"/>
      <c r="P63" s="376"/>
      <c r="Q63" s="376"/>
      <c r="R63" s="685"/>
      <c r="S63" s="252"/>
      <c r="T63" s="16"/>
      <c r="U63" s="377" t="s">
        <v>136</v>
      </c>
      <c r="V63" s="724">
        <v>0.06</v>
      </c>
      <c r="W63" s="199"/>
      <c r="X63" s="199"/>
      <c r="Y63" s="199"/>
      <c r="Z63" s="380">
        <f ca="1">IF(Z61-Z62&lt;0,(365-ABS(Z61-Z62))/365*D33+((ABS(Z61-Z62)))/365*C33,(365-ABS(Z61-Z62))/365*D33+(ABS(Z61-Z62))/365*E33)</f>
        <v>1.2690205800040524</v>
      </c>
      <c r="AA63" s="199"/>
      <c r="AB63" s="199"/>
      <c r="AC63" s="379"/>
      <c r="AD63" s="306"/>
      <c r="AE63" s="16"/>
      <c r="AF63" s="254"/>
      <c r="AG63" s="16"/>
      <c r="AH63" s="16"/>
      <c r="AI63" s="254"/>
      <c r="AJ63" s="16"/>
      <c r="AK63" s="18"/>
      <c r="AL63" s="18"/>
      <c r="AM63" s="18"/>
      <c r="AN63" s="18"/>
      <c r="AO63" s="18"/>
      <c r="AP63" s="18"/>
      <c r="AQ63" s="18"/>
      <c r="AR63" s="18"/>
      <c r="AS63" s="18"/>
      <c r="AT63" s="18"/>
      <c r="AU63" s="18"/>
      <c r="AV63" s="18"/>
      <c r="AW63" s="18"/>
      <c r="AX63" s="18"/>
      <c r="AY63" s="18"/>
      <c r="AZ63" s="18"/>
    </row>
    <row r="64" spans="1:52" ht="15" customHeight="1" x14ac:dyDescent="0.3">
      <c r="A64" s="248"/>
      <c r="B64" s="652" t="str">
        <f>'Financials DF'!B114</f>
        <v>Total Current Liabilities</v>
      </c>
      <c r="C64" s="628">
        <f>SUM(C59:C63)</f>
        <v>6834.7832007049983</v>
      </c>
      <c r="D64" s="628">
        <f t="shared" ref="D64:H64" si="24">SUM(D59:D63)</f>
        <v>6458.4868482999982</v>
      </c>
      <c r="E64" s="628">
        <f t="shared" si="24"/>
        <v>6319.6739100000004</v>
      </c>
      <c r="F64" s="630">
        <f>SUM(F59:F63)</f>
        <v>5281</v>
      </c>
      <c r="G64" s="628">
        <f>SUM(G59:G63)</f>
        <v>5622</v>
      </c>
      <c r="H64" s="628">
        <f t="shared" si="24"/>
        <v>5017</v>
      </c>
      <c r="I64" s="628">
        <f>SUM(I59:I63)</f>
        <v>5296</v>
      </c>
      <c r="J64" s="628">
        <f>SUM(J59:J63)</f>
        <v>4206</v>
      </c>
      <c r="K64" s="680"/>
      <c r="L64" s="650"/>
      <c r="M64" s="376"/>
      <c r="N64" s="376"/>
      <c r="O64" s="376"/>
      <c r="P64" s="376"/>
      <c r="Q64" s="376"/>
      <c r="R64" s="685"/>
      <c r="S64" s="252"/>
      <c r="T64" s="16"/>
      <c r="U64" s="377" t="s">
        <v>137</v>
      </c>
      <c r="V64" s="725">
        <v>12</v>
      </c>
      <c r="W64" s="199"/>
      <c r="X64" s="199"/>
      <c r="Y64" s="199"/>
      <c r="Z64" s="381"/>
      <c r="AA64" s="199"/>
      <c r="AB64" s="199"/>
      <c r="AC64" s="379"/>
      <c r="AD64" s="306"/>
      <c r="AE64" s="16"/>
      <c r="AF64" s="254"/>
      <c r="AG64" s="16"/>
      <c r="AH64" s="16"/>
      <c r="AI64" s="254"/>
      <c r="AJ64" s="16"/>
      <c r="AK64" s="18"/>
      <c r="AL64" s="18"/>
      <c r="AM64" s="18"/>
      <c r="AN64" s="18"/>
      <c r="AO64" s="18"/>
      <c r="AP64" s="18"/>
      <c r="AQ64" s="18"/>
      <c r="AR64" s="18"/>
      <c r="AS64" s="18"/>
      <c r="AT64" s="18"/>
      <c r="AU64" s="18"/>
      <c r="AV64" s="18"/>
      <c r="AW64" s="18"/>
      <c r="AX64" s="18"/>
      <c r="AY64" s="18"/>
      <c r="AZ64" s="18"/>
    </row>
    <row r="65" spans="1:52" ht="15" customHeight="1" x14ac:dyDescent="0.3">
      <c r="A65" s="248"/>
      <c r="B65" s="655"/>
      <c r="C65" s="629"/>
      <c r="D65" s="629"/>
      <c r="E65" s="629"/>
      <c r="F65" s="631"/>
      <c r="G65" s="629"/>
      <c r="H65" s="629"/>
      <c r="I65" s="629"/>
      <c r="J65" s="629"/>
      <c r="K65" s="680"/>
      <c r="L65" s="650"/>
      <c r="M65" s="376"/>
      <c r="N65" s="376"/>
      <c r="O65" s="376"/>
      <c r="P65" s="376"/>
      <c r="Q65" s="376"/>
      <c r="R65" s="685"/>
      <c r="S65" s="252"/>
      <c r="T65" s="16"/>
      <c r="U65" s="722" t="s">
        <v>138</v>
      </c>
      <c r="V65" s="726">
        <f>AB14</f>
        <v>0.15</v>
      </c>
      <c r="W65" s="199"/>
      <c r="X65" s="199"/>
      <c r="Y65" s="199" t="s">
        <v>296</v>
      </c>
      <c r="Z65" s="382">
        <f ca="1">Z63</f>
        <v>1.2690205800040524</v>
      </c>
      <c r="AA65" s="199"/>
      <c r="AB65" s="199"/>
      <c r="AC65" s="379"/>
      <c r="AD65" s="306"/>
      <c r="AE65" s="16"/>
      <c r="AF65" s="254"/>
      <c r="AG65" s="16"/>
      <c r="AH65" s="16"/>
      <c r="AI65" s="254"/>
      <c r="AJ65" s="16"/>
      <c r="AK65" s="18"/>
      <c r="AL65" s="18"/>
      <c r="AM65" s="18"/>
      <c r="AN65" s="18"/>
      <c r="AO65" s="18"/>
      <c r="AP65" s="18"/>
      <c r="AQ65" s="18"/>
      <c r="AR65" s="18"/>
      <c r="AS65" s="18"/>
      <c r="AT65" s="18"/>
      <c r="AU65" s="18"/>
      <c r="AV65" s="18"/>
      <c r="AW65" s="18"/>
      <c r="AX65" s="18"/>
      <c r="AY65" s="18"/>
      <c r="AZ65" s="18"/>
    </row>
    <row r="66" spans="1:52" ht="15" customHeight="1" x14ac:dyDescent="0.3">
      <c r="A66" s="248"/>
      <c r="B66" s="653"/>
      <c r="C66" s="303"/>
      <c r="D66" s="303"/>
      <c r="E66" s="303"/>
      <c r="F66" s="650"/>
      <c r="G66" s="303"/>
      <c r="H66" s="303"/>
      <c r="I66" s="303"/>
      <c r="J66" s="303"/>
      <c r="K66" s="680"/>
      <c r="L66" s="650"/>
      <c r="M66" s="376"/>
      <c r="N66" s="376"/>
      <c r="O66" s="376"/>
      <c r="P66" s="376"/>
      <c r="Q66" s="376"/>
      <c r="R66" s="685"/>
      <c r="S66" s="252"/>
      <c r="T66" s="16"/>
      <c r="U66" s="198"/>
      <c r="V66" s="199"/>
      <c r="W66" s="199"/>
      <c r="X66" s="199"/>
      <c r="Y66" s="199"/>
      <c r="Z66" s="199"/>
      <c r="AA66" s="199"/>
      <c r="AB66" s="199"/>
      <c r="AC66" s="379"/>
      <c r="AD66" s="306"/>
      <c r="AE66" s="16"/>
      <c r="AF66" s="254"/>
      <c r="AG66" s="16"/>
      <c r="AH66" s="16"/>
      <c r="AI66" s="254"/>
      <c r="AJ66" s="16"/>
      <c r="AK66" s="18"/>
      <c r="AL66" s="18"/>
      <c r="AM66" s="18"/>
      <c r="AN66" s="18"/>
      <c r="AO66" s="18"/>
      <c r="AP66" s="18"/>
      <c r="AQ66" s="18"/>
      <c r="AR66" s="18"/>
      <c r="AS66" s="18"/>
      <c r="AT66" s="18"/>
      <c r="AU66" s="18"/>
      <c r="AV66" s="18"/>
      <c r="AW66" s="18"/>
      <c r="AX66" s="18"/>
      <c r="AY66" s="18"/>
      <c r="AZ66" s="18"/>
    </row>
    <row r="67" spans="1:52" ht="15" customHeight="1" x14ac:dyDescent="0.3">
      <c r="A67" s="248"/>
      <c r="B67" s="656" t="str">
        <f>'Financials DF'!B130</f>
        <v>Total Liabilities &amp; Equity</v>
      </c>
      <c r="C67" s="657">
        <f t="shared" ref="C67:J67" si="25">C53+C58+C64</f>
        <v>28045.972206640396</v>
      </c>
      <c r="D67" s="657">
        <f t="shared" si="25"/>
        <v>27621.876392699</v>
      </c>
      <c r="E67" s="657">
        <f t="shared" si="25"/>
        <v>27430.457662535002</v>
      </c>
      <c r="F67" s="658">
        <f t="shared" si="25"/>
        <v>26270</v>
      </c>
      <c r="G67" s="657">
        <f t="shared" si="25"/>
        <v>25621</v>
      </c>
      <c r="H67" s="657">
        <f t="shared" si="25"/>
        <v>25944</v>
      </c>
      <c r="I67" s="657">
        <f t="shared" si="25"/>
        <v>21415</v>
      </c>
      <c r="J67" s="657">
        <f t="shared" si="25"/>
        <v>20548</v>
      </c>
      <c r="K67" s="680"/>
      <c r="L67" s="650"/>
      <c r="M67" s="376"/>
      <c r="N67" s="376"/>
      <c r="O67" s="376"/>
      <c r="P67" s="376"/>
      <c r="Q67" s="376"/>
      <c r="R67" s="685"/>
      <c r="S67" s="252"/>
      <c r="T67" s="16"/>
      <c r="U67" s="383" t="s">
        <v>580</v>
      </c>
      <c r="V67" s="384" t="s">
        <v>67</v>
      </c>
      <c r="W67" s="384" t="s">
        <v>139</v>
      </c>
      <c r="X67" s="384" t="s">
        <v>140</v>
      </c>
      <c r="Y67" s="199"/>
      <c r="Z67" s="199"/>
      <c r="AA67" s="211"/>
      <c r="AB67" s="199"/>
      <c r="AC67" s="379"/>
      <c r="AD67" s="306"/>
      <c r="AE67" s="16"/>
      <c r="AF67" s="254"/>
      <c r="AG67" s="16"/>
      <c r="AH67" s="16"/>
      <c r="AI67" s="254"/>
      <c r="AJ67" s="16"/>
      <c r="AK67" s="18"/>
      <c r="AL67" s="18"/>
      <c r="AM67" s="18"/>
      <c r="AN67" s="18"/>
      <c r="AO67" s="18"/>
      <c r="AP67" s="18"/>
      <c r="AQ67" s="18"/>
      <c r="AR67" s="18"/>
      <c r="AS67" s="18"/>
      <c r="AT67" s="18"/>
      <c r="AU67" s="18"/>
      <c r="AV67" s="18"/>
      <c r="AW67" s="18"/>
      <c r="AX67" s="18"/>
      <c r="AY67" s="18"/>
      <c r="AZ67" s="18"/>
    </row>
    <row r="68" spans="1:52" ht="15" customHeight="1" x14ac:dyDescent="0.3">
      <c r="A68" s="248"/>
      <c r="B68" s="655"/>
      <c r="C68" s="629"/>
      <c r="D68" s="629"/>
      <c r="E68" s="629"/>
      <c r="F68" s="631"/>
      <c r="G68" s="629"/>
      <c r="H68" s="629"/>
      <c r="I68" s="629"/>
      <c r="J68" s="629"/>
      <c r="K68" s="680"/>
      <c r="L68" s="707"/>
      <c r="M68" s="349" t="str">
        <f>M58</f>
        <v>FY3</v>
      </c>
      <c r="N68" s="349" t="str">
        <f>N58</f>
        <v>FY2</v>
      </c>
      <c r="O68" s="349" t="str">
        <f>O58</f>
        <v>FY1</v>
      </c>
      <c r="P68" s="349">
        <f>P58</f>
        <v>2022</v>
      </c>
      <c r="Q68" s="349">
        <f>Q58</f>
        <v>2021</v>
      </c>
      <c r="R68" s="685"/>
      <c r="S68" s="252"/>
      <c r="T68" s="16"/>
      <c r="U68" s="383" t="s">
        <v>141</v>
      </c>
      <c r="V68" s="385">
        <f>(V61-V63)/(V61*(V65-V63))</f>
        <v>6.6666666666666661</v>
      </c>
      <c r="W68" s="386">
        <f ca="1">V68*Z65</f>
        <v>8.460137200027015</v>
      </c>
      <c r="X68" s="387">
        <f ca="1">W68/$V$58-1</f>
        <v>-0.40672249649179415</v>
      </c>
      <c r="Y68" s="199"/>
      <c r="Z68" s="317"/>
      <c r="AA68" s="535"/>
      <c r="AB68" s="199"/>
      <c r="AC68" s="379"/>
      <c r="AD68" s="306"/>
      <c r="AE68" s="16"/>
      <c r="AF68" s="254"/>
      <c r="AG68" s="16"/>
      <c r="AH68" s="16"/>
      <c r="AI68" s="254"/>
      <c r="AJ68" s="16"/>
      <c r="AK68" s="18"/>
      <c r="AL68" s="18"/>
      <c r="AM68" s="18"/>
      <c r="AN68" s="18"/>
      <c r="AO68" s="18"/>
      <c r="AP68" s="18"/>
      <c r="AQ68" s="18"/>
      <c r="AR68" s="18"/>
      <c r="AS68" s="18"/>
      <c r="AT68" s="18"/>
      <c r="AU68" s="18"/>
      <c r="AV68" s="18"/>
      <c r="AW68" s="18"/>
      <c r="AX68" s="18"/>
      <c r="AY68" s="18"/>
      <c r="AZ68" s="18"/>
    </row>
    <row r="69" spans="1:52" ht="15" customHeight="1" x14ac:dyDescent="0.3">
      <c r="A69" s="248"/>
      <c r="B69" s="653"/>
      <c r="C69" s="303"/>
      <c r="D69" s="303"/>
      <c r="E69" s="303"/>
      <c r="F69" s="650"/>
      <c r="G69" s="303"/>
      <c r="H69" s="303"/>
      <c r="I69" s="303"/>
      <c r="J69" s="303"/>
      <c r="K69" s="680"/>
      <c r="L69" s="655"/>
      <c r="M69" s="682"/>
      <c r="N69" s="682"/>
      <c r="O69" s="682"/>
      <c r="P69" s="682"/>
      <c r="Q69" s="682"/>
      <c r="R69" s="684"/>
      <c r="S69" s="252"/>
      <c r="T69" s="16"/>
      <c r="U69" s="718" t="s">
        <v>142</v>
      </c>
      <c r="V69" s="719">
        <f>(V61-V63)/(V61*(V65-V63))+V64/2*(V62-V63)/(V65-V63)</f>
        <v>16</v>
      </c>
      <c r="W69" s="720">
        <f ca="1">V69*Z65</f>
        <v>20.304329280064838</v>
      </c>
      <c r="X69" s="721">
        <f t="shared" ref="X69:X70" ca="1" si="26">W69/$V$58-1</f>
        <v>0.42386600841969413</v>
      </c>
      <c r="Y69" s="199"/>
      <c r="Z69" s="199"/>
      <c r="AA69" s="199"/>
      <c r="AB69" s="199"/>
      <c r="AC69" s="379"/>
      <c r="AD69" s="306"/>
      <c r="AE69" s="16"/>
      <c r="AF69" s="254"/>
      <c r="AG69" s="16"/>
      <c r="AH69" s="16"/>
      <c r="AI69" s="254"/>
      <c r="AJ69" s="16"/>
      <c r="AK69" s="18"/>
      <c r="AL69" s="18"/>
      <c r="AM69" s="18"/>
      <c r="AN69" s="18"/>
      <c r="AO69" s="18"/>
      <c r="AP69" s="18"/>
      <c r="AQ69" s="18"/>
      <c r="AR69" s="18"/>
      <c r="AS69" s="18"/>
      <c r="AT69" s="18"/>
      <c r="AU69" s="18"/>
      <c r="AV69" s="18"/>
      <c r="AW69" s="18"/>
      <c r="AX69" s="18"/>
      <c r="AY69" s="18"/>
      <c r="AZ69" s="18"/>
    </row>
    <row r="70" spans="1:52" ht="15" customHeight="1" x14ac:dyDescent="0.3">
      <c r="A70" s="248"/>
      <c r="B70" s="653" t="str">
        <f>'Financials DF'!B99</f>
        <v>Gross Fixed Assets</v>
      </c>
      <c r="C70" s="303">
        <f>D70-C109</f>
        <v>26932.793812749998</v>
      </c>
      <c r="D70" s="303">
        <f>E70-D109</f>
        <v>25571.283214999999</v>
      </c>
      <c r="E70" s="303">
        <f>F70-E109</f>
        <v>24284.732049999999</v>
      </c>
      <c r="F70" s="650">
        <f>'Financials DF'!C99</f>
        <v>22953</v>
      </c>
      <c r="G70" s="303">
        <f>'Financials DF'!D99</f>
        <v>22042</v>
      </c>
      <c r="H70" s="303">
        <f>'Financials DF'!E99</f>
        <v>21671</v>
      </c>
      <c r="I70" s="303">
        <f>'Financials DF'!F99</f>
        <v>17365</v>
      </c>
      <c r="J70" s="303">
        <f>'Financials DF'!G99</f>
        <v>16628</v>
      </c>
      <c r="K70" s="680"/>
      <c r="L70" s="650"/>
      <c r="M70" s="407">
        <f>C70/D70-1</f>
        <v>5.3243733851860098E-2</v>
      </c>
      <c r="N70" s="407">
        <f>D70/E70-1</f>
        <v>5.2977778892149718E-2</v>
      </c>
      <c r="O70" s="407">
        <f>E70/F70-1</f>
        <v>5.8019955997037354E-2</v>
      </c>
      <c r="P70" s="407">
        <f>F70/G70-1</f>
        <v>4.13301878232466E-2</v>
      </c>
      <c r="Q70" s="407">
        <f>G70/H70-1</f>
        <v>1.7119652992478418E-2</v>
      </c>
      <c r="R70" s="685" t="s">
        <v>277</v>
      </c>
      <c r="S70" s="252"/>
      <c r="T70" s="16"/>
      <c r="U70" s="388" t="s">
        <v>297</v>
      </c>
      <c r="V70" s="389">
        <f>AVERAGE(V68:V69)</f>
        <v>11.333333333333332</v>
      </c>
      <c r="W70" s="385">
        <f ca="1">AVERAGE(W68:W69)</f>
        <v>14.382233240045927</v>
      </c>
      <c r="X70" s="387">
        <f t="shared" ca="1" si="26"/>
        <v>8.5717559639499896E-3</v>
      </c>
      <c r="Y70" s="182"/>
      <c r="Z70" s="182"/>
      <c r="AA70" s="182"/>
      <c r="AB70" s="182"/>
      <c r="AC70" s="201"/>
      <c r="AD70" s="16"/>
      <c r="AE70" s="16"/>
      <c r="AF70" s="254"/>
      <c r="AG70" s="16"/>
      <c r="AH70" s="16"/>
      <c r="AI70" s="254"/>
      <c r="AJ70" s="16"/>
      <c r="AK70" s="18"/>
      <c r="AL70" s="18"/>
      <c r="AM70" s="18"/>
      <c r="AN70" s="18"/>
      <c r="AO70" s="18"/>
      <c r="AP70" s="18"/>
      <c r="AQ70" s="18"/>
      <c r="AR70" s="18"/>
      <c r="AS70" s="18"/>
      <c r="AT70" s="18"/>
      <c r="AU70" s="18"/>
      <c r="AV70" s="18"/>
      <c r="AW70" s="18"/>
      <c r="AX70" s="18"/>
      <c r="AY70" s="18"/>
      <c r="AZ70" s="18"/>
    </row>
    <row r="71" spans="1:52" ht="15" customHeight="1" x14ac:dyDescent="0.3">
      <c r="A71" s="248"/>
      <c r="B71" s="653" t="str">
        <f>'Financials DF'!B100</f>
        <v>Accumulated Depreciation</v>
      </c>
      <c r="C71" s="303">
        <f>D71+C104</f>
        <v>9707.0180720429998</v>
      </c>
      <c r="D71" s="303">
        <f>E71+D104</f>
        <v>8306.5127937800007</v>
      </c>
      <c r="E71" s="303">
        <f>F71+E104</f>
        <v>6976.8060666000001</v>
      </c>
      <c r="F71" s="650">
        <f>'Financials DF'!C100</f>
        <v>5714</v>
      </c>
      <c r="G71" s="303">
        <f>'Financials DF'!D100</f>
        <v>5527</v>
      </c>
      <c r="H71" s="303">
        <f>'Financials DF'!E100</f>
        <v>5251</v>
      </c>
      <c r="I71" s="303">
        <f>'Financials DF'!F100</f>
        <v>4824</v>
      </c>
      <c r="J71" s="303">
        <f>'Financials DF'!G100</f>
        <v>4530</v>
      </c>
      <c r="K71" s="680"/>
      <c r="L71" s="650"/>
      <c r="M71" s="407">
        <f>C71/C70</f>
        <v>0.36041630658634799</v>
      </c>
      <c r="N71" s="407">
        <f>D71/D70</f>
        <v>0.32483754232980527</v>
      </c>
      <c r="O71" s="407">
        <f>E71/E70</f>
        <v>0.28729186932083117</v>
      </c>
      <c r="P71" s="407">
        <f>F71/F70</f>
        <v>0.24894349322528644</v>
      </c>
      <c r="Q71" s="407">
        <f>G71/G70</f>
        <v>0.25074857091008074</v>
      </c>
      <c r="R71" s="685" t="s">
        <v>278</v>
      </c>
      <c r="S71" s="252"/>
      <c r="T71" s="16"/>
      <c r="U71" s="179"/>
      <c r="V71" s="182"/>
      <c r="W71" s="182"/>
      <c r="X71" s="182"/>
      <c r="Y71" s="182"/>
      <c r="Z71" s="182"/>
      <c r="AA71" s="182"/>
      <c r="AB71" s="182"/>
      <c r="AC71" s="201"/>
      <c r="AD71" s="16"/>
      <c r="AE71" s="16"/>
      <c r="AF71" s="254"/>
      <c r="AG71" s="16"/>
      <c r="AH71" s="16"/>
      <c r="AI71" s="254"/>
      <c r="AJ71" s="16"/>
      <c r="AK71" s="18"/>
      <c r="AL71" s="18"/>
      <c r="AM71" s="18"/>
      <c r="AN71" s="18"/>
      <c r="AO71" s="18"/>
      <c r="AP71" s="18"/>
      <c r="AQ71" s="18"/>
      <c r="AR71" s="18"/>
      <c r="AS71" s="18"/>
      <c r="AT71" s="18"/>
      <c r="AU71" s="18"/>
      <c r="AV71" s="18"/>
      <c r="AW71" s="18"/>
      <c r="AX71" s="18"/>
      <c r="AY71" s="18"/>
      <c r="AZ71" s="18"/>
    </row>
    <row r="72" spans="1:52" ht="15" customHeight="1" x14ac:dyDescent="0.3">
      <c r="A72" s="248"/>
      <c r="B72" s="653" t="str">
        <f>'Financials DF'!B101</f>
        <v>Net Fixed Assets</v>
      </c>
      <c r="C72" s="303">
        <f>C70-C71</f>
        <v>17225.775740706998</v>
      </c>
      <c r="D72" s="303">
        <f>D70-D71</f>
        <v>17264.770421219997</v>
      </c>
      <c r="E72" s="303">
        <f>E70-E71</f>
        <v>17307.925983399997</v>
      </c>
      <c r="F72" s="650">
        <f>'Financials DF'!C101</f>
        <v>17239</v>
      </c>
      <c r="G72" s="303">
        <f>'Financials DF'!D101</f>
        <v>16515</v>
      </c>
      <c r="H72" s="303">
        <f>'Financials DF'!E101</f>
        <v>16420</v>
      </c>
      <c r="I72" s="303">
        <f>'Financials DF'!F101</f>
        <v>12541</v>
      </c>
      <c r="J72" s="303">
        <f>'Financials DF'!G101</f>
        <v>12098</v>
      </c>
      <c r="K72" s="680"/>
      <c r="L72" s="650"/>
      <c r="M72" s="376"/>
      <c r="N72" s="376"/>
      <c r="O72" s="376"/>
      <c r="P72" s="376"/>
      <c r="Q72" s="376"/>
      <c r="R72" s="685"/>
      <c r="S72" s="325"/>
      <c r="T72" s="324"/>
      <c r="U72" s="390"/>
      <c r="V72" s="391"/>
      <c r="W72" s="391"/>
      <c r="X72" s="391"/>
      <c r="Y72" s="392"/>
      <c r="Z72" s="182"/>
      <c r="AA72" s="182"/>
      <c r="AB72" s="182"/>
      <c r="AC72" s="201"/>
      <c r="AD72" s="16"/>
      <c r="AE72" s="324"/>
      <c r="AF72" s="326"/>
      <c r="AG72" s="324"/>
      <c r="AH72" s="324"/>
      <c r="AI72" s="326"/>
      <c r="AJ72" s="324"/>
      <c r="AK72" s="18"/>
      <c r="AL72" s="18"/>
      <c r="AM72" s="18"/>
      <c r="AN72" s="18"/>
      <c r="AO72" s="18"/>
      <c r="AP72" s="18"/>
      <c r="AQ72" s="18"/>
      <c r="AR72" s="18"/>
      <c r="AS72" s="18"/>
      <c r="AT72" s="18"/>
      <c r="AU72" s="18"/>
      <c r="AV72" s="18"/>
      <c r="AW72" s="18"/>
      <c r="AX72" s="18"/>
      <c r="AY72" s="18"/>
      <c r="AZ72" s="18"/>
    </row>
    <row r="73" spans="1:52" ht="15" customHeight="1" x14ac:dyDescent="0.3">
      <c r="A73" s="248"/>
      <c r="B73" s="653" t="str">
        <f>'Financials DF'!B102</f>
        <v>Other Long-Term Assets</v>
      </c>
      <c r="C73" s="303">
        <f>D73+C110-C111</f>
        <v>3417</v>
      </c>
      <c r="D73" s="303">
        <f>E73+D110-D111</f>
        <v>3417</v>
      </c>
      <c r="E73" s="303">
        <f>F73+E110-E111</f>
        <v>3417</v>
      </c>
      <c r="F73" s="650">
        <f>'Financials DF'!C102</f>
        <v>3417</v>
      </c>
      <c r="G73" s="303">
        <f>'Financials DF'!D102</f>
        <v>3292</v>
      </c>
      <c r="H73" s="303">
        <f>'Financials DF'!E102</f>
        <v>3316</v>
      </c>
      <c r="I73" s="303">
        <f>'Financials DF'!F102</f>
        <v>3061</v>
      </c>
      <c r="J73" s="303">
        <f>'Financials DF'!G102</f>
        <v>2953</v>
      </c>
      <c r="K73" s="680"/>
      <c r="L73" s="650"/>
      <c r="M73" s="673">
        <f t="shared" ref="M73:Q74" si="27">C73/D73-1</f>
        <v>0</v>
      </c>
      <c r="N73" s="673">
        <f t="shared" si="27"/>
        <v>0</v>
      </c>
      <c r="O73" s="673">
        <f t="shared" si="27"/>
        <v>0</v>
      </c>
      <c r="P73" s="673">
        <f t="shared" si="27"/>
        <v>3.7970838396111706E-2</v>
      </c>
      <c r="Q73" s="673">
        <f t="shared" si="27"/>
        <v>-7.2376357056694873E-3</v>
      </c>
      <c r="R73" s="685" t="s">
        <v>277</v>
      </c>
      <c r="S73" s="252"/>
      <c r="T73" s="16"/>
      <c r="U73" s="184"/>
      <c r="V73" s="186"/>
      <c r="W73" s="186"/>
      <c r="X73" s="186"/>
      <c r="Y73" s="186"/>
      <c r="Z73" s="186"/>
      <c r="AA73" s="186"/>
      <c r="AB73" s="186"/>
      <c r="AC73" s="193"/>
      <c r="AD73" s="16"/>
      <c r="AE73" s="16"/>
      <c r="AF73" s="254"/>
      <c r="AG73" s="16"/>
      <c r="AH73" s="16"/>
      <c r="AI73" s="254"/>
      <c r="AJ73" s="16"/>
      <c r="AK73" s="18"/>
      <c r="AL73" s="18"/>
      <c r="AM73" s="18"/>
      <c r="AN73" s="18"/>
      <c r="AO73" s="18"/>
      <c r="AP73" s="18"/>
      <c r="AQ73" s="18"/>
      <c r="AR73" s="18"/>
      <c r="AS73" s="18"/>
      <c r="AT73" s="18"/>
      <c r="AU73" s="18"/>
      <c r="AV73" s="18"/>
      <c r="AW73" s="18"/>
      <c r="AX73" s="18"/>
      <c r="AY73" s="18"/>
      <c r="AZ73" s="18"/>
    </row>
    <row r="74" spans="1:52" ht="15" customHeight="1" x14ac:dyDescent="0.3">
      <c r="A74" s="248"/>
      <c r="B74" s="653" t="str">
        <f>'Financials DF'!B98</f>
        <v>LT Investments &amp; LT Receivables</v>
      </c>
      <c r="C74" s="342">
        <f>D74+C112</f>
        <v>176</v>
      </c>
      <c r="D74" s="342">
        <f>E74+D112</f>
        <v>176</v>
      </c>
      <c r="E74" s="342">
        <f>F74-E112</f>
        <v>176</v>
      </c>
      <c r="F74" s="646">
        <f>'Financials DF'!C98</f>
        <v>176</v>
      </c>
      <c r="G74" s="342">
        <f>'Financials DF'!D98</f>
        <v>219</v>
      </c>
      <c r="H74" s="342">
        <f>'Financials DF'!E98</f>
        <v>158</v>
      </c>
      <c r="I74" s="342">
        <f>'Financials DF'!F98</f>
        <v>289</v>
      </c>
      <c r="J74" s="342">
        <f>'Financials DF'!G98</f>
        <v>249</v>
      </c>
      <c r="K74" s="680"/>
      <c r="L74" s="650"/>
      <c r="M74" s="673">
        <f t="shared" si="27"/>
        <v>0</v>
      </c>
      <c r="N74" s="673">
        <f t="shared" si="27"/>
        <v>0</v>
      </c>
      <c r="O74" s="673">
        <f t="shared" si="27"/>
        <v>0</v>
      </c>
      <c r="P74" s="673">
        <f t="shared" si="27"/>
        <v>-0.19634703196347036</v>
      </c>
      <c r="Q74" s="673">
        <f t="shared" si="27"/>
        <v>0.38607594936708867</v>
      </c>
      <c r="R74" s="685" t="s">
        <v>277</v>
      </c>
      <c r="S74" s="252"/>
      <c r="T74" s="16"/>
      <c r="U74" s="16"/>
      <c r="V74" s="171"/>
      <c r="W74" s="254"/>
      <c r="X74" s="16"/>
      <c r="Y74" s="16"/>
      <c r="Z74" s="254"/>
      <c r="AA74" s="16"/>
      <c r="AB74" s="16"/>
      <c r="AC74" s="254"/>
      <c r="AD74" s="16"/>
      <c r="AE74" s="16"/>
      <c r="AF74" s="254"/>
      <c r="AG74" s="16"/>
      <c r="AH74" s="16"/>
      <c r="AI74" s="254"/>
      <c r="AJ74" s="16"/>
      <c r="AK74" s="18"/>
      <c r="AL74" s="18"/>
      <c r="AM74" s="18"/>
      <c r="AN74" s="18"/>
      <c r="AO74" s="18"/>
      <c r="AP74" s="18"/>
      <c r="AQ74" s="18"/>
      <c r="AR74" s="18"/>
      <c r="AS74" s="18"/>
      <c r="AT74" s="18"/>
      <c r="AU74" s="18"/>
      <c r="AV74" s="18"/>
      <c r="AW74" s="18"/>
      <c r="AX74" s="18"/>
      <c r="AY74" s="18"/>
      <c r="AZ74" s="18"/>
    </row>
    <row r="75" spans="1:52" ht="15" customHeight="1" x14ac:dyDescent="0.3">
      <c r="A75" s="248"/>
      <c r="B75" s="653"/>
      <c r="C75" s="303"/>
      <c r="D75" s="303"/>
      <c r="E75" s="303"/>
      <c r="F75" s="650"/>
      <c r="G75" s="303"/>
      <c r="H75" s="303"/>
      <c r="I75" s="303"/>
      <c r="J75" s="303"/>
      <c r="K75" s="680"/>
      <c r="L75" s="650"/>
      <c r="M75" s="376"/>
      <c r="N75" s="376"/>
      <c r="O75" s="376"/>
      <c r="P75" s="376"/>
      <c r="Q75" s="376"/>
      <c r="R75" s="685"/>
      <c r="S75" s="252"/>
      <c r="T75" s="16"/>
      <c r="U75" s="16"/>
      <c r="V75" s="393"/>
      <c r="W75" s="254"/>
      <c r="X75" s="16"/>
      <c r="Y75" s="16"/>
      <c r="Z75" s="254"/>
      <c r="AA75" s="16"/>
      <c r="AB75" s="16"/>
      <c r="AC75" s="254"/>
      <c r="AD75" s="16"/>
      <c r="AE75" s="16"/>
      <c r="AF75" s="254"/>
      <c r="AG75" s="16"/>
      <c r="AH75" s="16"/>
      <c r="AI75" s="254"/>
      <c r="AJ75" s="16"/>
      <c r="AK75" s="18"/>
      <c r="AL75" s="18"/>
      <c r="AM75" s="18"/>
      <c r="AN75" s="18"/>
      <c r="AO75" s="18"/>
      <c r="AP75" s="18"/>
      <c r="AQ75" s="18"/>
      <c r="AR75" s="18"/>
      <c r="AS75" s="18"/>
      <c r="AT75" s="18"/>
      <c r="AU75" s="18"/>
      <c r="AV75" s="18"/>
      <c r="AW75" s="18"/>
      <c r="AX75" s="18"/>
      <c r="AY75" s="18"/>
      <c r="AZ75" s="18"/>
    </row>
    <row r="76" spans="1:52" ht="15" customHeight="1" x14ac:dyDescent="0.3">
      <c r="A76" s="248"/>
      <c r="B76" s="652" t="str">
        <f>'Financials DF'!B103</f>
        <v>Total Long Term Assets</v>
      </c>
      <c r="C76" s="628">
        <f>C72+C73+C74+C75</f>
        <v>20818.775740706998</v>
      </c>
      <c r="D76" s="628">
        <f t="shared" ref="D76:I76" si="28">D72+D73+D74+D75</f>
        <v>20857.770421219997</v>
      </c>
      <c r="E76" s="628">
        <f t="shared" si="28"/>
        <v>20900.925983399997</v>
      </c>
      <c r="F76" s="630">
        <f>F72+F73+F74+F75</f>
        <v>20832</v>
      </c>
      <c r="G76" s="628">
        <f t="shared" si="28"/>
        <v>20026</v>
      </c>
      <c r="H76" s="628">
        <f t="shared" si="28"/>
        <v>19894</v>
      </c>
      <c r="I76" s="628">
        <f t="shared" si="28"/>
        <v>15891</v>
      </c>
      <c r="J76" s="628">
        <f>J72+J73+J74+J75</f>
        <v>15300</v>
      </c>
      <c r="K76" s="680"/>
      <c r="L76" s="650"/>
      <c r="M76" s="376"/>
      <c r="N76" s="376"/>
      <c r="O76" s="376"/>
      <c r="P76" s="376"/>
      <c r="Q76" s="376"/>
      <c r="R76" s="685"/>
      <c r="S76" s="252"/>
      <c r="T76" s="16"/>
      <c r="U76" s="16"/>
      <c r="V76" s="171"/>
      <c r="W76" s="254"/>
      <c r="X76" s="16"/>
      <c r="Y76" s="16"/>
      <c r="Z76" s="254"/>
      <c r="AA76" s="16"/>
      <c r="AB76" s="16"/>
      <c r="AC76" s="254"/>
      <c r="AD76" s="16"/>
      <c r="AE76" s="16"/>
      <c r="AF76" s="254"/>
      <c r="AG76" s="16"/>
      <c r="AH76" s="16"/>
      <c r="AI76" s="254"/>
      <c r="AJ76" s="16"/>
      <c r="AK76" s="18"/>
      <c r="AL76" s="18"/>
      <c r="AM76" s="18"/>
      <c r="AN76" s="18"/>
      <c r="AO76" s="18"/>
      <c r="AP76" s="18"/>
      <c r="AQ76" s="18"/>
      <c r="AR76" s="18"/>
      <c r="AS76" s="18"/>
      <c r="AT76" s="18"/>
      <c r="AU76" s="18"/>
      <c r="AV76" s="18"/>
      <c r="AW76" s="18"/>
      <c r="AX76" s="18"/>
      <c r="AY76" s="18"/>
      <c r="AZ76" s="18"/>
    </row>
    <row r="77" spans="1:52" ht="15" customHeight="1" x14ac:dyDescent="0.3">
      <c r="A77" s="248"/>
      <c r="B77" s="655"/>
      <c r="C77" s="629"/>
      <c r="D77" s="629"/>
      <c r="E77" s="629"/>
      <c r="F77" s="631"/>
      <c r="G77" s="629"/>
      <c r="H77" s="629"/>
      <c r="I77" s="629"/>
      <c r="J77" s="629"/>
      <c r="K77" s="680"/>
      <c r="L77" s="650"/>
      <c r="M77" s="376"/>
      <c r="N77" s="376"/>
      <c r="O77" s="376"/>
      <c r="P77" s="376"/>
      <c r="Q77" s="376"/>
      <c r="R77" s="685"/>
      <c r="S77" s="252"/>
      <c r="T77" s="16"/>
      <c r="U77" s="394"/>
      <c r="V77" s="395"/>
      <c r="W77" s="254"/>
      <c r="X77" s="16"/>
      <c r="Y77" s="16"/>
      <c r="Z77" s="254"/>
      <c r="AA77" s="16"/>
      <c r="AB77" s="16"/>
      <c r="AC77" s="254"/>
      <c r="AD77" s="16"/>
      <c r="AE77" s="16"/>
      <c r="AF77" s="254"/>
      <c r="AG77" s="16"/>
      <c r="AH77" s="16"/>
      <c r="AI77" s="254"/>
      <c r="AJ77" s="16"/>
      <c r="AK77" s="18"/>
      <c r="AL77" s="18"/>
      <c r="AM77" s="18"/>
      <c r="AN77" s="18"/>
      <c r="AO77" s="18"/>
      <c r="AP77" s="18"/>
      <c r="AQ77" s="18"/>
      <c r="AR77" s="18"/>
      <c r="AS77" s="18"/>
      <c r="AT77" s="18"/>
      <c r="AU77" s="18"/>
      <c r="AV77" s="18"/>
      <c r="AW77" s="18"/>
      <c r="AX77" s="18"/>
      <c r="AY77" s="18"/>
      <c r="AZ77" s="18"/>
    </row>
    <row r="78" spans="1:52" ht="15" customHeight="1" x14ac:dyDescent="0.3">
      <c r="A78" s="248"/>
      <c r="B78" s="653"/>
      <c r="C78" s="303"/>
      <c r="D78" s="303"/>
      <c r="E78" s="303"/>
      <c r="F78" s="650"/>
      <c r="G78" s="303"/>
      <c r="H78" s="303"/>
      <c r="I78" s="303"/>
      <c r="J78" s="303"/>
      <c r="K78" s="680"/>
      <c r="L78" s="650"/>
      <c r="M78" s="349" t="str">
        <f>M68</f>
        <v>FY3</v>
      </c>
      <c r="N78" s="349" t="str">
        <f>N68</f>
        <v>FY2</v>
      </c>
      <c r="O78" s="349" t="str">
        <f>O68</f>
        <v>FY1</v>
      </c>
      <c r="P78" s="349">
        <f>P68</f>
        <v>2022</v>
      </c>
      <c r="Q78" s="349">
        <f>Q68</f>
        <v>2021</v>
      </c>
      <c r="R78" s="685"/>
      <c r="S78" s="252"/>
      <c r="T78" s="16"/>
      <c r="U78" s="394"/>
      <c r="V78" s="16"/>
      <c r="W78" s="254"/>
      <c r="X78" s="16"/>
      <c r="Y78" s="16"/>
      <c r="Z78" s="254"/>
      <c r="AA78" s="16"/>
      <c r="AB78" s="16"/>
      <c r="AC78" s="254"/>
      <c r="AD78" s="16"/>
      <c r="AE78" s="16"/>
      <c r="AF78" s="254"/>
      <c r="AG78" s="16"/>
      <c r="AH78" s="16"/>
      <c r="AI78" s="254"/>
      <c r="AJ78" s="16"/>
      <c r="AK78" s="18"/>
      <c r="AL78" s="18"/>
      <c r="AM78" s="18"/>
      <c r="AN78" s="18"/>
      <c r="AO78" s="18"/>
      <c r="AP78" s="18"/>
      <c r="AQ78" s="18"/>
      <c r="AR78" s="18"/>
      <c r="AS78" s="18"/>
      <c r="AT78" s="18"/>
      <c r="AU78" s="18"/>
      <c r="AV78" s="18"/>
      <c r="AW78" s="18"/>
      <c r="AX78" s="18"/>
      <c r="AY78" s="18"/>
      <c r="AZ78" s="18"/>
    </row>
    <row r="79" spans="1:52" ht="15" customHeight="1" x14ac:dyDescent="0.3">
      <c r="A79" s="248"/>
      <c r="B79" s="653" t="str">
        <f>'Financials DF'!B95</f>
        <v>Stock &amp; Work in Progress</v>
      </c>
      <c r="C79" s="303">
        <f>M79*C6</f>
        <v>680.75529887499988</v>
      </c>
      <c r="D79" s="303">
        <f>N79*D6</f>
        <v>643.27558249999993</v>
      </c>
      <c r="E79" s="303">
        <f>O79*E6</f>
        <v>605.33275000000003</v>
      </c>
      <c r="F79" s="650">
        <f>'Financials DF'!C95</f>
        <v>562</v>
      </c>
      <c r="G79" s="303">
        <f>'Financials DF'!D95</f>
        <v>640</v>
      </c>
      <c r="H79" s="303">
        <f>'Financials DF'!E95</f>
        <v>1206</v>
      </c>
      <c r="I79" s="303">
        <f>'Financials DF'!F95</f>
        <v>564</v>
      </c>
      <c r="J79" s="303">
        <f>'Financials DF'!G95</f>
        <v>589</v>
      </c>
      <c r="K79" s="680"/>
      <c r="L79" s="708" t="s">
        <v>640</v>
      </c>
      <c r="M79" s="709">
        <v>2.5000000000000001E-2</v>
      </c>
      <c r="N79" s="709">
        <v>2.5000000000000001E-2</v>
      </c>
      <c r="O79" s="709">
        <v>2.5000000000000001E-2</v>
      </c>
      <c r="P79" s="706">
        <f>F79/F6</f>
        <v>2.5975226474394528E-2</v>
      </c>
      <c r="Q79" s="706">
        <f>G79/G6</f>
        <v>3.0188679245283019E-2</v>
      </c>
      <c r="R79" s="684" t="s">
        <v>276</v>
      </c>
      <c r="S79" s="252"/>
      <c r="T79" s="16"/>
      <c r="U79" s="16"/>
      <c r="V79" s="16"/>
      <c r="W79" s="254"/>
      <c r="X79" s="16"/>
      <c r="Y79" s="16"/>
      <c r="Z79" s="254"/>
      <c r="AA79" s="16"/>
      <c r="AB79" s="16"/>
      <c r="AC79" s="254"/>
      <c r="AD79" s="16"/>
      <c r="AE79" s="16"/>
      <c r="AF79" s="254"/>
      <c r="AG79" s="16"/>
      <c r="AH79" s="16"/>
      <c r="AI79" s="254"/>
      <c r="AJ79" s="16"/>
      <c r="AK79" s="18"/>
      <c r="AL79" s="18"/>
      <c r="AM79" s="18"/>
      <c r="AN79" s="18"/>
      <c r="AO79" s="18"/>
      <c r="AP79" s="18"/>
      <c r="AQ79" s="18"/>
      <c r="AR79" s="18"/>
      <c r="AS79" s="18"/>
      <c r="AT79" s="18"/>
      <c r="AU79" s="18"/>
      <c r="AV79" s="18"/>
      <c r="AW79" s="18"/>
      <c r="AX79" s="18"/>
      <c r="AY79" s="18"/>
      <c r="AZ79" s="18"/>
    </row>
    <row r="80" spans="1:52" ht="15" customHeight="1" x14ac:dyDescent="0.3">
      <c r="A80" s="248"/>
      <c r="B80" s="653" t="str">
        <f>'Financials DF'!B94</f>
        <v>Accounts &amp; Notes Receivable</v>
      </c>
      <c r="C80" s="303">
        <f>M80*C6</f>
        <v>3676.078613924999</v>
      </c>
      <c r="D80" s="303">
        <f>N80*D6</f>
        <v>3473.6881454999993</v>
      </c>
      <c r="E80" s="303">
        <f>O80*E6</f>
        <v>3268.7968500000002</v>
      </c>
      <c r="F80" s="650">
        <f>'Financials DF'!C94</f>
        <v>2939</v>
      </c>
      <c r="G80" s="303">
        <f>'Financials DF'!D94</f>
        <v>2947</v>
      </c>
      <c r="H80" s="303">
        <f>'Financials DF'!E94</f>
        <v>2699</v>
      </c>
      <c r="I80" s="303">
        <f>'Financials DF'!F94</f>
        <v>2473</v>
      </c>
      <c r="J80" s="303">
        <f>'Financials DF'!G94</f>
        <v>2358</v>
      </c>
      <c r="K80" s="680"/>
      <c r="L80" s="650" t="s">
        <v>641</v>
      </c>
      <c r="M80" s="396">
        <v>0.13500000000000001</v>
      </c>
      <c r="N80" s="396">
        <v>0.13500000000000001</v>
      </c>
      <c r="O80" s="396">
        <v>0.13500000000000001</v>
      </c>
      <c r="P80" s="407">
        <f>F80/F6</f>
        <v>0.13583841745239417</v>
      </c>
      <c r="Q80" s="407">
        <f>G80/G6</f>
        <v>0.13900943396226415</v>
      </c>
      <c r="R80" s="685" t="s">
        <v>276</v>
      </c>
      <c r="S80" s="252"/>
      <c r="T80" s="16"/>
      <c r="U80" s="16"/>
      <c r="V80" s="16"/>
      <c r="W80" s="254"/>
      <c r="X80" s="16"/>
      <c r="Y80" s="16"/>
      <c r="Z80" s="254"/>
      <c r="AA80" s="16"/>
      <c r="AB80" s="16"/>
      <c r="AC80" s="254"/>
      <c r="AD80" s="16"/>
      <c r="AE80" s="16"/>
      <c r="AF80" s="254"/>
      <c r="AG80" s="16"/>
      <c r="AH80" s="16"/>
      <c r="AI80" s="254"/>
      <c r="AJ80" s="16"/>
      <c r="AK80" s="18"/>
      <c r="AL80" s="18"/>
      <c r="AM80" s="18"/>
      <c r="AN80" s="18"/>
      <c r="AO80" s="18"/>
      <c r="AP80" s="18"/>
      <c r="AQ80" s="18"/>
      <c r="AR80" s="18"/>
      <c r="AS80" s="18"/>
      <c r="AT80" s="18"/>
      <c r="AU80" s="18"/>
      <c r="AV80" s="18"/>
      <c r="AW80" s="18"/>
      <c r="AX80" s="18"/>
      <c r="AY80" s="18"/>
      <c r="AZ80" s="18"/>
    </row>
    <row r="81" spans="1:52" ht="15" customHeight="1" x14ac:dyDescent="0.3">
      <c r="A81" s="248"/>
      <c r="B81" s="653" t="str">
        <f>'Financials DF'!B93</f>
        <v>Short-Term Investments</v>
      </c>
      <c r="C81" s="342">
        <f>D81</f>
        <v>2</v>
      </c>
      <c r="D81" s="342">
        <f>E81</f>
        <v>2</v>
      </c>
      <c r="E81" s="342">
        <f>F81</f>
        <v>2</v>
      </c>
      <c r="F81" s="646">
        <f>'Financials DF'!C93</f>
        <v>2</v>
      </c>
      <c r="G81" s="342">
        <f>'Financials DF'!D93</f>
        <v>4</v>
      </c>
      <c r="H81" s="342" t="str">
        <f>'Financials DF'!E93</f>
        <v>NA</v>
      </c>
      <c r="I81" s="342" t="str">
        <f>'Financials DF'!F93</f>
        <v>NA</v>
      </c>
      <c r="J81" s="342" t="str">
        <f>'Financials DF'!G93</f>
        <v>NA</v>
      </c>
      <c r="K81" s="680"/>
      <c r="L81" s="650"/>
      <c r="M81" s="407">
        <f>C81/C6</f>
        <v>7.3447830788285934E-5</v>
      </c>
      <c r="N81" s="407">
        <f>D81/D6</f>
        <v>7.7727184678271248E-5</v>
      </c>
      <c r="O81" s="407">
        <f>E81/E6</f>
        <v>8.259919853997656E-5</v>
      </c>
      <c r="P81" s="407">
        <f>F81/F6</f>
        <v>9.2438528378628216E-5</v>
      </c>
      <c r="Q81" s="407">
        <f>G81/G6</f>
        <v>1.8867924528301886E-4</v>
      </c>
      <c r="R81" s="685" t="s">
        <v>276</v>
      </c>
      <c r="S81" s="252"/>
      <c r="T81" s="16"/>
      <c r="U81" s="16"/>
      <c r="V81" s="16"/>
      <c r="W81" s="254"/>
      <c r="X81" s="16"/>
      <c r="Y81" s="16"/>
      <c r="Z81" s="254"/>
      <c r="AA81" s="16"/>
      <c r="AB81" s="16"/>
      <c r="AC81" s="254"/>
      <c r="AD81" s="16"/>
      <c r="AE81" s="16"/>
      <c r="AF81" s="254"/>
      <c r="AG81" s="16"/>
      <c r="AH81" s="16"/>
      <c r="AI81" s="254"/>
      <c r="AJ81" s="16"/>
      <c r="AK81" s="18"/>
      <c r="AL81" s="18"/>
      <c r="AM81" s="18"/>
      <c r="AN81" s="18"/>
      <c r="AO81" s="18"/>
      <c r="AP81" s="18"/>
      <c r="AQ81" s="18"/>
      <c r="AR81" s="18"/>
      <c r="AS81" s="18"/>
      <c r="AT81" s="18"/>
      <c r="AU81" s="18"/>
      <c r="AV81" s="18"/>
      <c r="AW81" s="18"/>
      <c r="AX81" s="18"/>
      <c r="AY81" s="18"/>
      <c r="AZ81" s="18"/>
    </row>
    <row r="82" spans="1:52" ht="15" customHeight="1" x14ac:dyDescent="0.3">
      <c r="A82" s="248"/>
      <c r="B82" s="653" t="str">
        <f>'Financials DF'!B96</f>
        <v>Other Current Assets</v>
      </c>
      <c r="C82" s="303">
        <f>M82*C6</f>
        <v>544.60423909999986</v>
      </c>
      <c r="D82" s="303">
        <f>N82*D6</f>
        <v>514.62046599999985</v>
      </c>
      <c r="E82" s="303">
        <f>O82*E6</f>
        <v>484.26620000000003</v>
      </c>
      <c r="F82" s="650">
        <f>'Financials DF'!C96</f>
        <v>436</v>
      </c>
      <c r="G82" s="303">
        <f>'Financials DF'!D96</f>
        <v>548</v>
      </c>
      <c r="H82" s="303">
        <f>'Financials DF'!E96</f>
        <v>695</v>
      </c>
      <c r="I82" s="303">
        <f>'Financials DF'!F96</f>
        <v>755</v>
      </c>
      <c r="J82" s="303">
        <f>'Financials DF'!G96</f>
        <v>930</v>
      </c>
      <c r="K82" s="680"/>
      <c r="L82" s="650" t="s">
        <v>642</v>
      </c>
      <c r="M82" s="396">
        <v>0.02</v>
      </c>
      <c r="N82" s="396">
        <v>0.02</v>
      </c>
      <c r="O82" s="396">
        <v>0.02</v>
      </c>
      <c r="P82" s="407">
        <f>F82/F6</f>
        <v>2.0151599186540949E-2</v>
      </c>
      <c r="Q82" s="407">
        <f>G82/G6</f>
        <v>2.5849056603773585E-2</v>
      </c>
      <c r="R82" s="685" t="s">
        <v>276</v>
      </c>
      <c r="S82" s="252"/>
      <c r="T82" s="16"/>
      <c r="U82" s="16"/>
      <c r="V82" s="16"/>
      <c r="W82" s="254"/>
      <c r="X82" s="16"/>
      <c r="Y82" s="16"/>
      <c r="Z82" s="254"/>
      <c r="AA82" s="16"/>
      <c r="AB82" s="16"/>
      <c r="AC82" s="254"/>
      <c r="AD82" s="16"/>
      <c r="AE82" s="16"/>
      <c r="AF82" s="254"/>
      <c r="AG82" s="16"/>
      <c r="AH82" s="16"/>
      <c r="AI82" s="254"/>
      <c r="AJ82" s="16"/>
      <c r="AK82" s="18"/>
      <c r="AL82" s="18"/>
      <c r="AM82" s="18"/>
      <c r="AN82" s="18"/>
      <c r="AO82" s="18"/>
      <c r="AP82" s="18"/>
      <c r="AQ82" s="18"/>
      <c r="AR82" s="18"/>
      <c r="AS82" s="18"/>
      <c r="AT82" s="18"/>
      <c r="AU82" s="18"/>
      <c r="AV82" s="18"/>
      <c r="AW82" s="18"/>
      <c r="AX82" s="18"/>
      <c r="AY82" s="18"/>
      <c r="AZ82" s="18"/>
    </row>
    <row r="83" spans="1:52" ht="15" customHeight="1" x14ac:dyDescent="0.3">
      <c r="A83" s="248"/>
      <c r="B83" s="653"/>
      <c r="C83" s="303"/>
      <c r="D83" s="303"/>
      <c r="E83" s="303"/>
      <c r="F83" s="650"/>
      <c r="G83" s="303"/>
      <c r="H83" s="303"/>
      <c r="I83" s="303"/>
      <c r="J83" s="303"/>
      <c r="K83" s="680"/>
      <c r="L83" s="650"/>
      <c r="M83" s="396"/>
      <c r="N83" s="396"/>
      <c r="O83" s="396"/>
      <c r="P83" s="376"/>
      <c r="Q83" s="376"/>
      <c r="R83" s="685"/>
      <c r="S83" s="252"/>
      <c r="T83" s="16"/>
      <c r="U83" s="16"/>
      <c r="V83" s="16"/>
      <c r="W83" s="254"/>
      <c r="X83" s="16"/>
      <c r="Y83" s="16"/>
      <c r="Z83" s="254"/>
      <c r="AA83" s="16"/>
      <c r="AB83" s="16"/>
      <c r="AC83" s="254"/>
      <c r="AD83" s="16"/>
      <c r="AE83" s="16"/>
      <c r="AF83" s="254"/>
      <c r="AG83" s="16"/>
      <c r="AH83" s="16"/>
      <c r="AI83" s="254"/>
      <c r="AJ83" s="16"/>
      <c r="AK83" s="18"/>
      <c r="AL83" s="18"/>
      <c r="AM83" s="18"/>
      <c r="AN83" s="18"/>
      <c r="AO83" s="18"/>
      <c r="AP83" s="18"/>
      <c r="AQ83" s="18"/>
      <c r="AR83" s="18"/>
      <c r="AS83" s="18"/>
      <c r="AT83" s="18"/>
      <c r="AU83" s="18"/>
      <c r="AV83" s="18"/>
      <c r="AW83" s="18"/>
      <c r="AX83" s="18"/>
      <c r="AY83" s="18"/>
      <c r="AZ83" s="18"/>
    </row>
    <row r="84" spans="1:52" ht="15" customHeight="1" x14ac:dyDescent="0.3">
      <c r="A84" s="248"/>
      <c r="B84" s="653"/>
      <c r="C84" s="303"/>
      <c r="D84" s="303"/>
      <c r="E84" s="303"/>
      <c r="F84" s="650"/>
      <c r="G84" s="303"/>
      <c r="H84" s="303"/>
      <c r="I84" s="303"/>
      <c r="J84" s="303"/>
      <c r="K84" s="680"/>
      <c r="L84" s="650"/>
      <c r="M84" s="269"/>
      <c r="N84" s="269"/>
      <c r="O84" s="269"/>
      <c r="P84" s="376"/>
      <c r="Q84" s="376"/>
      <c r="R84" s="685"/>
      <c r="S84" s="252"/>
      <c r="T84" s="16"/>
      <c r="U84" s="16"/>
      <c r="V84" s="16"/>
      <c r="W84" s="254"/>
      <c r="X84" s="16"/>
      <c r="Y84" s="16"/>
      <c r="Z84" s="254"/>
      <c r="AA84" s="16"/>
      <c r="AB84" s="16"/>
      <c r="AC84" s="254"/>
      <c r="AD84" s="16"/>
      <c r="AE84" s="16"/>
      <c r="AF84" s="254"/>
      <c r="AG84" s="16"/>
      <c r="AH84" s="16"/>
      <c r="AI84" s="254"/>
      <c r="AJ84" s="16"/>
      <c r="AK84" s="18"/>
      <c r="AL84" s="18"/>
      <c r="AM84" s="18"/>
      <c r="AN84" s="18"/>
      <c r="AO84" s="18"/>
      <c r="AP84" s="18"/>
      <c r="AQ84" s="18"/>
      <c r="AR84" s="18"/>
      <c r="AS84" s="18"/>
      <c r="AT84" s="18"/>
      <c r="AU84" s="18"/>
      <c r="AV84" s="18"/>
      <c r="AW84" s="18"/>
      <c r="AX84" s="18"/>
      <c r="AY84" s="18"/>
      <c r="AZ84" s="18"/>
    </row>
    <row r="85" spans="1:52" ht="15" customHeight="1" x14ac:dyDescent="0.3">
      <c r="A85" s="248"/>
      <c r="B85" s="653" t="str">
        <f>'Financials DF'!B92</f>
        <v>Cash &amp; Near Cash Items</v>
      </c>
      <c r="C85" s="303">
        <v>2324</v>
      </c>
      <c r="D85" s="303">
        <v>2131</v>
      </c>
      <c r="E85" s="303">
        <v>2169</v>
      </c>
      <c r="F85" s="650">
        <f>'Financials DF'!C92</f>
        <v>1499</v>
      </c>
      <c r="G85" s="303">
        <f>'Financials DF'!D92</f>
        <v>1456</v>
      </c>
      <c r="H85" s="303">
        <f>'Financials DF'!E92</f>
        <v>1450</v>
      </c>
      <c r="I85" s="303">
        <f>'Financials DF'!F92</f>
        <v>1732</v>
      </c>
      <c r="J85" s="303">
        <f>'Financials DF'!G92</f>
        <v>1371</v>
      </c>
      <c r="K85" s="680"/>
      <c r="L85" s="650"/>
      <c r="M85" s="376"/>
      <c r="N85" s="376"/>
      <c r="O85" s="376"/>
      <c r="P85" s="376"/>
      <c r="Q85" s="376"/>
      <c r="R85" s="685"/>
      <c r="S85" s="252"/>
      <c r="T85" s="16"/>
      <c r="U85" s="16"/>
      <c r="V85" s="16"/>
      <c r="W85" s="254"/>
      <c r="X85" s="16"/>
      <c r="Y85" s="16"/>
      <c r="Z85" s="254"/>
      <c r="AA85" s="16"/>
      <c r="AB85" s="16"/>
      <c r="AC85" s="254"/>
      <c r="AD85" s="16"/>
      <c r="AE85" s="16"/>
      <c r="AF85" s="254"/>
      <c r="AG85" s="16"/>
      <c r="AH85" s="16"/>
      <c r="AI85" s="254"/>
      <c r="AJ85" s="16"/>
      <c r="AK85" s="18"/>
      <c r="AL85" s="18"/>
      <c r="AM85" s="18"/>
      <c r="AN85" s="18"/>
      <c r="AO85" s="18"/>
      <c r="AP85" s="18"/>
      <c r="AQ85" s="18"/>
      <c r="AR85" s="18"/>
      <c r="AS85" s="18"/>
      <c r="AT85" s="18"/>
      <c r="AU85" s="18"/>
      <c r="AV85" s="18"/>
      <c r="AW85" s="18"/>
      <c r="AX85" s="18"/>
      <c r="AY85" s="18"/>
      <c r="AZ85" s="18"/>
    </row>
    <row r="86" spans="1:52" ht="15" customHeight="1" x14ac:dyDescent="0.3">
      <c r="A86" s="248"/>
      <c r="B86" s="652" t="str">
        <f>'Financials DF'!B97</f>
        <v>Total Current Assets</v>
      </c>
      <c r="C86" s="628">
        <f t="shared" ref="C86:J86" si="29">SUM(C79:C85)</f>
        <v>7227.438151899999</v>
      </c>
      <c r="D86" s="628">
        <f t="shared" si="29"/>
        <v>6764.5841939999991</v>
      </c>
      <c r="E86" s="628">
        <f t="shared" si="29"/>
        <v>6529.3958000000002</v>
      </c>
      <c r="F86" s="630">
        <f>SUM(F79:F85)</f>
        <v>5438</v>
      </c>
      <c r="G86" s="628">
        <f t="shared" si="29"/>
        <v>5595</v>
      </c>
      <c r="H86" s="628">
        <f t="shared" si="29"/>
        <v>6050</v>
      </c>
      <c r="I86" s="628">
        <f t="shared" si="29"/>
        <v>5524</v>
      </c>
      <c r="J86" s="628">
        <f t="shared" si="29"/>
        <v>5248</v>
      </c>
      <c r="K86" s="680"/>
      <c r="L86" s="650"/>
      <c r="M86" s="376"/>
      <c r="N86" s="376"/>
      <c r="O86" s="376"/>
      <c r="P86" s="376"/>
      <c r="Q86" s="376"/>
      <c r="R86" s="685"/>
      <c r="S86" s="252"/>
      <c r="T86" s="16"/>
      <c r="U86" s="16"/>
      <c r="V86" s="16"/>
      <c r="W86" s="254"/>
      <c r="X86" s="16"/>
      <c r="Y86" s="16"/>
      <c r="Z86" s="254"/>
      <c r="AA86" s="16"/>
      <c r="AB86" s="16"/>
      <c r="AC86" s="254"/>
      <c r="AD86" s="16"/>
      <c r="AE86" s="16"/>
      <c r="AF86" s="254"/>
      <c r="AG86" s="16"/>
      <c r="AH86" s="16"/>
      <c r="AI86" s="254"/>
      <c r="AJ86" s="16"/>
      <c r="AK86" s="18"/>
      <c r="AL86" s="18"/>
      <c r="AM86" s="18"/>
      <c r="AN86" s="18"/>
      <c r="AO86" s="18"/>
      <c r="AP86" s="18"/>
      <c r="AQ86" s="18"/>
      <c r="AR86" s="18"/>
      <c r="AS86" s="18"/>
      <c r="AT86" s="18"/>
      <c r="AU86" s="18"/>
      <c r="AV86" s="18"/>
      <c r="AW86" s="18"/>
      <c r="AX86" s="18"/>
      <c r="AY86" s="18"/>
      <c r="AZ86" s="18"/>
    </row>
    <row r="87" spans="1:52" ht="15" customHeight="1" x14ac:dyDescent="0.3">
      <c r="A87" s="248"/>
      <c r="B87" s="655" t="s">
        <v>316</v>
      </c>
      <c r="C87" s="629">
        <v>650</v>
      </c>
      <c r="D87" s="629">
        <v>600</v>
      </c>
      <c r="E87" s="629">
        <v>500</v>
      </c>
      <c r="F87" s="631"/>
      <c r="G87" s="629"/>
      <c r="H87" s="629"/>
      <c r="I87" s="629"/>
      <c r="J87" s="629"/>
      <c r="K87" s="680"/>
      <c r="L87" s="650"/>
      <c r="M87" s="376"/>
      <c r="N87" s="376"/>
      <c r="O87" s="376"/>
      <c r="P87" s="376"/>
      <c r="Q87" s="376"/>
      <c r="R87" s="685"/>
      <c r="S87" s="252"/>
      <c r="T87" s="16"/>
      <c r="U87" s="16"/>
      <c r="V87" s="16"/>
      <c r="W87" s="254"/>
      <c r="X87" s="16"/>
      <c r="Y87" s="16"/>
      <c r="Z87" s="254"/>
      <c r="AA87" s="16"/>
      <c r="AB87" s="16"/>
      <c r="AC87" s="254"/>
      <c r="AD87" s="16"/>
      <c r="AE87" s="16"/>
      <c r="AF87" s="254"/>
      <c r="AG87" s="16"/>
      <c r="AH87" s="16"/>
      <c r="AI87" s="254"/>
      <c r="AJ87" s="16"/>
      <c r="AK87" s="18"/>
      <c r="AL87" s="18"/>
      <c r="AM87" s="18"/>
      <c r="AN87" s="18"/>
      <c r="AO87" s="18"/>
      <c r="AP87" s="18"/>
      <c r="AQ87" s="18"/>
      <c r="AR87" s="18"/>
      <c r="AS87" s="18"/>
      <c r="AT87" s="18"/>
      <c r="AU87" s="18"/>
      <c r="AV87" s="18"/>
      <c r="AW87" s="18"/>
      <c r="AX87" s="18"/>
      <c r="AY87" s="18"/>
      <c r="AZ87" s="18"/>
    </row>
    <row r="88" spans="1:52" ht="15" customHeight="1" x14ac:dyDescent="0.3">
      <c r="A88" s="248"/>
      <c r="B88" s="659" t="s">
        <v>317</v>
      </c>
      <c r="C88" s="398">
        <f>-(C87)/($V$58*(1-$C$89))</f>
        <v>-45.582047685834503</v>
      </c>
      <c r="D88" s="398">
        <f>-(D87)/($V$58*(1-$C$89))</f>
        <v>-42.075736325385698</v>
      </c>
      <c r="E88" s="398">
        <f>-(E87)/($V$58*(1-$C$89))</f>
        <v>-35.06311360448808</v>
      </c>
      <c r="F88" s="650"/>
      <c r="G88" s="303"/>
      <c r="H88" s="303"/>
      <c r="I88" s="303"/>
      <c r="J88" s="303"/>
      <c r="K88" s="680"/>
      <c r="L88" s="650"/>
      <c r="M88" s="376"/>
      <c r="N88" s="376"/>
      <c r="O88" s="376"/>
      <c r="P88" s="376"/>
      <c r="Q88" s="672"/>
      <c r="R88" s="685"/>
      <c r="S88" s="252"/>
      <c r="T88" s="16"/>
      <c r="U88" s="16"/>
      <c r="V88" s="16"/>
      <c r="W88" s="254"/>
      <c r="X88" s="16"/>
      <c r="Y88" s="16"/>
      <c r="Z88" s="254"/>
      <c r="AA88" s="16"/>
      <c r="AB88" s="16"/>
      <c r="AC88" s="254"/>
      <c r="AD88" s="16"/>
      <c r="AE88" s="16"/>
      <c r="AF88" s="254"/>
      <c r="AG88" s="16"/>
      <c r="AH88" s="16"/>
      <c r="AI88" s="254"/>
      <c r="AJ88" s="16"/>
      <c r="AK88" s="18"/>
      <c r="AL88" s="18"/>
      <c r="AM88" s="18"/>
      <c r="AN88" s="18"/>
      <c r="AO88" s="18"/>
      <c r="AP88" s="18"/>
      <c r="AQ88" s="18"/>
      <c r="AR88" s="18"/>
      <c r="AS88" s="18"/>
      <c r="AT88" s="18"/>
      <c r="AU88" s="18"/>
      <c r="AV88" s="18"/>
      <c r="AW88" s="18"/>
      <c r="AX88" s="18"/>
      <c r="AY88" s="18"/>
      <c r="AZ88" s="18"/>
    </row>
    <row r="89" spans="1:52" ht="15" customHeight="1" x14ac:dyDescent="0.3">
      <c r="A89" s="248"/>
      <c r="B89" s="660" t="s">
        <v>318</v>
      </c>
      <c r="C89" s="337">
        <v>0</v>
      </c>
      <c r="D89" s="303"/>
      <c r="E89" s="303"/>
      <c r="F89" s="650"/>
      <c r="G89" s="303"/>
      <c r="H89" s="303"/>
      <c r="I89" s="303"/>
      <c r="J89" s="303"/>
      <c r="K89" s="680"/>
      <c r="L89" s="650"/>
      <c r="M89" s="376"/>
      <c r="N89" s="376"/>
      <c r="O89" s="376"/>
      <c r="P89" s="376"/>
      <c r="Q89" s="376"/>
      <c r="R89" s="685"/>
      <c r="S89" s="252"/>
      <c r="T89" s="16"/>
      <c r="U89" s="16"/>
      <c r="V89" s="16"/>
      <c r="W89" s="254"/>
      <c r="X89" s="16"/>
      <c r="Y89" s="16"/>
      <c r="Z89" s="254"/>
      <c r="AA89" s="16"/>
      <c r="AB89" s="16"/>
      <c r="AC89" s="254"/>
      <c r="AD89" s="16"/>
      <c r="AE89" s="16"/>
      <c r="AF89" s="254"/>
      <c r="AG89" s="16"/>
      <c r="AH89" s="16"/>
      <c r="AI89" s="254"/>
      <c r="AJ89" s="16"/>
      <c r="AK89" s="18"/>
      <c r="AL89" s="18"/>
      <c r="AM89" s="18"/>
      <c r="AN89" s="18"/>
      <c r="AO89" s="18"/>
      <c r="AP89" s="18"/>
      <c r="AQ89" s="18"/>
      <c r="AR89" s="18"/>
      <c r="AS89" s="18"/>
      <c r="AT89" s="18"/>
      <c r="AU89" s="18"/>
      <c r="AV89" s="18"/>
      <c r="AW89" s="18"/>
      <c r="AX89" s="18"/>
      <c r="AY89" s="18"/>
      <c r="AZ89" s="18"/>
    </row>
    <row r="90" spans="1:52" ht="15" customHeight="1" x14ac:dyDescent="0.3">
      <c r="A90" s="248"/>
      <c r="B90" s="653"/>
      <c r="C90" s="303"/>
      <c r="D90" s="303"/>
      <c r="E90" s="303"/>
      <c r="F90" s="650"/>
      <c r="G90" s="303"/>
      <c r="H90" s="303"/>
      <c r="I90" s="303"/>
      <c r="J90" s="303"/>
      <c r="K90" s="680"/>
      <c r="L90" s="650"/>
      <c r="M90" s="376"/>
      <c r="N90" s="376"/>
      <c r="O90" s="376"/>
      <c r="P90" s="376"/>
      <c r="Q90" s="376"/>
      <c r="R90" s="685"/>
      <c r="S90" s="252"/>
      <c r="T90" s="16"/>
      <c r="U90" s="16"/>
      <c r="V90" s="16"/>
      <c r="W90" s="254"/>
      <c r="X90" s="16"/>
      <c r="Y90" s="16"/>
      <c r="Z90" s="254"/>
      <c r="AA90" s="16"/>
      <c r="AB90" s="16"/>
      <c r="AC90" s="254"/>
      <c r="AD90" s="16"/>
      <c r="AE90" s="16"/>
      <c r="AF90" s="254"/>
      <c r="AG90" s="16"/>
      <c r="AH90" s="16"/>
      <c r="AI90" s="254"/>
      <c r="AJ90" s="16"/>
      <c r="AK90" s="18"/>
      <c r="AL90" s="18"/>
      <c r="AM90" s="18"/>
      <c r="AN90" s="18"/>
      <c r="AO90" s="18"/>
      <c r="AP90" s="18"/>
      <c r="AQ90" s="18"/>
      <c r="AR90" s="18"/>
      <c r="AS90" s="18"/>
      <c r="AT90" s="18"/>
      <c r="AU90" s="18"/>
      <c r="AV90" s="18"/>
      <c r="AW90" s="18"/>
      <c r="AX90" s="18"/>
      <c r="AY90" s="18"/>
      <c r="AZ90" s="18"/>
    </row>
    <row r="91" spans="1:52" ht="15" customHeight="1" x14ac:dyDescent="0.3">
      <c r="A91" s="248"/>
      <c r="B91" s="656" t="s">
        <v>53</v>
      </c>
      <c r="C91" s="661">
        <f t="shared" ref="C91:J91" si="30">C76+C86+C89+C90</f>
        <v>28046.213892606997</v>
      </c>
      <c r="D91" s="661">
        <f t="shared" si="30"/>
        <v>27622.354615219996</v>
      </c>
      <c r="E91" s="661">
        <f t="shared" si="30"/>
        <v>27430.321783399995</v>
      </c>
      <c r="F91" s="658">
        <f>F76+F86+F89+F90</f>
        <v>26270</v>
      </c>
      <c r="G91" s="657">
        <f t="shared" si="30"/>
        <v>25621</v>
      </c>
      <c r="H91" s="657">
        <f t="shared" si="30"/>
        <v>25944</v>
      </c>
      <c r="I91" s="657">
        <f t="shared" si="30"/>
        <v>21415</v>
      </c>
      <c r="J91" s="657">
        <f t="shared" si="30"/>
        <v>20548</v>
      </c>
      <c r="K91" s="680"/>
      <c r="L91" s="650"/>
      <c r="M91" s="376"/>
      <c r="N91" s="376"/>
      <c r="O91" s="376"/>
      <c r="P91" s="376"/>
      <c r="Q91" s="376"/>
      <c r="R91" s="685"/>
      <c r="S91" s="252"/>
      <c r="T91" s="16"/>
      <c r="U91" s="16"/>
      <c r="V91" s="16"/>
      <c r="W91" s="254"/>
      <c r="X91" s="16"/>
      <c r="Y91" s="16"/>
      <c r="Z91" s="254"/>
      <c r="AA91" s="16"/>
      <c r="AB91" s="16"/>
      <c r="AC91" s="254"/>
      <c r="AD91" s="16"/>
      <c r="AE91" s="16"/>
      <c r="AF91" s="254"/>
      <c r="AG91" s="16"/>
      <c r="AH91" s="16"/>
      <c r="AI91" s="254"/>
      <c r="AJ91" s="16"/>
      <c r="AK91" s="18"/>
      <c r="AL91" s="18"/>
      <c r="AM91" s="18"/>
      <c r="AN91" s="18"/>
      <c r="AO91" s="18"/>
      <c r="AP91" s="18"/>
      <c r="AQ91" s="18"/>
      <c r="AR91" s="18"/>
      <c r="AS91" s="18"/>
      <c r="AT91" s="18"/>
      <c r="AU91" s="18"/>
      <c r="AV91" s="18"/>
      <c r="AW91" s="18"/>
      <c r="AX91" s="18"/>
      <c r="AY91" s="18"/>
      <c r="AZ91" s="18"/>
    </row>
    <row r="92" spans="1:52" ht="15" customHeight="1" x14ac:dyDescent="0.3">
      <c r="A92" s="248"/>
      <c r="B92" s="635"/>
      <c r="C92" s="662" t="str">
        <f t="shared" ref="C92:J92" si="31">IF(C67=C91,"OK","Check Bal")</f>
        <v>Check Bal</v>
      </c>
      <c r="D92" s="662" t="str">
        <f t="shared" si="31"/>
        <v>Check Bal</v>
      </c>
      <c r="E92" s="662" t="str">
        <f t="shared" si="31"/>
        <v>Check Bal</v>
      </c>
      <c r="F92" s="663" t="str">
        <f>IF(F67=F91,"OK","Check Bal")</f>
        <v>OK</v>
      </c>
      <c r="G92" s="664" t="str">
        <f t="shared" si="31"/>
        <v>OK</v>
      </c>
      <c r="H92" s="664" t="str">
        <f t="shared" si="31"/>
        <v>OK</v>
      </c>
      <c r="I92" s="664" t="str">
        <f t="shared" si="31"/>
        <v>OK</v>
      </c>
      <c r="J92" s="664" t="str">
        <f t="shared" si="31"/>
        <v>OK</v>
      </c>
      <c r="K92" s="680"/>
      <c r="L92" s="650"/>
      <c r="M92" s="376"/>
      <c r="N92" s="376"/>
      <c r="O92" s="376"/>
      <c r="P92" s="376"/>
      <c r="Q92" s="376"/>
      <c r="R92" s="685"/>
      <c r="S92" s="252"/>
      <c r="T92" s="16"/>
      <c r="U92" s="16"/>
      <c r="V92" s="16"/>
      <c r="W92" s="254"/>
      <c r="X92" s="16"/>
      <c r="Y92" s="16"/>
      <c r="Z92" s="254"/>
      <c r="AA92" s="16"/>
      <c r="AB92" s="16"/>
      <c r="AC92" s="254"/>
      <c r="AD92" s="16"/>
      <c r="AE92" s="16"/>
      <c r="AF92" s="254"/>
      <c r="AG92" s="16"/>
      <c r="AH92" s="16"/>
      <c r="AI92" s="254"/>
      <c r="AJ92" s="16"/>
      <c r="AK92" s="18"/>
      <c r="AL92" s="18"/>
      <c r="AM92" s="18"/>
      <c r="AN92" s="18"/>
      <c r="AO92" s="18"/>
      <c r="AP92" s="18"/>
      <c r="AQ92" s="18"/>
      <c r="AR92" s="18"/>
      <c r="AS92" s="18"/>
      <c r="AT92" s="18"/>
      <c r="AU92" s="18"/>
      <c r="AV92" s="18"/>
      <c r="AW92" s="18"/>
      <c r="AX92" s="18"/>
      <c r="AY92" s="18"/>
      <c r="AZ92" s="18"/>
    </row>
    <row r="93" spans="1:52" ht="15" customHeight="1" x14ac:dyDescent="0.3">
      <c r="A93" s="248"/>
      <c r="B93" s="632"/>
      <c r="C93" s="399">
        <f>C91-C67</f>
        <v>0.24168596660092589</v>
      </c>
      <c r="D93" s="399">
        <f>D91-D67</f>
        <v>0.47822252099649631</v>
      </c>
      <c r="E93" s="399">
        <f>E91-E67</f>
        <v>-0.13587913500668947</v>
      </c>
      <c r="F93" s="650"/>
      <c r="G93" s="303"/>
      <c r="H93" s="303"/>
      <c r="I93" s="303"/>
      <c r="J93" s="303"/>
      <c r="K93" s="680"/>
      <c r="L93" s="650"/>
      <c r="M93" s="376"/>
      <c r="N93" s="376"/>
      <c r="O93" s="376"/>
      <c r="P93" s="376"/>
      <c r="Q93" s="376"/>
      <c r="R93" s="685"/>
      <c r="S93" s="252"/>
      <c r="T93" s="16"/>
      <c r="U93" s="16"/>
      <c r="V93" s="16"/>
      <c r="W93" s="254"/>
      <c r="X93" s="16"/>
      <c r="Y93" s="16"/>
      <c r="Z93" s="254"/>
      <c r="AA93" s="16"/>
      <c r="AB93" s="16"/>
      <c r="AC93" s="254"/>
      <c r="AD93" s="16"/>
      <c r="AE93" s="16"/>
      <c r="AF93" s="254"/>
      <c r="AG93" s="16"/>
      <c r="AH93" s="16"/>
      <c r="AI93" s="254"/>
      <c r="AJ93" s="16"/>
      <c r="AK93" s="18"/>
      <c r="AL93" s="18"/>
      <c r="AM93" s="18"/>
      <c r="AN93" s="18"/>
      <c r="AO93" s="18"/>
      <c r="AP93" s="18"/>
      <c r="AQ93" s="18"/>
      <c r="AR93" s="18"/>
      <c r="AS93" s="18"/>
      <c r="AT93" s="18"/>
      <c r="AU93" s="18"/>
      <c r="AV93" s="18"/>
      <c r="AW93" s="18"/>
      <c r="AX93" s="18"/>
      <c r="AY93" s="18"/>
      <c r="AZ93" s="18"/>
    </row>
    <row r="94" spans="1:52" s="519" customFormat="1" ht="15" customHeight="1" x14ac:dyDescent="0.35">
      <c r="A94" s="248"/>
      <c r="B94" s="632"/>
      <c r="C94" s="303"/>
      <c r="D94" s="303"/>
      <c r="E94" s="303"/>
      <c r="F94" s="650"/>
      <c r="G94" s="303"/>
      <c r="H94" s="303"/>
      <c r="I94" s="303"/>
      <c r="J94" s="303"/>
      <c r="K94" s="680"/>
      <c r="L94" s="650"/>
      <c r="M94" s="376"/>
      <c r="N94" s="376"/>
      <c r="O94" s="376"/>
      <c r="P94" s="376"/>
      <c r="Q94" s="376"/>
      <c r="R94" s="685"/>
      <c r="S94" s="400"/>
      <c r="T94" s="401"/>
      <c r="U94" s="401"/>
      <c r="V94" s="401"/>
      <c r="W94" s="402"/>
      <c r="X94" s="401"/>
      <c r="Y94" s="401"/>
      <c r="Z94" s="402"/>
      <c r="AA94" s="401"/>
      <c r="AB94" s="401"/>
      <c r="AC94" s="402"/>
      <c r="AD94" s="401"/>
      <c r="AE94" s="401"/>
      <c r="AF94" s="402"/>
      <c r="AG94" s="401"/>
      <c r="AH94" s="401"/>
      <c r="AI94" s="402"/>
      <c r="AJ94" s="401"/>
      <c r="AK94" s="403"/>
      <c r="AL94" s="403"/>
      <c r="AM94" s="403"/>
      <c r="AN94" s="403"/>
      <c r="AO94" s="403"/>
      <c r="AP94" s="403"/>
      <c r="AQ94" s="403"/>
      <c r="AR94" s="403"/>
      <c r="AS94" s="403"/>
      <c r="AT94" s="403"/>
      <c r="AU94" s="403"/>
      <c r="AV94" s="403"/>
      <c r="AW94" s="403"/>
      <c r="AX94" s="403"/>
      <c r="AY94" s="403"/>
      <c r="AZ94" s="403"/>
    </row>
    <row r="95" spans="1:52" ht="15" customHeight="1" x14ac:dyDescent="0.3">
      <c r="A95" s="248"/>
      <c r="B95" s="632"/>
      <c r="C95" s="303"/>
      <c r="D95" s="303"/>
      <c r="E95" s="303"/>
      <c r="F95" s="650"/>
      <c r="G95" s="303"/>
      <c r="H95" s="303"/>
      <c r="I95" s="303"/>
      <c r="J95" s="303"/>
      <c r="K95" s="680"/>
      <c r="L95" s="650"/>
      <c r="M95" s="376"/>
      <c r="N95" s="376"/>
      <c r="O95" s="376"/>
      <c r="P95" s="376"/>
      <c r="Q95" s="376"/>
      <c r="R95" s="685"/>
      <c r="S95" s="252"/>
      <c r="T95" s="16"/>
      <c r="U95" s="16"/>
      <c r="V95" s="16"/>
      <c r="W95" s="254"/>
      <c r="X95" s="16"/>
      <c r="Y95" s="16"/>
      <c r="Z95" s="254"/>
      <c r="AA95" s="16"/>
      <c r="AB95" s="16"/>
      <c r="AC95" s="254"/>
      <c r="AD95" s="16"/>
      <c r="AE95" s="16"/>
      <c r="AF95" s="254"/>
      <c r="AG95" s="16"/>
      <c r="AH95" s="16"/>
      <c r="AI95" s="254"/>
      <c r="AJ95" s="16"/>
      <c r="AK95" s="18"/>
      <c r="AL95" s="18"/>
      <c r="AM95" s="18"/>
      <c r="AN95" s="18"/>
      <c r="AO95" s="18"/>
      <c r="AP95" s="18"/>
      <c r="AQ95" s="18"/>
      <c r="AR95" s="18"/>
      <c r="AS95" s="18"/>
      <c r="AT95" s="18"/>
      <c r="AU95" s="18"/>
      <c r="AV95" s="18"/>
      <c r="AW95" s="18"/>
      <c r="AX95" s="18"/>
      <c r="AY95" s="18"/>
      <c r="AZ95" s="18"/>
    </row>
    <row r="96" spans="1:52" ht="15" customHeight="1" x14ac:dyDescent="0.3">
      <c r="A96" s="248"/>
      <c r="B96" s="632"/>
      <c r="C96" s="303"/>
      <c r="D96" s="303"/>
      <c r="E96" s="303"/>
      <c r="F96" s="650"/>
      <c r="G96" s="303"/>
      <c r="H96" s="303"/>
      <c r="I96" s="303"/>
      <c r="J96" s="303"/>
      <c r="K96" s="680"/>
      <c r="L96" s="650"/>
      <c r="M96" s="376"/>
      <c r="N96" s="376"/>
      <c r="O96" s="376"/>
      <c r="P96" s="376"/>
      <c r="Q96" s="376"/>
      <c r="R96" s="685"/>
      <c r="S96" s="252"/>
      <c r="T96" s="16"/>
      <c r="U96" s="16"/>
      <c r="V96" s="16"/>
      <c r="W96" s="254"/>
      <c r="X96" s="16"/>
      <c r="Y96" s="16"/>
      <c r="Z96" s="254"/>
      <c r="AA96" s="16"/>
      <c r="AB96" s="16"/>
      <c r="AC96" s="254"/>
      <c r="AD96" s="16"/>
      <c r="AE96" s="16"/>
      <c r="AF96" s="254"/>
      <c r="AG96" s="16"/>
      <c r="AH96" s="16"/>
      <c r="AI96" s="254"/>
      <c r="AJ96" s="16"/>
      <c r="AK96" s="18"/>
      <c r="AL96" s="18"/>
      <c r="AM96" s="18"/>
      <c r="AN96" s="18"/>
      <c r="AO96" s="18"/>
      <c r="AP96" s="18"/>
      <c r="AQ96" s="18"/>
      <c r="AR96" s="18"/>
      <c r="AS96" s="18"/>
      <c r="AT96" s="18"/>
      <c r="AU96" s="18"/>
      <c r="AV96" s="18"/>
      <c r="AW96" s="18"/>
      <c r="AX96" s="18"/>
      <c r="AY96" s="18"/>
      <c r="AZ96" s="18"/>
    </row>
    <row r="97" spans="1:52" ht="15" customHeight="1" x14ac:dyDescent="0.3">
      <c r="A97" s="248"/>
      <c r="B97" s="695"/>
      <c r="C97" s="710"/>
      <c r="D97" s="710"/>
      <c r="E97" s="697"/>
      <c r="F97" s="697"/>
      <c r="G97" s="697"/>
      <c r="H97" s="697"/>
      <c r="I97" s="697"/>
      <c r="J97" s="697"/>
      <c r="K97" s="625"/>
      <c r="L97" s="711"/>
      <c r="M97" s="700"/>
      <c r="N97" s="700"/>
      <c r="O97" s="700"/>
      <c r="P97" s="700"/>
      <c r="Q97" s="700"/>
      <c r="R97" s="701"/>
      <c r="S97" s="252"/>
      <c r="T97" s="16"/>
      <c r="U97" s="16"/>
      <c r="V97" s="16"/>
      <c r="W97" s="254"/>
      <c r="X97" s="16"/>
      <c r="Y97" s="16"/>
      <c r="Z97" s="254"/>
      <c r="AA97" s="16"/>
      <c r="AB97" s="16"/>
      <c r="AC97" s="254"/>
      <c r="AD97" s="16"/>
      <c r="AE97" s="16"/>
      <c r="AF97" s="254"/>
      <c r="AG97" s="16"/>
      <c r="AH97" s="16"/>
      <c r="AI97" s="254"/>
      <c r="AJ97" s="16"/>
      <c r="AK97" s="18"/>
      <c r="AL97" s="18"/>
      <c r="AM97" s="18"/>
      <c r="AN97" s="18"/>
      <c r="AO97" s="18"/>
      <c r="AP97" s="18"/>
      <c r="AQ97" s="18"/>
      <c r="AR97" s="18"/>
      <c r="AS97" s="18"/>
      <c r="AT97" s="18"/>
      <c r="AU97" s="18"/>
      <c r="AV97" s="18"/>
      <c r="AW97" s="18"/>
      <c r="AX97" s="18"/>
      <c r="AY97" s="18"/>
      <c r="AZ97" s="18"/>
    </row>
    <row r="98" spans="1:52" ht="15" customHeight="1" x14ac:dyDescent="0.3">
      <c r="A98" s="248"/>
      <c r="B98" s="624"/>
      <c r="C98" s="404"/>
      <c r="D98" s="404"/>
      <c r="E98" s="623"/>
      <c r="F98" s="623"/>
      <c r="G98" s="623"/>
      <c r="H98" s="623"/>
      <c r="I98" s="623"/>
      <c r="J98" s="623"/>
      <c r="K98" s="625"/>
      <c r="L98" s="712"/>
      <c r="M98" s="625"/>
      <c r="N98" s="625"/>
      <c r="O98" s="625"/>
      <c r="P98" s="625"/>
      <c r="Q98" s="625"/>
      <c r="R98" s="698"/>
      <c r="S98" s="252"/>
      <c r="T98" s="16"/>
      <c r="U98" s="16"/>
      <c r="V98" s="16"/>
      <c r="W98" s="254"/>
      <c r="X98" s="16"/>
      <c r="Y98" s="16"/>
      <c r="Z98" s="254"/>
      <c r="AA98" s="16"/>
      <c r="AB98" s="16"/>
      <c r="AC98" s="254"/>
      <c r="AD98" s="16"/>
      <c r="AE98" s="16"/>
      <c r="AF98" s="254"/>
      <c r="AG98" s="16"/>
      <c r="AH98" s="16"/>
      <c r="AI98" s="254"/>
      <c r="AJ98" s="16"/>
      <c r="AK98" s="18"/>
      <c r="AL98" s="18"/>
      <c r="AM98" s="18"/>
      <c r="AN98" s="18"/>
      <c r="AO98" s="18"/>
      <c r="AP98" s="18"/>
      <c r="AQ98" s="18"/>
      <c r="AR98" s="18"/>
      <c r="AS98" s="18"/>
      <c r="AT98" s="18"/>
      <c r="AU98" s="18"/>
      <c r="AV98" s="18"/>
      <c r="AW98" s="18"/>
      <c r="AX98" s="18"/>
      <c r="AY98" s="18"/>
      <c r="AZ98" s="18"/>
    </row>
    <row r="99" spans="1:52" ht="15" customHeight="1" x14ac:dyDescent="0.3">
      <c r="A99" s="248"/>
      <c r="B99" s="624"/>
      <c r="C99" s="404"/>
      <c r="D99" s="404"/>
      <c r="E99" s="623"/>
      <c r="F99" s="623"/>
      <c r="G99" s="623"/>
      <c r="H99" s="623"/>
      <c r="I99" s="623"/>
      <c r="J99" s="623"/>
      <c r="K99" s="625"/>
      <c r="L99" s="712"/>
      <c r="M99" s="625"/>
      <c r="N99" s="625"/>
      <c r="O99" s="625"/>
      <c r="P99" s="625"/>
      <c r="Q99" s="625"/>
      <c r="R99" s="698"/>
      <c r="S99" s="252"/>
      <c r="T99" s="16"/>
      <c r="U99" s="16"/>
      <c r="V99" s="16"/>
      <c r="W99" s="254"/>
      <c r="X99" s="16"/>
      <c r="Y99" s="16"/>
      <c r="Z99" s="254"/>
      <c r="AA99" s="16"/>
      <c r="AB99" s="16"/>
      <c r="AC99" s="254"/>
      <c r="AD99" s="16"/>
      <c r="AE99" s="16"/>
      <c r="AF99" s="254"/>
      <c r="AG99" s="16"/>
      <c r="AH99" s="16"/>
      <c r="AI99" s="254"/>
      <c r="AJ99" s="16"/>
      <c r="AK99" s="18"/>
      <c r="AL99" s="18"/>
      <c r="AM99" s="18"/>
      <c r="AN99" s="18"/>
      <c r="AO99" s="18"/>
      <c r="AP99" s="18"/>
      <c r="AQ99" s="18"/>
      <c r="AR99" s="18"/>
      <c r="AS99" s="18"/>
      <c r="AT99" s="18"/>
      <c r="AU99" s="18"/>
      <c r="AV99" s="18"/>
      <c r="AW99" s="18"/>
      <c r="AX99" s="18"/>
      <c r="AY99" s="18"/>
      <c r="AZ99" s="18"/>
    </row>
    <row r="100" spans="1:52" ht="15" customHeight="1" x14ac:dyDescent="0.3">
      <c r="A100" s="670"/>
      <c r="B100" s="624"/>
      <c r="C100" s="404"/>
      <c r="D100" s="404"/>
      <c r="E100" s="623"/>
      <c r="F100" s="623"/>
      <c r="G100" s="623"/>
      <c r="H100" s="623"/>
      <c r="I100" s="623"/>
      <c r="J100" s="623"/>
      <c r="K100" s="625"/>
      <c r="L100" s="712"/>
      <c r="M100" s="625"/>
      <c r="N100" s="625"/>
      <c r="O100" s="625"/>
      <c r="P100" s="625"/>
      <c r="Q100" s="625"/>
      <c r="R100" s="698"/>
      <c r="S100" s="252"/>
      <c r="T100" s="16"/>
      <c r="U100" s="16"/>
      <c r="V100" s="16"/>
      <c r="W100" s="254"/>
      <c r="X100" s="16"/>
      <c r="Y100" s="16"/>
      <c r="Z100" s="254"/>
      <c r="AA100" s="16"/>
      <c r="AB100" s="16"/>
      <c r="AC100" s="254"/>
      <c r="AD100" s="16"/>
      <c r="AE100" s="16"/>
      <c r="AF100" s="254"/>
      <c r="AG100" s="16"/>
      <c r="AH100" s="16"/>
      <c r="AI100" s="254"/>
      <c r="AJ100" s="16"/>
      <c r="AK100" s="18"/>
      <c r="AL100" s="18"/>
      <c r="AM100" s="18"/>
      <c r="AN100" s="18"/>
      <c r="AO100" s="18"/>
      <c r="AP100" s="18"/>
      <c r="AQ100" s="18"/>
      <c r="AR100" s="18"/>
      <c r="AS100" s="18"/>
      <c r="AT100" s="18"/>
      <c r="AU100" s="18"/>
      <c r="AV100" s="18"/>
      <c r="AW100" s="18"/>
      <c r="AX100" s="18"/>
      <c r="AY100" s="18"/>
      <c r="AZ100" s="18"/>
    </row>
    <row r="101" spans="1:52" ht="15" customHeight="1" x14ac:dyDescent="0.3">
      <c r="A101" s="248"/>
      <c r="B101" s="713" t="s">
        <v>61</v>
      </c>
      <c r="C101" s="628" t="str">
        <f>C$4</f>
        <v>FY3</v>
      </c>
      <c r="D101" s="628" t="str">
        <f t="shared" ref="D101:J101" si="32">D$4</f>
        <v>FY2</v>
      </c>
      <c r="E101" s="628" t="str">
        <f t="shared" si="32"/>
        <v>FY1</v>
      </c>
      <c r="F101" s="630">
        <f t="shared" si="32"/>
        <v>2022</v>
      </c>
      <c r="G101" s="628">
        <f t="shared" si="32"/>
        <v>2021</v>
      </c>
      <c r="H101" s="628">
        <f t="shared" si="32"/>
        <v>2020</v>
      </c>
      <c r="I101" s="628">
        <f t="shared" si="32"/>
        <v>2019</v>
      </c>
      <c r="J101" s="628">
        <f t="shared" si="32"/>
        <v>2018</v>
      </c>
      <c r="K101" s="714"/>
      <c r="L101" s="715"/>
      <c r="M101" s="678"/>
      <c r="N101" s="678"/>
      <c r="O101" s="678"/>
      <c r="P101" s="678"/>
      <c r="Q101" s="678"/>
      <c r="R101" s="716"/>
      <c r="S101" s="252"/>
      <c r="T101" s="16"/>
      <c r="U101" s="16"/>
      <c r="V101" s="16"/>
      <c r="W101" s="254"/>
      <c r="X101" s="16"/>
      <c r="Y101" s="16"/>
      <c r="Z101" s="254"/>
      <c r="AA101" s="16"/>
      <c r="AB101" s="16"/>
      <c r="AC101" s="254"/>
      <c r="AD101" s="16"/>
      <c r="AE101" s="16"/>
      <c r="AF101" s="254"/>
      <c r="AG101" s="16"/>
      <c r="AH101" s="16"/>
      <c r="AI101" s="254"/>
      <c r="AJ101" s="16"/>
      <c r="AK101" s="18"/>
      <c r="AL101" s="18"/>
      <c r="AM101" s="18"/>
      <c r="AN101" s="18"/>
      <c r="AO101" s="18"/>
      <c r="AP101" s="18"/>
      <c r="AQ101" s="18"/>
      <c r="AR101" s="18"/>
      <c r="AS101" s="18"/>
      <c r="AT101" s="18"/>
      <c r="AU101" s="18"/>
      <c r="AV101" s="18"/>
      <c r="AW101" s="18"/>
      <c r="AX101" s="18"/>
      <c r="AY101" s="18"/>
      <c r="AZ101" s="18"/>
    </row>
    <row r="102" spans="1:52" ht="15" customHeight="1" x14ac:dyDescent="0.3">
      <c r="A102" s="248"/>
      <c r="B102" s="666"/>
      <c r="C102" s="303"/>
      <c r="D102" s="303"/>
      <c r="E102" s="303"/>
      <c r="F102" s="650"/>
      <c r="G102" s="303"/>
      <c r="H102" s="303"/>
      <c r="I102" s="303"/>
      <c r="J102" s="303"/>
      <c r="K102" s="680"/>
      <c r="L102" s="707"/>
      <c r="M102" s="349" t="str">
        <f>M68</f>
        <v>FY3</v>
      </c>
      <c r="N102" s="349" t="str">
        <f>N68</f>
        <v>FY2</v>
      </c>
      <c r="O102" s="349" t="str">
        <f>O68</f>
        <v>FY1</v>
      </c>
      <c r="P102" s="349">
        <f>P68</f>
        <v>2022</v>
      </c>
      <c r="Q102" s="349">
        <f>Q68</f>
        <v>2021</v>
      </c>
      <c r="R102" s="691"/>
      <c r="S102" s="252"/>
      <c r="T102" s="16"/>
      <c r="U102" s="16"/>
      <c r="V102" s="16"/>
      <c r="W102" s="254"/>
      <c r="X102" s="16"/>
      <c r="Y102" s="16"/>
      <c r="Z102" s="254"/>
      <c r="AA102" s="16"/>
      <c r="AB102" s="16"/>
      <c r="AC102" s="254"/>
      <c r="AD102" s="16"/>
      <c r="AE102" s="16"/>
      <c r="AF102" s="254"/>
      <c r="AG102" s="16"/>
      <c r="AH102" s="16"/>
      <c r="AI102" s="254"/>
      <c r="AJ102" s="16"/>
      <c r="AK102" s="18"/>
      <c r="AL102" s="18"/>
      <c r="AM102" s="18"/>
      <c r="AN102" s="18"/>
      <c r="AO102" s="18"/>
      <c r="AP102" s="18"/>
      <c r="AQ102" s="18"/>
      <c r="AR102" s="18"/>
      <c r="AS102" s="18"/>
      <c r="AT102" s="18"/>
      <c r="AU102" s="18"/>
      <c r="AV102" s="18"/>
      <c r="AW102" s="18"/>
      <c r="AX102" s="18"/>
      <c r="AY102" s="18"/>
      <c r="AZ102" s="18"/>
    </row>
    <row r="103" spans="1:52" ht="15" customHeight="1" x14ac:dyDescent="0.3">
      <c r="A103" s="248"/>
      <c r="B103" s="666" t="str">
        <f>'Financials DF'!B163</f>
        <v>Net Income</v>
      </c>
      <c r="C103" s="303">
        <f>C20</f>
        <v>1744.4986538409948</v>
      </c>
      <c r="D103" s="303">
        <f>D20</f>
        <v>1631.5144796599977</v>
      </c>
      <c r="E103" s="303">
        <f>E20</f>
        <v>1381.7416723000001</v>
      </c>
      <c r="F103" s="650">
        <f>'Financials DF'!C163</f>
        <v>1013</v>
      </c>
      <c r="G103" s="303">
        <f>'Financials DF'!D163</f>
        <v>769</v>
      </c>
      <c r="H103" s="303">
        <f>'Financials DF'!E163</f>
        <v>446</v>
      </c>
      <c r="I103" s="303">
        <f>'Financials DF'!F163</f>
        <v>2447</v>
      </c>
      <c r="J103" s="303">
        <f>'Financials DF'!G163</f>
        <v>4940</v>
      </c>
      <c r="K103" s="680"/>
      <c r="L103" s="655"/>
      <c r="M103" s="682"/>
      <c r="N103" s="682"/>
      <c r="O103" s="682"/>
      <c r="P103" s="682"/>
      <c r="Q103" s="682"/>
      <c r="R103" s="684"/>
      <c r="S103" s="252"/>
      <c r="T103" s="16"/>
      <c r="U103" s="16"/>
      <c r="V103" s="16"/>
      <c r="W103" s="254"/>
      <c r="X103" s="16"/>
      <c r="Y103" s="16"/>
      <c r="Z103" s="254"/>
      <c r="AA103" s="16"/>
      <c r="AB103" s="16"/>
      <c r="AC103" s="254"/>
      <c r="AD103" s="16"/>
      <c r="AE103" s="16"/>
      <c r="AF103" s="254"/>
      <c r="AG103" s="16"/>
      <c r="AH103" s="16"/>
      <c r="AI103" s="254"/>
      <c r="AJ103" s="16"/>
      <c r="AK103" s="18"/>
      <c r="AL103" s="18"/>
      <c r="AM103" s="18"/>
      <c r="AN103" s="18"/>
      <c r="AO103" s="18"/>
      <c r="AP103" s="18"/>
      <c r="AQ103" s="18"/>
      <c r="AR103" s="18"/>
      <c r="AS103" s="18"/>
      <c r="AT103" s="18"/>
      <c r="AU103" s="18"/>
      <c r="AV103" s="18"/>
      <c r="AW103" s="18"/>
      <c r="AX103" s="18"/>
      <c r="AY103" s="18"/>
      <c r="AZ103" s="18"/>
    </row>
    <row r="104" spans="1:52" ht="15" customHeight="1" x14ac:dyDescent="0.3">
      <c r="A104" s="248"/>
      <c r="B104" s="666" t="str">
        <f>'Financials DF'!B164</f>
        <v>Depreciation</v>
      </c>
      <c r="C104" s="303">
        <f>M104*C70</f>
        <v>1400.5052782629998</v>
      </c>
      <c r="D104" s="303">
        <f>N104*D70</f>
        <v>1329.7067271799999</v>
      </c>
      <c r="E104" s="303">
        <f>O104*E70</f>
        <v>1262.8060665999999</v>
      </c>
      <c r="F104" s="650">
        <f>'Financials DF'!C164</f>
        <v>1203</v>
      </c>
      <c r="G104" s="303">
        <f>'Financials DF'!D164</f>
        <v>1168</v>
      </c>
      <c r="H104" s="303">
        <f>'Financials DF'!E164</f>
        <v>1165</v>
      </c>
      <c r="I104" s="303">
        <f>'Financials DF'!F164</f>
        <v>748</v>
      </c>
      <c r="J104" s="303">
        <f>'Financials DF'!G164</f>
        <v>962</v>
      </c>
      <c r="K104" s="680"/>
      <c r="L104" s="650" t="s">
        <v>676</v>
      </c>
      <c r="M104" s="396">
        <v>5.1999999999999998E-2</v>
      </c>
      <c r="N104" s="396">
        <v>5.1999999999999998E-2</v>
      </c>
      <c r="O104" s="396">
        <v>5.1999999999999998E-2</v>
      </c>
      <c r="P104" s="407">
        <f>F104/(F70)</f>
        <v>5.2411449483727619E-2</v>
      </c>
      <c r="Q104" s="407">
        <f>G104/(G70)</f>
        <v>5.2989746846928594E-2</v>
      </c>
      <c r="R104" s="717" t="s">
        <v>555</v>
      </c>
      <c r="S104" s="252"/>
      <c r="T104" s="16"/>
      <c r="U104" s="16"/>
      <c r="V104" s="16"/>
      <c r="W104" s="254"/>
      <c r="X104" s="16"/>
      <c r="Y104" s="16"/>
      <c r="Z104" s="254"/>
      <c r="AA104" s="16"/>
      <c r="AB104" s="16"/>
      <c r="AC104" s="254"/>
      <c r="AD104" s="16"/>
      <c r="AE104" s="16"/>
      <c r="AF104" s="254"/>
      <c r="AG104" s="16"/>
      <c r="AH104" s="16"/>
      <c r="AI104" s="254"/>
      <c r="AJ104" s="16"/>
      <c r="AK104" s="18"/>
      <c r="AL104" s="18"/>
      <c r="AM104" s="18"/>
      <c r="AN104" s="18"/>
      <c r="AO104" s="18"/>
      <c r="AP104" s="18"/>
      <c r="AQ104" s="18"/>
      <c r="AR104" s="18"/>
      <c r="AS104" s="18"/>
      <c r="AT104" s="18"/>
      <c r="AU104" s="18"/>
      <c r="AV104" s="18"/>
      <c r="AW104" s="18"/>
      <c r="AX104" s="18"/>
      <c r="AY104" s="18"/>
      <c r="AZ104" s="18"/>
    </row>
    <row r="105" spans="1:52" ht="15" customHeight="1" x14ac:dyDescent="0.3">
      <c r="A105" s="248"/>
      <c r="B105" s="666" t="str">
        <f>'Financials DF'!B165</f>
        <v>Other Non-Cash Adjustments</v>
      </c>
      <c r="C105" s="303">
        <f>C16-C127</f>
        <v>328.37621719359908</v>
      </c>
      <c r="D105" s="303">
        <f>D16-D127</f>
        <v>307.1086079359996</v>
      </c>
      <c r="E105" s="303">
        <f>E16-E127</f>
        <v>260.09255008000008</v>
      </c>
      <c r="F105" s="650">
        <f>'Financials DF'!C165</f>
        <v>-436</v>
      </c>
      <c r="G105" s="303">
        <f>'Financials DF'!D165</f>
        <v>401</v>
      </c>
      <c r="H105" s="303">
        <f>'Financials DF'!E165</f>
        <v>-27</v>
      </c>
      <c r="I105" s="303">
        <f>'Financials DF'!F165</f>
        <v>-123</v>
      </c>
      <c r="J105" s="303">
        <f>'Financials DF'!G165</f>
        <v>-2779</v>
      </c>
      <c r="K105" s="680"/>
      <c r="L105" s="650"/>
      <c r="M105" s="376"/>
      <c r="N105" s="376"/>
      <c r="O105" s="376"/>
      <c r="P105" s="376"/>
      <c r="Q105" s="376"/>
      <c r="R105" s="685" t="s">
        <v>291</v>
      </c>
      <c r="S105" s="252"/>
      <c r="T105" s="16"/>
      <c r="U105" s="16"/>
      <c r="V105" s="16"/>
      <c r="W105" s="254"/>
      <c r="X105" s="16"/>
      <c r="Y105" s="16"/>
      <c r="Z105" s="254"/>
      <c r="AA105" s="16"/>
      <c r="AB105" s="16"/>
      <c r="AC105" s="254"/>
      <c r="AD105" s="16"/>
      <c r="AE105" s="16"/>
      <c r="AF105" s="254"/>
      <c r="AG105" s="16"/>
      <c r="AH105" s="16"/>
      <c r="AI105" s="254"/>
      <c r="AJ105" s="16"/>
      <c r="AK105" s="18"/>
      <c r="AL105" s="18"/>
      <c r="AM105" s="18"/>
      <c r="AN105" s="18"/>
      <c r="AO105" s="18"/>
      <c r="AP105" s="18"/>
      <c r="AQ105" s="18"/>
      <c r="AR105" s="18"/>
      <c r="AS105" s="18"/>
      <c r="AT105" s="18"/>
      <c r="AU105" s="18"/>
      <c r="AV105" s="18"/>
      <c r="AW105" s="18"/>
      <c r="AX105" s="18"/>
      <c r="AY105" s="18"/>
      <c r="AZ105" s="18"/>
    </row>
    <row r="106" spans="1:52" ht="15" customHeight="1" x14ac:dyDescent="0.3">
      <c r="A106" s="248"/>
      <c r="B106" s="666" t="str">
        <f>'Financials DF'!B166</f>
        <v>Changes in Non-Cash Capital</v>
      </c>
      <c r="C106" s="303">
        <f>C154</f>
        <v>7.4959432749999451</v>
      </c>
      <c r="D106" s="303">
        <f>D154</f>
        <v>7.5885664999996152</v>
      </c>
      <c r="E106" s="303">
        <f>E154</f>
        <v>464.06655000000001</v>
      </c>
      <c r="F106" s="650">
        <f>'Financials DF'!C166</f>
        <v>238</v>
      </c>
      <c r="G106" s="303">
        <f>'Financials DF'!D166</f>
        <v>234</v>
      </c>
      <c r="H106" s="303">
        <f>'Financials DF'!E166</f>
        <v>-1395</v>
      </c>
      <c r="I106" s="303">
        <f>'Financials DF'!F166</f>
        <v>427</v>
      </c>
      <c r="J106" s="303">
        <f>'Financials DF'!G166</f>
        <v>-343</v>
      </c>
      <c r="K106" s="680"/>
      <c r="L106" s="650"/>
      <c r="M106" s="407">
        <f>C106/C6</f>
        <v>2.7528038663039294E-4</v>
      </c>
      <c r="N106" s="407">
        <f>D106/D6</f>
        <v>2.949189548944063E-4</v>
      </c>
      <c r="O106" s="407">
        <f>E106/E6</f>
        <v>1.9165762549605982E-2</v>
      </c>
      <c r="P106" s="407">
        <f>F106/F6</f>
        <v>1.1000184877056757E-2</v>
      </c>
      <c r="Q106" s="407">
        <f>G106/G6</f>
        <v>1.1037735849056604E-2</v>
      </c>
      <c r="R106" s="685" t="s">
        <v>292</v>
      </c>
      <c r="S106" s="252"/>
      <c r="T106" s="16"/>
      <c r="U106" s="16"/>
      <c r="V106" s="16"/>
      <c r="W106" s="254"/>
      <c r="X106" s="16"/>
      <c r="Y106" s="16"/>
      <c r="Z106" s="254"/>
      <c r="AA106" s="16"/>
      <c r="AB106" s="16"/>
      <c r="AC106" s="254"/>
      <c r="AD106" s="16"/>
      <c r="AE106" s="16"/>
      <c r="AF106" s="254"/>
      <c r="AG106" s="16"/>
      <c r="AH106" s="16"/>
      <c r="AI106" s="254"/>
      <c r="AJ106" s="16"/>
      <c r="AK106" s="18"/>
      <c r="AL106" s="18"/>
      <c r="AM106" s="18"/>
      <c r="AN106" s="18"/>
      <c r="AO106" s="18"/>
      <c r="AP106" s="18"/>
      <c r="AQ106" s="18"/>
      <c r="AR106" s="18"/>
      <c r="AS106" s="18"/>
      <c r="AT106" s="18"/>
      <c r="AU106" s="18"/>
      <c r="AV106" s="18"/>
      <c r="AW106" s="18"/>
      <c r="AX106" s="18"/>
      <c r="AY106" s="18"/>
      <c r="AZ106" s="18"/>
    </row>
    <row r="107" spans="1:52" ht="15" customHeight="1" x14ac:dyDescent="0.3">
      <c r="A107" s="248"/>
      <c r="B107" s="713" t="s">
        <v>673</v>
      </c>
      <c r="C107" s="628">
        <f t="shared" ref="C107:J107" si="33">SUM(C103:C106)</f>
        <v>3480.8760925725937</v>
      </c>
      <c r="D107" s="628">
        <f t="shared" si="33"/>
        <v>3275.918381275997</v>
      </c>
      <c r="E107" s="628">
        <f t="shared" si="33"/>
        <v>3368.7068389799997</v>
      </c>
      <c r="F107" s="630">
        <f t="shared" si="33"/>
        <v>2018</v>
      </c>
      <c r="G107" s="628">
        <f t="shared" si="33"/>
        <v>2572</v>
      </c>
      <c r="H107" s="628">
        <f t="shared" si="33"/>
        <v>189</v>
      </c>
      <c r="I107" s="628">
        <f t="shared" si="33"/>
        <v>3499</v>
      </c>
      <c r="J107" s="628">
        <f t="shared" si="33"/>
        <v>2780</v>
      </c>
      <c r="K107" s="680"/>
      <c r="L107" s="650"/>
      <c r="M107" s="405"/>
      <c r="N107" s="349"/>
      <c r="O107" s="349"/>
      <c r="P107" s="349"/>
      <c r="Q107" s="349"/>
      <c r="R107" s="685"/>
      <c r="S107" s="252"/>
      <c r="T107" s="16"/>
      <c r="U107" s="16"/>
      <c r="V107" s="16"/>
      <c r="W107" s="254"/>
      <c r="X107" s="16"/>
      <c r="Y107" s="16"/>
      <c r="Z107" s="254"/>
      <c r="AA107" s="16"/>
      <c r="AB107" s="16"/>
      <c r="AC107" s="254"/>
      <c r="AD107" s="16"/>
      <c r="AE107" s="16"/>
      <c r="AF107" s="254"/>
      <c r="AG107" s="16"/>
      <c r="AH107" s="16"/>
      <c r="AI107" s="254"/>
      <c r="AJ107" s="16"/>
      <c r="AK107" s="18"/>
      <c r="AL107" s="18"/>
      <c r="AM107" s="18"/>
      <c r="AN107" s="18"/>
      <c r="AO107" s="18"/>
      <c r="AP107" s="18"/>
      <c r="AQ107" s="18"/>
      <c r="AR107" s="18"/>
      <c r="AS107" s="18"/>
      <c r="AT107" s="18"/>
      <c r="AU107" s="18"/>
      <c r="AV107" s="18"/>
      <c r="AW107" s="18"/>
      <c r="AX107" s="18"/>
      <c r="AY107" s="18"/>
      <c r="AZ107" s="18"/>
    </row>
    <row r="108" spans="1:52" ht="15" customHeight="1" x14ac:dyDescent="0.3">
      <c r="A108" s="248"/>
      <c r="B108" s="667" t="str">
        <f>'Financials DF'!B168</f>
        <v>Disposal of Fixed Assets</v>
      </c>
      <c r="C108" s="629">
        <f>M108*C70</f>
        <v>0</v>
      </c>
      <c r="D108" s="629">
        <f>N108*D70</f>
        <v>0</v>
      </c>
      <c r="E108" s="629">
        <f>O108*E70</f>
        <v>0</v>
      </c>
      <c r="F108" s="631">
        <f>'Financials DF'!C168</f>
        <v>35</v>
      </c>
      <c r="G108" s="629">
        <f>'Financials DF'!D168</f>
        <v>36</v>
      </c>
      <c r="H108" s="629">
        <f>'Financials DF'!E168</f>
        <v>38</v>
      </c>
      <c r="I108" s="629">
        <f>'Financials DF'!F168</f>
        <v>193</v>
      </c>
      <c r="J108" s="629">
        <f>'Financials DF'!G168</f>
        <v>44</v>
      </c>
      <c r="K108" s="680"/>
      <c r="L108" s="631" t="s">
        <v>677</v>
      </c>
      <c r="M108" s="709">
        <v>0</v>
      </c>
      <c r="N108" s="709">
        <v>0</v>
      </c>
      <c r="O108" s="709">
        <v>0</v>
      </c>
      <c r="P108" s="706">
        <f>F108/F70</f>
        <v>1.5248551387618177E-3</v>
      </c>
      <c r="Q108" s="706">
        <f>G108/G70</f>
        <v>1.6332456219943744E-3</v>
      </c>
      <c r="R108" s="684" t="s">
        <v>279</v>
      </c>
      <c r="S108" s="252"/>
      <c r="T108" s="16"/>
      <c r="U108" s="16"/>
      <c r="V108" s="16"/>
      <c r="W108" s="254"/>
      <c r="X108" s="16"/>
      <c r="Y108" s="16"/>
      <c r="Z108" s="254"/>
      <c r="AA108" s="16"/>
      <c r="AB108" s="16"/>
      <c r="AC108" s="254"/>
      <c r="AD108" s="16"/>
      <c r="AE108" s="16"/>
      <c r="AF108" s="254"/>
      <c r="AG108" s="16"/>
      <c r="AH108" s="16"/>
      <c r="AI108" s="254"/>
      <c r="AJ108" s="16"/>
      <c r="AK108" s="18"/>
      <c r="AL108" s="18"/>
      <c r="AM108" s="18"/>
      <c r="AN108" s="18"/>
      <c r="AO108" s="18"/>
      <c r="AP108" s="18"/>
      <c r="AQ108" s="18"/>
      <c r="AR108" s="18"/>
      <c r="AS108" s="18"/>
      <c r="AT108" s="18"/>
      <c r="AU108" s="18"/>
      <c r="AV108" s="18"/>
      <c r="AW108" s="18"/>
      <c r="AX108" s="18"/>
      <c r="AY108" s="18"/>
      <c r="AZ108" s="18"/>
    </row>
    <row r="109" spans="1:52" ht="15" customHeight="1" x14ac:dyDescent="0.3">
      <c r="A109" s="248"/>
      <c r="B109" s="666" t="str">
        <f>'Financials DF'!B169</f>
        <v>Cash Flow : Grassroots Expansion of Capital Assets</v>
      </c>
      <c r="C109" s="303">
        <f>-M109*C6</f>
        <v>-1361.5105977499998</v>
      </c>
      <c r="D109" s="303">
        <f>-N109*D6</f>
        <v>-1286.5511649999999</v>
      </c>
      <c r="E109" s="303">
        <f>-O109*E6</f>
        <v>-1331.7320500000001</v>
      </c>
      <c r="F109" s="650">
        <f>'Financials DF'!C169</f>
        <v>-1382</v>
      </c>
      <c r="G109" s="303">
        <f>'Financials DF'!D169</f>
        <v>-1132</v>
      </c>
      <c r="H109" s="303">
        <f>'Financials DF'!E169</f>
        <v>-961</v>
      </c>
      <c r="I109" s="303">
        <f>'Financials DF'!F169</f>
        <v>-1378</v>
      </c>
      <c r="J109" s="303">
        <f>'Financials DF'!G169</f>
        <v>-1512</v>
      </c>
      <c r="K109" s="680"/>
      <c r="L109" s="650" t="s">
        <v>678</v>
      </c>
      <c r="M109" s="396">
        <v>0.05</v>
      </c>
      <c r="N109" s="396">
        <v>0.05</v>
      </c>
      <c r="O109" s="396">
        <v>5.5E-2</v>
      </c>
      <c r="P109" s="407">
        <f>-F109/F6</f>
        <v>6.3875023109632098E-2</v>
      </c>
      <c r="Q109" s="407">
        <f>-G109/G6</f>
        <v>5.3396226415094339E-2</v>
      </c>
      <c r="R109" s="685" t="s">
        <v>276</v>
      </c>
      <c r="S109" s="252"/>
      <c r="T109" s="16"/>
      <c r="U109" s="16"/>
      <c r="V109" s="16"/>
      <c r="W109" s="254"/>
      <c r="X109" s="16"/>
      <c r="Y109" s="16"/>
      <c r="Z109" s="254"/>
      <c r="AA109" s="16"/>
      <c r="AB109" s="16"/>
      <c r="AC109" s="254"/>
      <c r="AD109" s="16"/>
      <c r="AE109" s="16"/>
      <c r="AF109" s="254"/>
      <c r="AG109" s="16"/>
      <c r="AH109" s="16"/>
      <c r="AI109" s="254"/>
      <c r="AJ109" s="16"/>
      <c r="AK109" s="18"/>
      <c r="AL109" s="18"/>
      <c r="AM109" s="18"/>
      <c r="AN109" s="18"/>
      <c r="AO109" s="18"/>
      <c r="AP109" s="18"/>
      <c r="AQ109" s="18"/>
      <c r="AR109" s="18"/>
      <c r="AS109" s="18"/>
      <c r="AT109" s="18"/>
      <c r="AU109" s="18"/>
      <c r="AV109" s="18"/>
      <c r="AW109" s="18"/>
      <c r="AX109" s="18"/>
      <c r="AY109" s="18"/>
      <c r="AZ109" s="18"/>
    </row>
    <row r="110" spans="1:52" ht="15" customHeight="1" x14ac:dyDescent="0.3">
      <c r="A110" s="248"/>
      <c r="B110" s="666" t="str">
        <f>'Financials DF'!B170</f>
        <v>Increase in Investments</v>
      </c>
      <c r="C110" s="406">
        <v>0</v>
      </c>
      <c r="D110" s="406">
        <v>0</v>
      </c>
      <c r="E110" s="406">
        <v>0</v>
      </c>
      <c r="F110" s="650" t="str">
        <f>'Financials DF'!C170</f>
        <v>NA</v>
      </c>
      <c r="G110" s="303" t="str">
        <f>'Financials DF'!D170</f>
        <v>NA</v>
      </c>
      <c r="H110" s="303" t="str">
        <f>'Financials DF'!E170</f>
        <v>NA</v>
      </c>
      <c r="I110" s="303" t="str">
        <f>'Financials DF'!F170</f>
        <v>NA</v>
      </c>
      <c r="J110" s="303" t="str">
        <f>'Financials DF'!G170</f>
        <v>NA</v>
      </c>
      <c r="K110" s="680"/>
      <c r="L110" s="650"/>
      <c r="M110" s="407">
        <f>C110/C73</f>
        <v>0</v>
      </c>
      <c r="N110" s="407">
        <f>D110/D73</f>
        <v>0</v>
      </c>
      <c r="O110" s="407">
        <f>E110/E73</f>
        <v>0</v>
      </c>
      <c r="P110" s="407" t="e">
        <f>F110/F73</f>
        <v>#VALUE!</v>
      </c>
      <c r="Q110" s="407" t="e">
        <f>G110/G73</f>
        <v>#VALUE!</v>
      </c>
      <c r="R110" s="685" t="s">
        <v>284</v>
      </c>
      <c r="S110" s="252"/>
      <c r="T110" s="16"/>
      <c r="U110" s="16"/>
      <c r="V110" s="16"/>
      <c r="W110" s="254"/>
      <c r="X110" s="16"/>
      <c r="Y110" s="16"/>
      <c r="Z110" s="254"/>
      <c r="AA110" s="16"/>
      <c r="AB110" s="16"/>
      <c r="AC110" s="254"/>
      <c r="AD110" s="16"/>
      <c r="AE110" s="16"/>
      <c r="AF110" s="254"/>
      <c r="AG110" s="16"/>
      <c r="AH110" s="16"/>
      <c r="AI110" s="254"/>
      <c r="AJ110" s="16"/>
      <c r="AK110" s="18"/>
      <c r="AL110" s="18"/>
      <c r="AM110" s="18"/>
      <c r="AN110" s="18"/>
      <c r="AO110" s="18"/>
      <c r="AP110" s="18"/>
      <c r="AQ110" s="18"/>
      <c r="AR110" s="18"/>
      <c r="AS110" s="18"/>
      <c r="AT110" s="18"/>
      <c r="AU110" s="18"/>
      <c r="AV110" s="18"/>
      <c r="AW110" s="18"/>
      <c r="AX110" s="18"/>
      <c r="AY110" s="18"/>
      <c r="AZ110" s="18"/>
    </row>
    <row r="111" spans="1:52" ht="15" customHeight="1" x14ac:dyDescent="0.3">
      <c r="A111" s="248"/>
      <c r="B111" s="666" t="str">
        <f>'Financials DF'!B171</f>
        <v>Decrease in Investments</v>
      </c>
      <c r="C111" s="406">
        <v>0</v>
      </c>
      <c r="D111" s="406">
        <v>0</v>
      </c>
      <c r="E111" s="406">
        <v>0</v>
      </c>
      <c r="F111" s="650" t="str">
        <f>'Financials DF'!C171</f>
        <v>NA</v>
      </c>
      <c r="G111" s="303" t="str">
        <f>'Financials DF'!D171</f>
        <v>NA</v>
      </c>
      <c r="H111" s="303" t="str">
        <f>'Financials DF'!E171</f>
        <v>NA</v>
      </c>
      <c r="I111" s="303" t="str">
        <f>'Financials DF'!F171</f>
        <v>NA</v>
      </c>
      <c r="J111" s="303" t="str">
        <f>'Financials DF'!G171</f>
        <v>NA</v>
      </c>
      <c r="K111" s="680"/>
      <c r="L111" s="650"/>
      <c r="M111" s="407">
        <f>C111/C73</f>
        <v>0</v>
      </c>
      <c r="N111" s="407">
        <f>D111/D73</f>
        <v>0</v>
      </c>
      <c r="O111" s="407">
        <f>E111/E73</f>
        <v>0</v>
      </c>
      <c r="P111" s="407" t="e">
        <f>F111/F73</f>
        <v>#VALUE!</v>
      </c>
      <c r="Q111" s="407" t="e">
        <f>G111/G73</f>
        <v>#VALUE!</v>
      </c>
      <c r="R111" s="685" t="s">
        <v>284</v>
      </c>
      <c r="S111" s="252"/>
      <c r="T111" s="16"/>
      <c r="U111" s="16"/>
      <c r="V111" s="16"/>
      <c r="W111" s="254"/>
      <c r="X111" s="16"/>
      <c r="Y111" s="16"/>
      <c r="Z111" s="254"/>
      <c r="AA111" s="16"/>
      <c r="AB111" s="16"/>
      <c r="AC111" s="254"/>
      <c r="AD111" s="16"/>
      <c r="AE111" s="16"/>
      <c r="AF111" s="254"/>
      <c r="AG111" s="16"/>
      <c r="AH111" s="16"/>
      <c r="AI111" s="254"/>
      <c r="AJ111" s="16"/>
      <c r="AK111" s="18"/>
      <c r="AL111" s="18"/>
      <c r="AM111" s="18"/>
      <c r="AN111" s="18"/>
      <c r="AO111" s="18"/>
      <c r="AP111" s="18"/>
      <c r="AQ111" s="18"/>
      <c r="AR111" s="18"/>
      <c r="AS111" s="18"/>
      <c r="AT111" s="18"/>
      <c r="AU111" s="18"/>
      <c r="AV111" s="18"/>
      <c r="AW111" s="18"/>
      <c r="AX111" s="18"/>
      <c r="AY111" s="18"/>
      <c r="AZ111" s="18"/>
    </row>
    <row r="112" spans="1:52" ht="15" customHeight="1" x14ac:dyDescent="0.3">
      <c r="A112" s="248"/>
      <c r="B112" s="666" t="str">
        <f>'Financials DF'!B172</f>
        <v>Other Investing Activities</v>
      </c>
      <c r="C112" s="303">
        <f>D74*M112</f>
        <v>0</v>
      </c>
      <c r="D112" s="303">
        <f>E74*N112</f>
        <v>0</v>
      </c>
      <c r="E112" s="303">
        <f>F74*O112</f>
        <v>0</v>
      </c>
      <c r="F112" s="650">
        <f>'Financials DF'!C172</f>
        <v>-35</v>
      </c>
      <c r="G112" s="303">
        <f>'Financials DF'!D172</f>
        <v>-138</v>
      </c>
      <c r="H112" s="303">
        <f>'Financials DF'!E172</f>
        <v>736</v>
      </c>
      <c r="I112" s="303">
        <f>'Financials DF'!F172</f>
        <v>-120</v>
      </c>
      <c r="J112" s="303">
        <f>'Financials DF'!G172</f>
        <v>-2055</v>
      </c>
      <c r="K112" s="680"/>
      <c r="L112" s="650" t="s">
        <v>679</v>
      </c>
      <c r="M112" s="396">
        <v>0</v>
      </c>
      <c r="N112" s="396">
        <v>0</v>
      </c>
      <c r="O112" s="396">
        <v>0</v>
      </c>
      <c r="P112" s="407">
        <f>F112/G74</f>
        <v>-0.15981735159817351</v>
      </c>
      <c r="Q112" s="407">
        <f>G112/H74</f>
        <v>-0.87341772151898733</v>
      </c>
      <c r="R112" s="717" t="s">
        <v>284</v>
      </c>
      <c r="S112" s="252"/>
      <c r="T112" s="16"/>
      <c r="U112" s="16"/>
      <c r="V112" s="16"/>
      <c r="W112" s="254"/>
      <c r="X112" s="16"/>
      <c r="Y112" s="16"/>
      <c r="Z112" s="254"/>
      <c r="AA112" s="16"/>
      <c r="AB112" s="16"/>
      <c r="AC112" s="254"/>
      <c r="AD112" s="16"/>
      <c r="AE112" s="16"/>
      <c r="AF112" s="254"/>
      <c r="AG112" s="16"/>
      <c r="AH112" s="16"/>
      <c r="AI112" s="254"/>
      <c r="AJ112" s="16"/>
      <c r="AK112" s="18"/>
      <c r="AL112" s="18"/>
      <c r="AM112" s="18"/>
      <c r="AN112" s="18"/>
      <c r="AO112" s="18"/>
      <c r="AP112" s="18"/>
      <c r="AQ112" s="18"/>
      <c r="AR112" s="18"/>
      <c r="AS112" s="18"/>
      <c r="AT112" s="18"/>
      <c r="AU112" s="18"/>
      <c r="AV112" s="18"/>
      <c r="AW112" s="18"/>
      <c r="AX112" s="18"/>
      <c r="AY112" s="18"/>
      <c r="AZ112" s="18"/>
    </row>
    <row r="113" spans="1:52" ht="15" customHeight="1" x14ac:dyDescent="0.3">
      <c r="A113" s="248"/>
      <c r="B113" s="713" t="s">
        <v>674</v>
      </c>
      <c r="C113" s="628">
        <f t="shared" ref="C113:J113" si="34">SUM(C108:C112)</f>
        <v>-1361.5105977499998</v>
      </c>
      <c r="D113" s="628">
        <f t="shared" si="34"/>
        <v>-1286.5511649999999</v>
      </c>
      <c r="E113" s="628">
        <f t="shared" si="34"/>
        <v>-1331.7320500000001</v>
      </c>
      <c r="F113" s="630">
        <f>SUM(F108:F112)</f>
        <v>-1382</v>
      </c>
      <c r="G113" s="628">
        <f t="shared" si="34"/>
        <v>-1234</v>
      </c>
      <c r="H113" s="628">
        <f t="shared" si="34"/>
        <v>-187</v>
      </c>
      <c r="I113" s="628">
        <f t="shared" si="34"/>
        <v>-1305</v>
      </c>
      <c r="J113" s="628">
        <f t="shared" si="34"/>
        <v>-3523</v>
      </c>
      <c r="K113" s="680"/>
      <c r="L113" s="650"/>
      <c r="M113" s="376"/>
      <c r="N113" s="376"/>
      <c r="O113" s="376"/>
      <c r="P113" s="376"/>
      <c r="Q113" s="376"/>
      <c r="R113" s="685"/>
      <c r="S113" s="252"/>
      <c r="T113" s="16"/>
      <c r="U113" s="16"/>
      <c r="V113" s="16"/>
      <c r="W113" s="254"/>
      <c r="X113" s="16"/>
      <c r="Y113" s="16"/>
      <c r="Z113" s="254"/>
      <c r="AA113" s="16"/>
      <c r="AB113" s="16"/>
      <c r="AC113" s="254"/>
      <c r="AD113" s="16"/>
      <c r="AE113" s="16"/>
      <c r="AF113" s="254"/>
      <c r="AG113" s="16"/>
      <c r="AH113" s="16"/>
      <c r="AI113" s="254"/>
      <c r="AJ113" s="16"/>
      <c r="AK113" s="18"/>
      <c r="AL113" s="18"/>
      <c r="AM113" s="18"/>
      <c r="AN113" s="18"/>
      <c r="AO113" s="18"/>
      <c r="AP113" s="18"/>
      <c r="AQ113" s="18"/>
      <c r="AR113" s="18"/>
      <c r="AS113" s="18"/>
      <c r="AT113" s="18"/>
      <c r="AU113" s="18"/>
      <c r="AV113" s="18"/>
      <c r="AW113" s="18"/>
      <c r="AX113" s="18"/>
      <c r="AY113" s="18"/>
      <c r="AZ113" s="18"/>
    </row>
    <row r="114" spans="1:52" ht="15" customHeight="1" x14ac:dyDescent="0.3">
      <c r="A114" s="248"/>
      <c r="B114" s="667" t="str">
        <f>'Financials DF'!B174</f>
        <v>Dividends Paid</v>
      </c>
      <c r="C114" s="629">
        <f>-C40</f>
        <v>-1046.6991923045969</v>
      </c>
      <c r="D114" s="629">
        <f>-D40</f>
        <v>-978.9086877959985</v>
      </c>
      <c r="E114" s="629">
        <f>-E40</f>
        <v>-759.95791976500016</v>
      </c>
      <c r="F114" s="631" t="str">
        <f>'Financials DF'!C174</f>
        <v>NA</v>
      </c>
      <c r="G114" s="629">
        <f>'Financials DF'!D174</f>
        <v>-58</v>
      </c>
      <c r="H114" s="629">
        <f>'Financials DF'!E174</f>
        <v>-925</v>
      </c>
      <c r="I114" s="629">
        <f>'Financials DF'!F174</f>
        <v>-2071</v>
      </c>
      <c r="J114" s="629">
        <f>'Financials DF'!G174</f>
        <v>-1466</v>
      </c>
      <c r="K114" s="680"/>
      <c r="L114" s="650"/>
      <c r="M114" s="376"/>
      <c r="N114" s="376"/>
      <c r="O114" s="376"/>
      <c r="P114" s="376"/>
      <c r="Q114" s="376"/>
      <c r="R114" s="685" t="s">
        <v>285</v>
      </c>
      <c r="S114" s="252"/>
      <c r="T114" s="16"/>
      <c r="U114" s="16"/>
      <c r="V114" s="16"/>
      <c r="W114" s="254"/>
      <c r="X114" s="16"/>
      <c r="Y114" s="16"/>
      <c r="Z114" s="254"/>
      <c r="AA114" s="16"/>
      <c r="AB114" s="16"/>
      <c r="AC114" s="254"/>
      <c r="AD114" s="16"/>
      <c r="AE114" s="16"/>
      <c r="AF114" s="254"/>
      <c r="AG114" s="16"/>
      <c r="AH114" s="16"/>
      <c r="AI114" s="254"/>
      <c r="AJ114" s="16"/>
      <c r="AK114" s="18"/>
      <c r="AL114" s="18"/>
      <c r="AM114" s="18"/>
      <c r="AN114" s="18"/>
      <c r="AO114" s="18"/>
      <c r="AP114" s="18"/>
      <c r="AQ114" s="18"/>
      <c r="AR114" s="18"/>
      <c r="AS114" s="18"/>
      <c r="AT114" s="18"/>
      <c r="AU114" s="18"/>
      <c r="AV114" s="18"/>
      <c r="AW114" s="18"/>
      <c r="AX114" s="18"/>
      <c r="AY114" s="18"/>
      <c r="AZ114" s="18"/>
    </row>
    <row r="115" spans="1:52" ht="15" customHeight="1" x14ac:dyDescent="0.3">
      <c r="A115" s="248"/>
      <c r="B115" s="666" t="str">
        <f>'Financials DF'!B175</f>
        <v>Change in Short-Term Borrowings</v>
      </c>
      <c r="C115" s="303">
        <f>C60-D60</f>
        <v>59.967546200000015</v>
      </c>
      <c r="D115" s="303">
        <f>D60-E60</f>
        <v>-181.42456800000036</v>
      </c>
      <c r="E115" s="303">
        <f>E60-F60</f>
        <v>105.66550000000007</v>
      </c>
      <c r="F115" s="650" t="str">
        <f>'Financials DF'!C175</f>
        <v>NA</v>
      </c>
      <c r="G115" s="303" t="str">
        <f>'Financials DF'!D175</f>
        <v>NA</v>
      </c>
      <c r="H115" s="303">
        <f>'Financials DF'!E175</f>
        <v>-2575</v>
      </c>
      <c r="I115" s="303">
        <f>'Financials DF'!F175</f>
        <v>-2050</v>
      </c>
      <c r="J115" s="303">
        <f>'Financials DF'!G175</f>
        <v>-1228</v>
      </c>
      <c r="K115" s="680"/>
      <c r="L115" s="650"/>
      <c r="M115" s="376"/>
      <c r="N115" s="376"/>
      <c r="O115" s="376"/>
      <c r="P115" s="376"/>
      <c r="Q115" s="376"/>
      <c r="R115" s="685" t="s">
        <v>285</v>
      </c>
      <c r="S115" s="252"/>
      <c r="T115" s="16"/>
      <c r="U115" s="16"/>
      <c r="V115" s="16"/>
      <c r="W115" s="254"/>
      <c r="X115" s="16"/>
      <c r="Y115" s="16"/>
      <c r="Z115" s="254"/>
      <c r="AA115" s="16"/>
      <c r="AB115" s="16"/>
      <c r="AC115" s="254"/>
      <c r="AD115" s="16"/>
      <c r="AE115" s="16"/>
      <c r="AF115" s="254"/>
      <c r="AG115" s="16"/>
      <c r="AH115" s="16"/>
      <c r="AI115" s="254"/>
      <c r="AJ115" s="16"/>
      <c r="AK115" s="18"/>
      <c r="AL115" s="18"/>
      <c r="AM115" s="18"/>
      <c r="AN115" s="18"/>
      <c r="AO115" s="18"/>
      <c r="AP115" s="18"/>
      <c r="AQ115" s="18"/>
      <c r="AR115" s="18"/>
      <c r="AS115" s="18"/>
      <c r="AT115" s="18"/>
      <c r="AU115" s="18"/>
      <c r="AV115" s="18"/>
      <c r="AW115" s="18"/>
      <c r="AX115" s="18"/>
      <c r="AY115" s="18"/>
      <c r="AZ115" s="18"/>
    </row>
    <row r="116" spans="1:52" ht="15" customHeight="1" x14ac:dyDescent="0.3">
      <c r="A116" s="248"/>
      <c r="B116" s="666" t="str">
        <f>'Financials DF'!B176</f>
        <v>Increase in Long-Term Borrowings</v>
      </c>
      <c r="C116" s="303">
        <f>C54-D54</f>
        <v>0</v>
      </c>
      <c r="D116" s="303">
        <f>D54-E54</f>
        <v>0</v>
      </c>
      <c r="E116" s="303">
        <f>E54-F54</f>
        <v>0</v>
      </c>
      <c r="F116" s="650">
        <f>'Financials DF'!C176</f>
        <v>1903</v>
      </c>
      <c r="G116" s="303">
        <f>'Financials DF'!D176</f>
        <v>1000</v>
      </c>
      <c r="H116" s="303">
        <f>'Financials DF'!E176</f>
        <v>3621</v>
      </c>
      <c r="I116" s="303">
        <f>'Financials DF'!F176</f>
        <v>2748</v>
      </c>
      <c r="J116" s="303">
        <f>'Financials DF'!G176</f>
        <v>2293</v>
      </c>
      <c r="K116" s="680"/>
      <c r="L116" s="650"/>
      <c r="M116" s="376"/>
      <c r="N116" s="376"/>
      <c r="O116" s="376"/>
      <c r="P116" s="376"/>
      <c r="Q116" s="376"/>
      <c r="R116" s="685" t="s">
        <v>285</v>
      </c>
      <c r="S116" s="252"/>
      <c r="T116" s="16"/>
      <c r="U116" s="16"/>
      <c r="V116" s="16"/>
      <c r="W116" s="254"/>
      <c r="X116" s="16"/>
      <c r="Y116" s="16"/>
      <c r="Z116" s="254"/>
      <c r="AA116" s="16"/>
      <c r="AB116" s="16"/>
      <c r="AC116" s="254"/>
      <c r="AD116" s="16"/>
      <c r="AE116" s="16"/>
      <c r="AF116" s="254"/>
      <c r="AG116" s="16"/>
      <c r="AH116" s="16"/>
      <c r="AI116" s="254"/>
      <c r="AJ116" s="16"/>
      <c r="AK116" s="18"/>
      <c r="AL116" s="18"/>
      <c r="AM116" s="18"/>
      <c r="AN116" s="18"/>
      <c r="AO116" s="18"/>
      <c r="AP116" s="18"/>
      <c r="AQ116" s="18"/>
      <c r="AR116" s="18"/>
      <c r="AS116" s="18"/>
      <c r="AT116" s="18"/>
      <c r="AU116" s="18"/>
      <c r="AV116" s="18"/>
      <c r="AW116" s="18"/>
      <c r="AX116" s="18"/>
      <c r="AY116" s="18"/>
      <c r="AZ116" s="18"/>
    </row>
    <row r="117" spans="1:52" ht="15" customHeight="1" x14ac:dyDescent="0.3">
      <c r="A117" s="248"/>
      <c r="B117" s="666" t="str">
        <f>'Financials DF'!B177</f>
        <v>Decrease in Long-term Borrowings</v>
      </c>
      <c r="C117" s="303">
        <v>-1</v>
      </c>
      <c r="D117" s="303">
        <v>0</v>
      </c>
      <c r="E117" s="303">
        <v>0</v>
      </c>
      <c r="F117" s="650">
        <f>'Financials DF'!C177</f>
        <v>-2502</v>
      </c>
      <c r="G117" s="303">
        <f>'Financials DF'!D177</f>
        <v>-2278</v>
      </c>
      <c r="H117" s="303">
        <f>'Financials DF'!E177</f>
        <v>-142</v>
      </c>
      <c r="I117" s="303" t="str">
        <f>'Financials DF'!F177</f>
        <v>NA</v>
      </c>
      <c r="J117" s="303" t="str">
        <f>'Financials DF'!G177</f>
        <v>NA</v>
      </c>
      <c r="K117" s="680"/>
      <c r="L117" s="650"/>
      <c r="M117" s="376"/>
      <c r="N117" s="376"/>
      <c r="O117" s="376"/>
      <c r="P117" s="376"/>
      <c r="Q117" s="376"/>
      <c r="R117" s="685" t="s">
        <v>286</v>
      </c>
      <c r="S117" s="252"/>
      <c r="T117" s="16"/>
      <c r="U117" s="16"/>
      <c r="V117" s="16"/>
      <c r="W117" s="254"/>
      <c r="X117" s="16"/>
      <c r="Y117" s="16"/>
      <c r="Z117" s="254"/>
      <c r="AA117" s="16"/>
      <c r="AB117" s="16"/>
      <c r="AC117" s="254"/>
      <c r="AD117" s="16"/>
      <c r="AE117" s="16"/>
      <c r="AF117" s="254"/>
      <c r="AG117" s="16"/>
      <c r="AH117" s="16"/>
      <c r="AI117" s="254"/>
      <c r="AJ117" s="16"/>
      <c r="AK117" s="18"/>
      <c r="AL117" s="18"/>
      <c r="AM117" s="18"/>
      <c r="AN117" s="18"/>
      <c r="AO117" s="18"/>
      <c r="AP117" s="18"/>
      <c r="AQ117" s="18"/>
      <c r="AR117" s="18"/>
      <c r="AS117" s="18"/>
      <c r="AT117" s="18"/>
      <c r="AU117" s="18"/>
      <c r="AV117" s="18"/>
      <c r="AW117" s="18"/>
      <c r="AX117" s="18"/>
      <c r="AY117" s="18"/>
      <c r="AZ117" s="18"/>
    </row>
    <row r="118" spans="1:52" ht="15" customHeight="1" x14ac:dyDescent="0.3">
      <c r="A118" s="248"/>
      <c r="B118" s="666" t="str">
        <f>'Financials DF'!B178</f>
        <v>Increase in Capital Stocks</v>
      </c>
      <c r="C118" s="303">
        <f>C49+C51-D49-D51</f>
        <v>-650</v>
      </c>
      <c r="D118" s="303">
        <f>D49+D51-E49-E51</f>
        <v>-600</v>
      </c>
      <c r="E118" s="303">
        <f>E49+E51-F49-F51</f>
        <v>-500</v>
      </c>
      <c r="F118" s="650">
        <f>'Financials DF'!C178</f>
        <v>29</v>
      </c>
      <c r="G118" s="303">
        <f>'Financials DF'!D178</f>
        <v>1</v>
      </c>
      <c r="H118" s="303">
        <f>'Financials DF'!E178</f>
        <v>2</v>
      </c>
      <c r="I118" s="303">
        <f>'Financials DF'!F178</f>
        <v>22</v>
      </c>
      <c r="J118" s="303">
        <f>'Financials DF'!G178</f>
        <v>51</v>
      </c>
      <c r="K118" s="680"/>
      <c r="L118" s="650"/>
      <c r="M118" s="376"/>
      <c r="N118" s="376"/>
      <c r="O118" s="376"/>
      <c r="P118" s="376"/>
      <c r="Q118" s="376"/>
      <c r="R118" s="685" t="s">
        <v>287</v>
      </c>
      <c r="S118" s="252"/>
      <c r="T118" s="16"/>
      <c r="U118" s="16"/>
      <c r="V118" s="16"/>
      <c r="W118" s="254"/>
      <c r="X118" s="16"/>
      <c r="Y118" s="16"/>
      <c r="Z118" s="254"/>
      <c r="AA118" s="16"/>
      <c r="AB118" s="16"/>
      <c r="AC118" s="254"/>
      <c r="AD118" s="16"/>
      <c r="AE118" s="16"/>
      <c r="AF118" s="254"/>
      <c r="AG118" s="16"/>
      <c r="AH118" s="16"/>
      <c r="AI118" s="254"/>
      <c r="AJ118" s="16"/>
      <c r="AK118" s="18"/>
      <c r="AL118" s="18"/>
      <c r="AM118" s="18"/>
      <c r="AN118" s="18"/>
      <c r="AO118" s="18"/>
      <c r="AP118" s="18"/>
      <c r="AQ118" s="18"/>
      <c r="AR118" s="18"/>
      <c r="AS118" s="18"/>
      <c r="AT118" s="18"/>
      <c r="AU118" s="18"/>
      <c r="AV118" s="18"/>
      <c r="AW118" s="18"/>
      <c r="AX118" s="18"/>
      <c r="AY118" s="18"/>
      <c r="AZ118" s="18"/>
    </row>
    <row r="119" spans="1:52" ht="15" customHeight="1" x14ac:dyDescent="0.3">
      <c r="A119" s="248"/>
      <c r="B119" s="666" t="str">
        <f>'Financials DF'!B179</f>
        <v>Decrease in Capital Stocks</v>
      </c>
      <c r="C119" s="303">
        <v>-1</v>
      </c>
      <c r="D119" s="303">
        <v>0</v>
      </c>
      <c r="E119" s="303">
        <v>0</v>
      </c>
      <c r="F119" s="650" t="str">
        <f>'Financials DF'!C179</f>
        <v>NA</v>
      </c>
      <c r="G119" s="303" t="str">
        <f>'Financials DF'!D179</f>
        <v>NA</v>
      </c>
      <c r="H119" s="303">
        <f>'Financials DF'!E179</f>
        <v>-251</v>
      </c>
      <c r="I119" s="303">
        <f>'Financials DF'!F179</f>
        <v>-458</v>
      </c>
      <c r="J119" s="303" t="str">
        <f>'Financials DF'!G179</f>
        <v>NA</v>
      </c>
      <c r="K119" s="680"/>
      <c r="L119" s="650"/>
      <c r="M119" s="376"/>
      <c r="N119" s="376"/>
      <c r="O119" s="376"/>
      <c r="P119" s="376"/>
      <c r="Q119" s="376"/>
      <c r="R119" s="685" t="s">
        <v>288</v>
      </c>
      <c r="S119" s="252"/>
      <c r="T119" s="16"/>
      <c r="U119" s="16"/>
      <c r="V119" s="16"/>
      <c r="W119" s="254"/>
      <c r="X119" s="16"/>
      <c r="Y119" s="16"/>
      <c r="Z119" s="254"/>
      <c r="AA119" s="16"/>
      <c r="AB119" s="16"/>
      <c r="AC119" s="254"/>
      <c r="AD119" s="16"/>
      <c r="AE119" s="16"/>
      <c r="AF119" s="254"/>
      <c r="AG119" s="16"/>
      <c r="AH119" s="16"/>
      <c r="AI119" s="254"/>
      <c r="AJ119" s="16"/>
      <c r="AK119" s="18"/>
      <c r="AL119" s="18"/>
      <c r="AM119" s="18"/>
      <c r="AN119" s="18"/>
      <c r="AO119" s="18"/>
      <c r="AP119" s="18"/>
      <c r="AQ119" s="18"/>
      <c r="AR119" s="18"/>
      <c r="AS119" s="18"/>
      <c r="AT119" s="18"/>
      <c r="AU119" s="18"/>
      <c r="AV119" s="18"/>
      <c r="AW119" s="18"/>
      <c r="AX119" s="18"/>
      <c r="AY119" s="18"/>
      <c r="AZ119" s="18"/>
    </row>
    <row r="120" spans="1:52" ht="15" customHeight="1" x14ac:dyDescent="0.3">
      <c r="A120" s="248"/>
      <c r="B120" s="666" t="str">
        <f>'Financials DF'!B180</f>
        <v>Other Financing Activities</v>
      </c>
      <c r="C120" s="303">
        <f>C62-D62</f>
        <v>187.39858187499976</v>
      </c>
      <c r="D120" s="303">
        <f>D62-E62</f>
        <v>189.71416249999902</v>
      </c>
      <c r="E120" s="303">
        <f>E62-F62</f>
        <v>756.66375000000016</v>
      </c>
      <c r="F120" s="650">
        <f>'Financials DF'!C180</f>
        <v>-27</v>
      </c>
      <c r="G120" s="303">
        <f>'Financials DF'!D180</f>
        <v>8</v>
      </c>
      <c r="H120" s="303">
        <f>'Financials DF'!E180</f>
        <v>-13</v>
      </c>
      <c r="I120" s="303">
        <f>'Financials DF'!F180</f>
        <v>-23</v>
      </c>
      <c r="J120" s="303">
        <f>'Financials DF'!G180</f>
        <v>-96</v>
      </c>
      <c r="K120" s="680"/>
      <c r="L120" s="650"/>
      <c r="M120" s="376"/>
      <c r="N120" s="376"/>
      <c r="O120" s="376"/>
      <c r="P120" s="376"/>
      <c r="Q120" s="376"/>
      <c r="R120" s="685" t="s">
        <v>289</v>
      </c>
      <c r="S120" s="252"/>
      <c r="T120" s="16"/>
      <c r="U120" s="16"/>
      <c r="V120" s="16"/>
      <c r="W120" s="254"/>
      <c r="X120" s="16"/>
      <c r="Y120" s="16"/>
      <c r="Z120" s="254"/>
      <c r="AA120" s="16"/>
      <c r="AB120" s="16"/>
      <c r="AC120" s="254"/>
      <c r="AD120" s="16"/>
      <c r="AE120" s="16"/>
      <c r="AF120" s="254"/>
      <c r="AG120" s="16"/>
      <c r="AH120" s="16"/>
      <c r="AI120" s="254"/>
      <c r="AJ120" s="16"/>
      <c r="AK120" s="18"/>
      <c r="AL120" s="18"/>
      <c r="AM120" s="18"/>
      <c r="AN120" s="18"/>
      <c r="AO120" s="18"/>
      <c r="AP120" s="18"/>
      <c r="AQ120" s="18"/>
      <c r="AR120" s="18"/>
      <c r="AS120" s="18"/>
      <c r="AT120" s="18"/>
      <c r="AU120" s="18"/>
      <c r="AV120" s="18"/>
      <c r="AW120" s="18"/>
      <c r="AX120" s="18"/>
      <c r="AY120" s="18"/>
      <c r="AZ120" s="18"/>
    </row>
    <row r="121" spans="1:52" ht="15" customHeight="1" x14ac:dyDescent="0.3">
      <c r="A121" s="248"/>
      <c r="B121" s="713" t="str">
        <f>'Financials DF'!B181</f>
        <v>Cash from Financing Activities</v>
      </c>
      <c r="C121" s="628">
        <f t="shared" ref="C121:J121" si="35">SUM(C114:C120)</f>
        <v>-1451.3330642295971</v>
      </c>
      <c r="D121" s="628">
        <f t="shared" si="35"/>
        <v>-1570.6190932959998</v>
      </c>
      <c r="E121" s="628">
        <f t="shared" si="35"/>
        <v>-397.62866976499981</v>
      </c>
      <c r="F121" s="630">
        <f>SUM(F114:F120)</f>
        <v>-597</v>
      </c>
      <c r="G121" s="628">
        <f t="shared" si="35"/>
        <v>-1327</v>
      </c>
      <c r="H121" s="628">
        <f t="shared" si="35"/>
        <v>-283</v>
      </c>
      <c r="I121" s="628">
        <f t="shared" si="35"/>
        <v>-1832</v>
      </c>
      <c r="J121" s="628">
        <f t="shared" si="35"/>
        <v>-446</v>
      </c>
      <c r="K121" s="680"/>
      <c r="L121" s="650"/>
      <c r="M121" s="376"/>
      <c r="N121" s="376"/>
      <c r="O121" s="376"/>
      <c r="P121" s="376"/>
      <c r="Q121" s="376"/>
      <c r="R121" s="685"/>
      <c r="S121" s="252"/>
      <c r="T121" s="16"/>
      <c r="U121" s="16"/>
      <c r="V121" s="16"/>
      <c r="W121" s="254"/>
      <c r="X121" s="16"/>
      <c r="Y121" s="16"/>
      <c r="Z121" s="254"/>
      <c r="AA121" s="16"/>
      <c r="AB121" s="16"/>
      <c r="AC121" s="254"/>
      <c r="AD121" s="16"/>
      <c r="AE121" s="16"/>
      <c r="AF121" s="254"/>
      <c r="AG121" s="16"/>
      <c r="AH121" s="16"/>
      <c r="AI121" s="254"/>
      <c r="AJ121" s="16"/>
      <c r="AK121" s="18"/>
      <c r="AL121" s="18"/>
      <c r="AM121" s="18"/>
      <c r="AN121" s="18"/>
      <c r="AO121" s="18"/>
      <c r="AP121" s="18"/>
      <c r="AQ121" s="18"/>
      <c r="AR121" s="18"/>
      <c r="AS121" s="18"/>
      <c r="AT121" s="18"/>
      <c r="AU121" s="18"/>
      <c r="AV121" s="18"/>
      <c r="AW121" s="18"/>
      <c r="AX121" s="18"/>
      <c r="AY121" s="18"/>
      <c r="AZ121" s="18"/>
    </row>
    <row r="122" spans="1:52" ht="15" customHeight="1" x14ac:dyDescent="0.3">
      <c r="A122" s="248"/>
      <c r="B122" s="713" t="s">
        <v>675</v>
      </c>
      <c r="C122" s="628">
        <f>C107+C113+C121</f>
        <v>668.03243059299689</v>
      </c>
      <c r="D122" s="628">
        <f t="shared" ref="D122:I122" si="36">D107+D113+D121</f>
        <v>418.74812297999733</v>
      </c>
      <c r="E122" s="628">
        <f t="shared" si="36"/>
        <v>1639.3461192149998</v>
      </c>
      <c r="F122" s="630">
        <f>F107+F113+F121</f>
        <v>39</v>
      </c>
      <c r="G122" s="628">
        <f>G107+G113+G121</f>
        <v>11</v>
      </c>
      <c r="H122" s="628">
        <f t="shared" si="36"/>
        <v>-281</v>
      </c>
      <c r="I122" s="628">
        <f t="shared" si="36"/>
        <v>362</v>
      </c>
      <c r="J122" s="628">
        <f>J107+J113+J121</f>
        <v>-1189</v>
      </c>
      <c r="K122" s="680"/>
      <c r="L122" s="650"/>
      <c r="M122" s="376"/>
      <c r="N122" s="376"/>
      <c r="O122" s="376"/>
      <c r="P122" s="376"/>
      <c r="Q122" s="376"/>
      <c r="R122" s="685"/>
      <c r="S122" s="252"/>
      <c r="T122" s="16"/>
      <c r="U122" s="16"/>
      <c r="V122" s="16"/>
      <c r="W122" s="254"/>
      <c r="X122" s="16"/>
      <c r="Y122" s="16"/>
      <c r="Z122" s="254"/>
      <c r="AA122" s="16"/>
      <c r="AB122" s="16"/>
      <c r="AC122" s="254"/>
      <c r="AD122" s="16"/>
      <c r="AE122" s="16"/>
      <c r="AF122" s="254"/>
      <c r="AG122" s="16"/>
      <c r="AH122" s="16"/>
      <c r="AI122" s="254"/>
      <c r="AJ122" s="16"/>
      <c r="AK122" s="18"/>
      <c r="AL122" s="18"/>
      <c r="AM122" s="18"/>
      <c r="AN122" s="18"/>
      <c r="AO122" s="18"/>
      <c r="AP122" s="18"/>
      <c r="AQ122" s="18"/>
      <c r="AR122" s="18"/>
      <c r="AS122" s="18"/>
      <c r="AT122" s="18"/>
      <c r="AU122" s="18"/>
      <c r="AV122" s="18"/>
      <c r="AW122" s="18"/>
      <c r="AX122" s="18"/>
      <c r="AY122" s="18"/>
      <c r="AZ122" s="18"/>
    </row>
    <row r="123" spans="1:52" ht="15" customHeight="1" x14ac:dyDescent="0.3">
      <c r="A123" s="248"/>
      <c r="B123" s="666" t="s">
        <v>266</v>
      </c>
      <c r="C123" s="303">
        <f t="shared" ref="C123:I123" si="37">D124+C122-C124</f>
        <v>475.03243059299712</v>
      </c>
      <c r="D123" s="303">
        <f t="shared" si="37"/>
        <v>456.74812297999733</v>
      </c>
      <c r="E123" s="303">
        <f t="shared" si="37"/>
        <v>969.34611921499982</v>
      </c>
      <c r="F123" s="650">
        <f>G124+F122-F124</f>
        <v>-4</v>
      </c>
      <c r="G123" s="303">
        <f>H124+G122-G124</f>
        <v>5</v>
      </c>
      <c r="H123" s="303">
        <f t="shared" si="37"/>
        <v>1</v>
      </c>
      <c r="I123" s="303">
        <f t="shared" si="37"/>
        <v>1</v>
      </c>
      <c r="J123" s="303">
        <f>K124+J122-J124</f>
        <v>-2560</v>
      </c>
      <c r="K123" s="680"/>
      <c r="L123" s="650"/>
      <c r="M123" s="376"/>
      <c r="N123" s="376"/>
      <c r="O123" s="376"/>
      <c r="P123" s="376"/>
      <c r="Q123" s="376"/>
      <c r="R123" s="685"/>
      <c r="S123" s="252"/>
      <c r="T123" s="16"/>
      <c r="U123" s="16"/>
      <c r="V123" s="16"/>
      <c r="W123" s="254"/>
      <c r="X123" s="16"/>
      <c r="Y123" s="16"/>
      <c r="Z123" s="254"/>
      <c r="AA123" s="16"/>
      <c r="AB123" s="16"/>
      <c r="AC123" s="254"/>
      <c r="AD123" s="16"/>
      <c r="AE123" s="16"/>
      <c r="AF123" s="254"/>
      <c r="AG123" s="16"/>
      <c r="AH123" s="16"/>
      <c r="AI123" s="254"/>
      <c r="AJ123" s="16"/>
      <c r="AK123" s="18"/>
      <c r="AL123" s="18"/>
      <c r="AM123" s="18"/>
      <c r="AN123" s="18"/>
      <c r="AO123" s="18"/>
      <c r="AP123" s="18"/>
      <c r="AQ123" s="18"/>
      <c r="AR123" s="18"/>
      <c r="AS123" s="18"/>
      <c r="AT123" s="18"/>
      <c r="AU123" s="18"/>
      <c r="AV123" s="18"/>
      <c r="AW123" s="18"/>
      <c r="AX123" s="18"/>
      <c r="AY123" s="18"/>
      <c r="AZ123" s="18"/>
    </row>
    <row r="124" spans="1:52" ht="15" customHeight="1" x14ac:dyDescent="0.3">
      <c r="A124" s="248"/>
      <c r="B124" s="666" t="s">
        <v>144</v>
      </c>
      <c r="C124" s="303">
        <f t="shared" ref="C124:J124" si="38">C85</f>
        <v>2324</v>
      </c>
      <c r="D124" s="303">
        <f t="shared" si="38"/>
        <v>2131</v>
      </c>
      <c r="E124" s="303">
        <f t="shared" si="38"/>
        <v>2169</v>
      </c>
      <c r="F124" s="650">
        <f>F85</f>
        <v>1499</v>
      </c>
      <c r="G124" s="303">
        <f>G85</f>
        <v>1456</v>
      </c>
      <c r="H124" s="303">
        <f t="shared" si="38"/>
        <v>1450</v>
      </c>
      <c r="I124" s="303">
        <f t="shared" si="38"/>
        <v>1732</v>
      </c>
      <c r="J124" s="303">
        <f t="shared" si="38"/>
        <v>1371</v>
      </c>
      <c r="K124" s="680"/>
      <c r="L124" s="650"/>
      <c r="M124" s="376"/>
      <c r="N124" s="376"/>
      <c r="O124" s="376"/>
      <c r="P124" s="376"/>
      <c r="Q124" s="376"/>
      <c r="R124" s="685"/>
      <c r="S124" s="252"/>
      <c r="T124" s="16"/>
      <c r="U124" s="16"/>
      <c r="V124" s="16"/>
      <c r="W124" s="254"/>
      <c r="X124" s="16"/>
      <c r="Y124" s="16"/>
      <c r="Z124" s="254"/>
      <c r="AA124" s="16"/>
      <c r="AB124" s="16"/>
      <c r="AC124" s="254"/>
      <c r="AD124" s="16"/>
      <c r="AE124" s="16"/>
      <c r="AF124" s="254"/>
      <c r="AG124" s="16"/>
      <c r="AH124" s="16"/>
      <c r="AI124" s="254"/>
      <c r="AJ124" s="16"/>
      <c r="AK124" s="18"/>
      <c r="AL124" s="18"/>
      <c r="AM124" s="18"/>
      <c r="AN124" s="18"/>
      <c r="AO124" s="18"/>
      <c r="AP124" s="18"/>
      <c r="AQ124" s="18"/>
      <c r="AR124" s="18"/>
      <c r="AS124" s="18"/>
      <c r="AT124" s="18"/>
      <c r="AU124" s="18"/>
      <c r="AV124" s="18"/>
      <c r="AW124" s="18"/>
      <c r="AX124" s="18"/>
      <c r="AY124" s="18"/>
      <c r="AZ124" s="18"/>
    </row>
    <row r="125" spans="1:52" ht="15" customHeight="1" x14ac:dyDescent="0.3">
      <c r="A125" s="248"/>
      <c r="B125" s="666"/>
      <c r="C125" s="303"/>
      <c r="D125" s="303"/>
      <c r="E125" s="397" t="s">
        <v>62</v>
      </c>
      <c r="F125" s="650"/>
      <c r="G125" s="303"/>
      <c r="H125" s="303"/>
      <c r="I125" s="303"/>
      <c r="J125" s="303"/>
      <c r="K125" s="680"/>
      <c r="L125" s="650"/>
      <c r="M125" s="376"/>
      <c r="N125" s="376"/>
      <c r="O125" s="376"/>
      <c r="P125" s="376"/>
      <c r="Q125" s="376"/>
      <c r="R125" s="685"/>
      <c r="S125" s="252"/>
      <c r="T125" s="16"/>
      <c r="U125" s="16"/>
      <c r="V125" s="16"/>
      <c r="W125" s="254"/>
      <c r="X125" s="16"/>
      <c r="Y125" s="16"/>
      <c r="Z125" s="254"/>
      <c r="AA125" s="16"/>
      <c r="AB125" s="16"/>
      <c r="AC125" s="254"/>
      <c r="AD125" s="16"/>
      <c r="AE125" s="16"/>
      <c r="AF125" s="254"/>
      <c r="AG125" s="16"/>
      <c r="AH125" s="16"/>
      <c r="AI125" s="254"/>
      <c r="AJ125" s="16"/>
      <c r="AK125" s="18"/>
      <c r="AL125" s="18"/>
      <c r="AM125" s="18"/>
      <c r="AN125" s="18"/>
      <c r="AO125" s="18"/>
      <c r="AP125" s="18"/>
      <c r="AQ125" s="18"/>
      <c r="AR125" s="18"/>
      <c r="AS125" s="18"/>
      <c r="AT125" s="18"/>
      <c r="AU125" s="18"/>
      <c r="AV125" s="18"/>
      <c r="AW125" s="18"/>
      <c r="AX125" s="18"/>
      <c r="AY125" s="18"/>
      <c r="AZ125" s="18"/>
    </row>
    <row r="126" spans="1:52" ht="15" customHeight="1" x14ac:dyDescent="0.3">
      <c r="A126" s="248"/>
      <c r="B126" s="666" t="str">
        <f>'Financials DF'!B183</f>
        <v>EBITDA</v>
      </c>
      <c r="C126" s="303">
        <f>C34</f>
        <v>4801.0101109529924</v>
      </c>
      <c r="D126" s="303">
        <f>D34</f>
        <v>4559.5607965799963</v>
      </c>
      <c r="E126" s="303">
        <f>E34</f>
        <v>4138.9540266000004</v>
      </c>
      <c r="F126" s="650">
        <f>'Financials DF'!C183</f>
        <v>3485</v>
      </c>
      <c r="G126" s="303">
        <f>'Financials DF'!D183</f>
        <v>3244</v>
      </c>
      <c r="H126" s="303">
        <f>'Financials DF'!E183</f>
        <v>2732</v>
      </c>
      <c r="I126" s="303">
        <f>'Financials DF'!F183</f>
        <v>4388</v>
      </c>
      <c r="J126" s="303">
        <f>'Financials DF'!G183</f>
        <v>2904</v>
      </c>
      <c r="K126" s="680"/>
      <c r="L126" s="650"/>
      <c r="M126" s="349"/>
      <c r="N126" s="349"/>
      <c r="O126" s="349"/>
      <c r="P126" s="349"/>
      <c r="Q126" s="349"/>
      <c r="R126" s="685"/>
      <c r="S126" s="252"/>
      <c r="T126" s="16"/>
      <c r="U126" s="16"/>
      <c r="V126" s="16"/>
      <c r="W126" s="254"/>
      <c r="X126" s="16"/>
      <c r="Y126" s="16"/>
      <c r="Z126" s="254"/>
      <c r="AA126" s="16"/>
      <c r="AB126" s="16"/>
      <c r="AC126" s="254"/>
      <c r="AD126" s="16"/>
      <c r="AE126" s="16"/>
      <c r="AF126" s="254"/>
      <c r="AG126" s="16"/>
      <c r="AH126" s="16"/>
      <c r="AI126" s="254"/>
      <c r="AJ126" s="16"/>
      <c r="AK126" s="18"/>
      <c r="AL126" s="18"/>
      <c r="AM126" s="18"/>
      <c r="AN126" s="18"/>
      <c r="AO126" s="18"/>
      <c r="AP126" s="18"/>
      <c r="AQ126" s="18"/>
      <c r="AR126" s="18"/>
      <c r="AS126" s="18"/>
      <c r="AT126" s="18"/>
      <c r="AU126" s="18"/>
      <c r="AV126" s="18"/>
      <c r="AW126" s="18"/>
      <c r="AX126" s="18"/>
      <c r="AY126" s="18"/>
      <c r="AZ126" s="18"/>
    </row>
    <row r="127" spans="1:52" ht="15" customHeight="1" x14ac:dyDescent="0.3">
      <c r="A127" s="248"/>
      <c r="B127" s="666" t="str">
        <f>'Financials DF'!B184</f>
        <v>Cash Paid for Taxes</v>
      </c>
      <c r="C127" s="303">
        <f>C16*M127</f>
        <v>492.56432579039853</v>
      </c>
      <c r="D127" s="303">
        <f>D16*N127</f>
        <v>460.66291190399937</v>
      </c>
      <c r="E127" s="303">
        <f>E16*O127</f>
        <v>390.13882512000004</v>
      </c>
      <c r="F127" s="650">
        <f>'Financials DF'!C184</f>
        <v>439</v>
      </c>
      <c r="G127" s="303">
        <f>'Financials DF'!D184</f>
        <v>618</v>
      </c>
      <c r="H127" s="303">
        <f>'Financials DF'!E184</f>
        <v>601</v>
      </c>
      <c r="I127" s="303">
        <f>'Financials DF'!F184</f>
        <v>967</v>
      </c>
      <c r="J127" s="303">
        <f>'Financials DF'!G184</f>
        <v>916</v>
      </c>
      <c r="K127" s="680"/>
      <c r="L127" s="650"/>
      <c r="M127" s="407">
        <v>0.6</v>
      </c>
      <c r="N127" s="407">
        <v>0.6</v>
      </c>
      <c r="O127" s="407">
        <v>0.6</v>
      </c>
      <c r="P127" s="407">
        <f>F127/F16</f>
        <v>0.90702479338842978</v>
      </c>
      <c r="Q127" s="407">
        <f>G127/G16</f>
        <v>1.4855769230769231</v>
      </c>
      <c r="R127" s="685" t="s">
        <v>290</v>
      </c>
      <c r="S127" s="252"/>
      <c r="T127" s="16"/>
      <c r="U127" s="16"/>
      <c r="V127" s="16"/>
      <c r="W127" s="254"/>
      <c r="X127" s="16"/>
      <c r="Y127" s="16"/>
      <c r="Z127" s="254"/>
      <c r="AA127" s="16"/>
      <c r="AB127" s="16"/>
      <c r="AC127" s="254"/>
      <c r="AD127" s="16"/>
      <c r="AE127" s="16"/>
      <c r="AF127" s="254"/>
      <c r="AG127" s="16"/>
      <c r="AH127" s="16"/>
      <c r="AI127" s="254"/>
      <c r="AJ127" s="16"/>
      <c r="AK127" s="18"/>
      <c r="AL127" s="18"/>
      <c r="AM127" s="18"/>
      <c r="AN127" s="18"/>
      <c r="AO127" s="18"/>
      <c r="AP127" s="18"/>
      <c r="AQ127" s="18"/>
      <c r="AR127" s="18"/>
      <c r="AS127" s="18"/>
      <c r="AT127" s="18"/>
      <c r="AU127" s="18"/>
      <c r="AV127" s="18"/>
      <c r="AW127" s="18"/>
      <c r="AX127" s="18"/>
      <c r="AY127" s="18"/>
      <c r="AZ127" s="18"/>
    </row>
    <row r="128" spans="1:52" ht="15" customHeight="1" x14ac:dyDescent="0.3">
      <c r="A128" s="248"/>
      <c r="B128" s="666" t="str">
        <f>'Financials DF'!B185</f>
        <v>Cash Paid for Interest</v>
      </c>
      <c r="C128" s="303"/>
      <c r="D128" s="303"/>
      <c r="E128" s="303"/>
      <c r="F128" s="650">
        <f>'Financials DF'!C185</f>
        <v>828</v>
      </c>
      <c r="G128" s="303">
        <f>'Financials DF'!D185</f>
        <v>812</v>
      </c>
      <c r="H128" s="303">
        <f>'Financials DF'!E185</f>
        <v>947</v>
      </c>
      <c r="I128" s="303">
        <f>'Financials DF'!F185</f>
        <v>602</v>
      </c>
      <c r="J128" s="303">
        <f>'Financials DF'!G185</f>
        <v>729</v>
      </c>
      <c r="K128" s="680"/>
      <c r="L128" s="650"/>
      <c r="M128" s="407">
        <v>0.7</v>
      </c>
      <c r="N128" s="407">
        <v>0.7</v>
      </c>
      <c r="O128" s="407">
        <v>0.7</v>
      </c>
      <c r="P128" s="407">
        <f>F128/F12</f>
        <v>1.0012091898428053</v>
      </c>
      <c r="Q128" s="407">
        <f>G128/G12</f>
        <v>0.96208530805687209</v>
      </c>
      <c r="R128" s="685"/>
      <c r="S128" s="252"/>
      <c r="T128" s="16"/>
      <c r="U128" s="16"/>
      <c r="V128" s="16"/>
      <c r="W128" s="254"/>
      <c r="X128" s="16"/>
      <c r="Y128" s="16"/>
      <c r="Z128" s="254"/>
      <c r="AA128" s="16"/>
      <c r="AB128" s="16"/>
      <c r="AC128" s="254"/>
      <c r="AD128" s="16"/>
      <c r="AE128" s="16"/>
      <c r="AF128" s="254"/>
      <c r="AG128" s="16"/>
      <c r="AH128" s="16"/>
      <c r="AI128" s="254"/>
      <c r="AJ128" s="16"/>
      <c r="AK128" s="18"/>
      <c r="AL128" s="18"/>
      <c r="AM128" s="18"/>
      <c r="AN128" s="18"/>
      <c r="AO128" s="18"/>
      <c r="AP128" s="18"/>
      <c r="AQ128" s="18"/>
      <c r="AR128" s="18"/>
      <c r="AS128" s="18"/>
      <c r="AT128" s="18"/>
      <c r="AU128" s="18"/>
      <c r="AV128" s="18"/>
      <c r="AW128" s="18"/>
      <c r="AX128" s="18"/>
      <c r="AY128" s="18"/>
      <c r="AZ128" s="18"/>
    </row>
    <row r="129" spans="1:52" ht="15" customHeight="1" x14ac:dyDescent="0.3">
      <c r="A129" s="248"/>
      <c r="B129" s="666" t="str">
        <f>'Financials DF'!B187</f>
        <v>Free Cash Flow</v>
      </c>
      <c r="C129" s="303">
        <f>C107+SUM(C109:C111)</f>
        <v>2119.365494822594</v>
      </c>
      <c r="D129" s="303">
        <f>D107+SUM(D109:D111)</f>
        <v>1989.3672162759972</v>
      </c>
      <c r="E129" s="303">
        <f>E107+SUM(E109:E111)</f>
        <v>2036.9747889799996</v>
      </c>
      <c r="F129" s="650">
        <f>'Financials DF'!C187</f>
        <v>636</v>
      </c>
      <c r="G129" s="303">
        <f>'Financials DF'!D187</f>
        <v>1440</v>
      </c>
      <c r="H129" s="303">
        <f>'Financials DF'!E187</f>
        <v>-772</v>
      </c>
      <c r="I129" s="303">
        <f>'Financials DF'!F187</f>
        <v>2121</v>
      </c>
      <c r="J129" s="303">
        <f>'Financials DF'!G187</f>
        <v>1268</v>
      </c>
      <c r="K129" s="680"/>
      <c r="L129" s="650"/>
      <c r="M129" s="376"/>
      <c r="N129" s="376"/>
      <c r="O129" s="376"/>
      <c r="P129" s="376"/>
      <c r="Q129" s="376"/>
      <c r="R129" s="685"/>
      <c r="S129" s="252"/>
      <c r="T129" s="16"/>
      <c r="U129" s="16"/>
      <c r="V129" s="16"/>
      <c r="W129" s="254"/>
      <c r="X129" s="16"/>
      <c r="Y129" s="16"/>
      <c r="Z129" s="254"/>
      <c r="AA129" s="16"/>
      <c r="AB129" s="16"/>
      <c r="AC129" s="254"/>
      <c r="AD129" s="16"/>
      <c r="AE129" s="16"/>
      <c r="AF129" s="254"/>
      <c r="AG129" s="16"/>
      <c r="AH129" s="16"/>
      <c r="AI129" s="254"/>
      <c r="AJ129" s="16"/>
      <c r="AK129" s="18"/>
      <c r="AL129" s="18"/>
      <c r="AM129" s="18"/>
      <c r="AN129" s="18"/>
      <c r="AO129" s="18"/>
      <c r="AP129" s="18"/>
      <c r="AQ129" s="18"/>
      <c r="AR129" s="18"/>
      <c r="AS129" s="18"/>
      <c r="AT129" s="18"/>
      <c r="AU129" s="18"/>
      <c r="AV129" s="18"/>
      <c r="AW129" s="18"/>
      <c r="AX129" s="18"/>
      <c r="AY129" s="18"/>
      <c r="AZ129" s="18"/>
    </row>
    <row r="130" spans="1:52" ht="15" customHeight="1" x14ac:dyDescent="0.3">
      <c r="A130" s="248"/>
      <c r="B130" s="666" t="str">
        <f>'Financials DF'!B188</f>
        <v>Free Cash Flow To Firm</v>
      </c>
      <c r="C130" s="408">
        <f>C107+C12*(1-0.28)+C113</f>
        <v>2720.6127526453938</v>
      </c>
      <c r="D130" s="408">
        <f>D107+D12*(1-0.28)+D113</f>
        <v>2587.3762266039971</v>
      </c>
      <c r="E130" s="408">
        <f>E129+E12*(1-0.28)</f>
        <v>2644.7807259799993</v>
      </c>
      <c r="F130" s="650">
        <f>'Financials DF'!C188</f>
        <v>1202.07</v>
      </c>
      <c r="G130" s="303">
        <f>'Financials DF'!D188</f>
        <v>1985.44</v>
      </c>
      <c r="H130" s="303">
        <f>'Financials DF'!E188</f>
        <v>-183.26</v>
      </c>
      <c r="I130" s="303">
        <f>'Financials DF'!F188</f>
        <v>2565.37</v>
      </c>
      <c r="J130" s="303">
        <f>'Financials DF'!G188</f>
        <v>1594.59</v>
      </c>
      <c r="K130" s="680"/>
      <c r="L130" s="650"/>
      <c r="M130" s="376"/>
      <c r="N130" s="376"/>
      <c r="O130" s="376"/>
      <c r="P130" s="376"/>
      <c r="Q130" s="376"/>
      <c r="R130" s="685"/>
      <c r="S130" s="252"/>
      <c r="T130" s="16"/>
      <c r="U130" s="16"/>
      <c r="V130" s="16"/>
      <c r="W130" s="254"/>
      <c r="X130" s="16"/>
      <c r="Y130" s="16"/>
      <c r="Z130" s="254"/>
      <c r="AA130" s="16"/>
      <c r="AB130" s="16"/>
      <c r="AC130" s="254"/>
      <c r="AD130" s="16"/>
      <c r="AE130" s="16"/>
      <c r="AF130" s="254"/>
      <c r="AG130" s="16"/>
      <c r="AH130" s="16"/>
      <c r="AI130" s="254"/>
      <c r="AJ130" s="16"/>
      <c r="AK130" s="18"/>
      <c r="AL130" s="18"/>
      <c r="AM130" s="18"/>
      <c r="AN130" s="18"/>
      <c r="AO130" s="18"/>
      <c r="AP130" s="18"/>
      <c r="AQ130" s="18"/>
      <c r="AR130" s="18"/>
      <c r="AS130" s="18"/>
      <c r="AT130" s="18"/>
      <c r="AU130" s="18"/>
      <c r="AV130" s="18"/>
      <c r="AW130" s="18"/>
      <c r="AX130" s="18"/>
      <c r="AY130" s="18"/>
      <c r="AZ130" s="18"/>
    </row>
    <row r="131" spans="1:52" ht="15" customHeight="1" x14ac:dyDescent="0.3">
      <c r="A131" s="248"/>
      <c r="B131" s="666" t="str">
        <f>'Financials DF'!B189</f>
        <v>Free Cash Flow to Equity</v>
      </c>
      <c r="C131" s="408">
        <f>C130-C12*(1-0.28)+SUM(C115:C117)</f>
        <v>2178.333041022594</v>
      </c>
      <c r="D131" s="408">
        <f>D130-D12*(1-0.28)+SUM(D115:D117)</f>
        <v>1807.9426482759968</v>
      </c>
      <c r="E131" s="408">
        <f>E130-E12*(1-0.28)+SUM(E115:E117)</f>
        <v>2142.6402889799992</v>
      </c>
      <c r="F131" s="650">
        <f>'Financials DF'!C189</f>
        <v>34</v>
      </c>
      <c r="G131" s="303">
        <f>'Financials DF'!D189</f>
        <v>159</v>
      </c>
      <c r="H131" s="303">
        <f>'Financials DF'!E189</f>
        <v>116</v>
      </c>
      <c r="I131" s="303">
        <f>'Financials DF'!F189</f>
        <v>2958</v>
      </c>
      <c r="J131" s="303">
        <f>'Financials DF'!G189</f>
        <v>2322</v>
      </c>
      <c r="K131" s="680"/>
      <c r="L131" s="650"/>
      <c r="M131" s="376"/>
      <c r="N131" s="376"/>
      <c r="O131" s="376"/>
      <c r="P131" s="376"/>
      <c r="Q131" s="376"/>
      <c r="R131" s="685"/>
      <c r="S131" s="252"/>
      <c r="T131" s="16"/>
      <c r="U131" s="16"/>
      <c r="V131" s="16"/>
      <c r="W131" s="254"/>
      <c r="X131" s="16"/>
      <c r="Y131" s="16"/>
      <c r="Z131" s="254"/>
      <c r="AA131" s="16"/>
      <c r="AB131" s="16"/>
      <c r="AC131" s="254"/>
      <c r="AD131" s="16"/>
      <c r="AE131" s="16"/>
      <c r="AF131" s="254"/>
      <c r="AG131" s="16"/>
      <c r="AH131" s="16"/>
      <c r="AI131" s="254"/>
      <c r="AJ131" s="16"/>
      <c r="AK131" s="18"/>
      <c r="AL131" s="18"/>
      <c r="AM131" s="18"/>
      <c r="AN131" s="18"/>
      <c r="AO131" s="18"/>
      <c r="AP131" s="18"/>
      <c r="AQ131" s="18"/>
      <c r="AR131" s="18"/>
      <c r="AS131" s="18"/>
      <c r="AT131" s="18"/>
      <c r="AU131" s="18"/>
      <c r="AV131" s="18"/>
      <c r="AW131" s="18"/>
      <c r="AX131" s="18"/>
      <c r="AY131" s="18"/>
      <c r="AZ131" s="18"/>
    </row>
    <row r="132" spans="1:52" ht="15" customHeight="1" x14ac:dyDescent="0.3">
      <c r="A132" s="248"/>
      <c r="B132" s="666" t="str">
        <f>'Financials DF'!B190</f>
        <v>Free Cash Flow per Basic Share</v>
      </c>
      <c r="C132" s="342">
        <f>C129/C32</f>
        <v>1.7439331349190064</v>
      </c>
      <c r="D132" s="342">
        <f>D129/D32</f>
        <v>1.5777845293792683</v>
      </c>
      <c r="E132" s="342">
        <f>E129/E32</f>
        <v>1.5633718027702437</v>
      </c>
      <c r="F132" s="646">
        <f>'Financials DF'!C190</f>
        <v>0.48</v>
      </c>
      <c r="G132" s="342">
        <f>'Financials DF'!D190</f>
        <v>1.08</v>
      </c>
      <c r="H132" s="342">
        <f>'Financials DF'!E190</f>
        <v>-0.57999999999999996</v>
      </c>
      <c r="I132" s="342">
        <f>'Financials DF'!F190</f>
        <v>1.58</v>
      </c>
      <c r="J132" s="342">
        <f>'Financials DF'!G190</f>
        <v>0.93</v>
      </c>
      <c r="K132" s="680"/>
      <c r="L132" s="650"/>
      <c r="M132" s="376"/>
      <c r="N132" s="376"/>
      <c r="O132" s="376"/>
      <c r="P132" s="376"/>
      <c r="Q132" s="376"/>
      <c r="R132" s="685"/>
      <c r="S132" s="252"/>
      <c r="T132" s="16"/>
      <c r="U132" s="16"/>
      <c r="V132" s="16"/>
      <c r="W132" s="254"/>
      <c r="X132" s="16"/>
      <c r="Y132" s="16"/>
      <c r="Z132" s="254"/>
      <c r="AA132" s="16"/>
      <c r="AB132" s="16"/>
      <c r="AC132" s="254"/>
      <c r="AD132" s="16"/>
      <c r="AE132" s="16"/>
      <c r="AF132" s="254"/>
      <c r="AG132" s="16"/>
      <c r="AH132" s="16"/>
      <c r="AI132" s="254"/>
      <c r="AJ132" s="16"/>
      <c r="AK132" s="18"/>
      <c r="AL132" s="18"/>
      <c r="AM132" s="18"/>
      <c r="AN132" s="18"/>
      <c r="AO132" s="18"/>
      <c r="AP132" s="18"/>
      <c r="AQ132" s="18"/>
      <c r="AR132" s="18"/>
      <c r="AS132" s="18"/>
      <c r="AT132" s="18"/>
      <c r="AU132" s="18"/>
      <c r="AV132" s="18"/>
      <c r="AW132" s="18"/>
      <c r="AX132" s="18"/>
      <c r="AY132" s="18"/>
      <c r="AZ132" s="18"/>
    </row>
    <row r="133" spans="1:52" ht="15" customHeight="1" x14ac:dyDescent="0.3">
      <c r="A133" s="248"/>
      <c r="B133" s="666" t="str">
        <f>'Financials DF'!B191</f>
        <v>Price to Free Cash Flow</v>
      </c>
      <c r="C133" s="342">
        <f>($V$58)/(Fcsts!C129/Fcsts!C32)</f>
        <v>8.1769190082292216</v>
      </c>
      <c r="D133" s="342">
        <f>($V$58)/(Fcsts!D129/Fcsts!D32)</f>
        <v>9.0379894937936598</v>
      </c>
      <c r="E133" s="342">
        <f>($V$58)/(Fcsts!E129/Fcsts!E32)</f>
        <v>9.1213107302637457</v>
      </c>
      <c r="F133" s="646">
        <f>'Financials DF'!C191</f>
        <v>28.86</v>
      </c>
      <c r="G133" s="342">
        <f>'Financials DF'!D191</f>
        <v>15.04</v>
      </c>
      <c r="H133" s="342" t="str">
        <f>'Financials DF'!E191</f>
        <v>NA</v>
      </c>
      <c r="I133" s="342">
        <f>'Financials DF'!F191</f>
        <v>11.13</v>
      </c>
      <c r="J133" s="342">
        <f>'Financials DF'!G191</f>
        <v>26</v>
      </c>
      <c r="K133" s="680"/>
      <c r="L133" s="650"/>
      <c r="M133" s="376"/>
      <c r="N133" s="376"/>
      <c r="O133" s="376"/>
      <c r="P133" s="376"/>
      <c r="Q133" s="376"/>
      <c r="R133" s="685"/>
      <c r="S133" s="252"/>
      <c r="T133" s="16"/>
      <c r="U133" s="16"/>
      <c r="V133" s="16"/>
      <c r="W133" s="254"/>
      <c r="X133" s="16"/>
      <c r="Y133" s="16"/>
      <c r="Z133" s="254"/>
      <c r="AA133" s="16"/>
      <c r="AB133" s="16"/>
      <c r="AC133" s="254"/>
      <c r="AD133" s="16"/>
      <c r="AE133" s="16"/>
      <c r="AF133" s="254"/>
      <c r="AG133" s="16"/>
      <c r="AH133" s="16"/>
      <c r="AI133" s="254"/>
      <c r="AJ133" s="16"/>
      <c r="AK133" s="18"/>
      <c r="AL133" s="18"/>
      <c r="AM133" s="18"/>
      <c r="AN133" s="18"/>
      <c r="AO133" s="18"/>
      <c r="AP133" s="18"/>
      <c r="AQ133" s="18"/>
      <c r="AR133" s="18"/>
      <c r="AS133" s="18"/>
      <c r="AT133" s="18"/>
      <c r="AU133" s="18"/>
      <c r="AV133" s="18"/>
      <c r="AW133" s="18"/>
      <c r="AX133" s="18"/>
      <c r="AY133" s="18"/>
      <c r="AZ133" s="18"/>
    </row>
    <row r="134" spans="1:52" ht="15" customHeight="1" x14ac:dyDescent="0.3">
      <c r="A134" s="248"/>
      <c r="B134" s="666" t="str">
        <f>'Financials DF'!B192</f>
        <v>Cash Flow to Net Income</v>
      </c>
      <c r="C134" s="332">
        <f>C107/C103</f>
        <v>1.9953446710368536</v>
      </c>
      <c r="D134" s="332">
        <f>D107/D103</f>
        <v>2.0079002804551802</v>
      </c>
      <c r="E134" s="332">
        <f>E107/E103</f>
        <v>2.4380149390533798</v>
      </c>
      <c r="F134" s="647">
        <f>'Financials DF'!C192</f>
        <v>1.99</v>
      </c>
      <c r="G134" s="337">
        <f>'Financials DF'!D192</f>
        <v>3.34</v>
      </c>
      <c r="H134" s="337">
        <f>'Financials DF'!E192</f>
        <v>0.42</v>
      </c>
      <c r="I134" s="337">
        <f>'Financials DF'!F192</f>
        <v>1.43</v>
      </c>
      <c r="J134" s="337">
        <f>'Financials DF'!G192</f>
        <v>0.56000000000000005</v>
      </c>
      <c r="K134" s="680"/>
      <c r="L134" s="650"/>
      <c r="M134" s="376"/>
      <c r="N134" s="376"/>
      <c r="O134" s="376"/>
      <c r="P134" s="376"/>
      <c r="Q134" s="376"/>
      <c r="R134" s="685"/>
      <c r="S134" s="252"/>
      <c r="T134" s="16"/>
      <c r="U134" s="16"/>
      <c r="V134" s="16"/>
      <c r="W134" s="254"/>
      <c r="X134" s="16"/>
      <c r="Y134" s="16"/>
      <c r="Z134" s="254"/>
      <c r="AA134" s="16"/>
      <c r="AB134" s="16"/>
      <c r="AC134" s="254"/>
      <c r="AD134" s="16"/>
      <c r="AE134" s="16"/>
      <c r="AF134" s="254"/>
      <c r="AG134" s="16"/>
      <c r="AH134" s="16"/>
      <c r="AI134" s="254"/>
      <c r="AJ134" s="16"/>
      <c r="AK134" s="18"/>
      <c r="AL134" s="18"/>
      <c r="AM134" s="18"/>
      <c r="AN134" s="18"/>
      <c r="AO134" s="18"/>
      <c r="AP134" s="18"/>
      <c r="AQ134" s="18"/>
      <c r="AR134" s="18"/>
      <c r="AS134" s="18"/>
      <c r="AT134" s="18"/>
      <c r="AU134" s="18"/>
      <c r="AV134" s="18"/>
      <c r="AW134" s="18"/>
      <c r="AX134" s="18"/>
      <c r="AY134" s="18"/>
      <c r="AZ134" s="18"/>
    </row>
    <row r="135" spans="1:52" ht="15" customHeight="1" x14ac:dyDescent="0.3">
      <c r="A135" s="248"/>
      <c r="B135" s="666"/>
      <c r="C135" s="303"/>
      <c r="D135" s="303"/>
      <c r="E135" s="303"/>
      <c r="F135" s="646"/>
      <c r="G135" s="342"/>
      <c r="H135" s="342"/>
      <c r="I135" s="342"/>
      <c r="J135" s="342"/>
      <c r="K135" s="680"/>
      <c r="L135" s="650"/>
      <c r="M135" s="376"/>
      <c r="N135" s="376"/>
      <c r="O135" s="376"/>
      <c r="P135" s="376"/>
      <c r="Q135" s="376"/>
      <c r="R135" s="685"/>
      <c r="S135" s="252"/>
      <c r="T135" s="16"/>
      <c r="U135" s="16"/>
      <c r="V135" s="16"/>
      <c r="W135" s="254"/>
      <c r="X135" s="16"/>
      <c r="Y135" s="16"/>
      <c r="Z135" s="254"/>
      <c r="AA135" s="16"/>
      <c r="AB135" s="16"/>
      <c r="AC135" s="254"/>
      <c r="AD135" s="16"/>
      <c r="AE135" s="16"/>
      <c r="AF135" s="254"/>
      <c r="AG135" s="16"/>
      <c r="AH135" s="16"/>
      <c r="AI135" s="254"/>
      <c r="AJ135" s="16"/>
      <c r="AK135" s="18"/>
      <c r="AL135" s="18"/>
      <c r="AM135" s="18"/>
      <c r="AN135" s="18"/>
      <c r="AO135" s="18"/>
      <c r="AP135" s="18"/>
      <c r="AQ135" s="18"/>
      <c r="AR135" s="18"/>
      <c r="AS135" s="18"/>
      <c r="AT135" s="18"/>
      <c r="AU135" s="18"/>
      <c r="AV135" s="18"/>
      <c r="AW135" s="18"/>
      <c r="AX135" s="18"/>
      <c r="AY135" s="18"/>
      <c r="AZ135" s="18"/>
    </row>
    <row r="136" spans="1:52" ht="15" customHeight="1" x14ac:dyDescent="0.3">
      <c r="A136" s="248"/>
      <c r="B136" s="666" t="s">
        <v>672</v>
      </c>
      <c r="C136" s="332">
        <f t="shared" ref="C136:J136" si="39">-C109/C104</f>
        <v>0.97215670578452662</v>
      </c>
      <c r="D136" s="332">
        <f t="shared" si="39"/>
        <v>0.96754505238044253</v>
      </c>
      <c r="E136" s="332">
        <f t="shared" si="39"/>
        <v>1.0545816061729714</v>
      </c>
      <c r="F136" s="649">
        <f t="shared" si="39"/>
        <v>1.1487946799667499</v>
      </c>
      <c r="G136" s="332">
        <f t="shared" si="39"/>
        <v>0.96917808219178081</v>
      </c>
      <c r="H136" s="332">
        <f t="shared" si="39"/>
        <v>0.82489270386266089</v>
      </c>
      <c r="I136" s="332">
        <f t="shared" si="39"/>
        <v>1.8422459893048129</v>
      </c>
      <c r="J136" s="332">
        <f t="shared" si="39"/>
        <v>1.5717255717255718</v>
      </c>
      <c r="K136" s="680"/>
      <c r="L136" s="650"/>
      <c r="M136" s="376"/>
      <c r="N136" s="376"/>
      <c r="O136" s="376"/>
      <c r="P136" s="376"/>
      <c r="Q136" s="376"/>
      <c r="R136" s="685"/>
      <c r="S136" s="252"/>
      <c r="T136" s="16"/>
      <c r="U136" s="16"/>
      <c r="V136" s="16"/>
      <c r="W136" s="254"/>
      <c r="X136" s="16"/>
      <c r="Y136" s="16"/>
      <c r="Z136" s="254"/>
      <c r="AA136" s="16"/>
      <c r="AB136" s="16"/>
      <c r="AC136" s="254"/>
      <c r="AD136" s="16"/>
      <c r="AE136" s="16"/>
      <c r="AF136" s="254"/>
      <c r="AG136" s="16"/>
      <c r="AH136" s="16"/>
      <c r="AI136" s="254"/>
      <c r="AJ136" s="16"/>
      <c r="AK136" s="18"/>
      <c r="AL136" s="18"/>
      <c r="AM136" s="18"/>
      <c r="AN136" s="18"/>
      <c r="AO136" s="18"/>
      <c r="AP136" s="18"/>
      <c r="AQ136" s="18"/>
      <c r="AR136" s="18"/>
      <c r="AS136" s="18"/>
      <c r="AT136" s="18"/>
      <c r="AU136" s="18"/>
      <c r="AV136" s="18"/>
      <c r="AW136" s="18"/>
      <c r="AX136" s="18"/>
      <c r="AY136" s="18"/>
      <c r="AZ136" s="18"/>
    </row>
    <row r="137" spans="1:52" ht="15" customHeight="1" x14ac:dyDescent="0.3">
      <c r="A137" s="248"/>
      <c r="B137" s="666"/>
      <c r="C137" s="303"/>
      <c r="D137" s="303"/>
      <c r="E137" s="303"/>
      <c r="F137" s="646"/>
      <c r="G137" s="342"/>
      <c r="H137" s="342"/>
      <c r="I137" s="342"/>
      <c r="J137" s="342"/>
      <c r="K137" s="680"/>
      <c r="L137" s="650"/>
      <c r="M137" s="376"/>
      <c r="N137" s="376"/>
      <c r="O137" s="376"/>
      <c r="P137" s="376"/>
      <c r="Q137" s="376"/>
      <c r="R137" s="685"/>
      <c r="S137" s="252"/>
      <c r="T137" s="16"/>
      <c r="U137" s="16"/>
      <c r="V137" s="16"/>
      <c r="W137" s="254"/>
      <c r="X137" s="16"/>
      <c r="Y137" s="16"/>
      <c r="Z137" s="254"/>
      <c r="AA137" s="16"/>
      <c r="AB137" s="16"/>
      <c r="AC137" s="254"/>
      <c r="AD137" s="16"/>
      <c r="AE137" s="16"/>
      <c r="AF137" s="254"/>
      <c r="AG137" s="16"/>
      <c r="AH137" s="16"/>
      <c r="AI137" s="254"/>
      <c r="AJ137" s="16"/>
      <c r="AK137" s="18"/>
      <c r="AL137" s="18"/>
      <c r="AM137" s="18"/>
      <c r="AN137" s="18"/>
      <c r="AO137" s="18"/>
      <c r="AP137" s="18"/>
      <c r="AQ137" s="18"/>
      <c r="AR137" s="18"/>
      <c r="AS137" s="18"/>
      <c r="AT137" s="18"/>
      <c r="AU137" s="18"/>
      <c r="AV137" s="18"/>
      <c r="AW137" s="18"/>
      <c r="AX137" s="18"/>
      <c r="AY137" s="18"/>
      <c r="AZ137" s="18"/>
    </row>
    <row r="138" spans="1:52" ht="15" customHeight="1" x14ac:dyDescent="0.3">
      <c r="A138" s="248"/>
      <c r="B138" s="666" t="s">
        <v>66</v>
      </c>
      <c r="C138" s="337">
        <f>C20/AVERAGE(C53:D53)</f>
        <v>0.15656555046806728</v>
      </c>
      <c r="D138" s="337">
        <f>D20/AVERAGE(D53:E53)</f>
        <v>0.14708814773688084</v>
      </c>
      <c r="E138" s="337">
        <f>E20/AVERAGE(E53:F53)</f>
        <v>0.12555704207142485</v>
      </c>
      <c r="F138" s="647">
        <f>'Financials DF'!C206/100</f>
        <v>9.6600000000000005E-2</v>
      </c>
      <c r="G138" s="337">
        <f>'Financials DF'!D206/100</f>
        <v>7.6600000000000001E-2</v>
      </c>
      <c r="H138" s="337">
        <f>'Financials DF'!E206/100</f>
        <v>4.2000000000000003E-2</v>
      </c>
      <c r="I138" s="337">
        <f>'Financials DF'!F206/100</f>
        <v>0.24850000000000003</v>
      </c>
      <c r="J138" s="337">
        <f>'Financials DF'!G206/100</f>
        <v>0.54270000000000007</v>
      </c>
      <c r="K138" s="680"/>
      <c r="L138" s="650"/>
      <c r="M138" s="376"/>
      <c r="N138" s="376"/>
      <c r="O138" s="376"/>
      <c r="P138" s="376"/>
      <c r="Q138" s="376"/>
      <c r="R138" s="685"/>
      <c r="S138" s="252"/>
      <c r="T138" s="16"/>
      <c r="U138" s="16"/>
      <c r="V138" s="16"/>
      <c r="W138" s="254"/>
      <c r="X138" s="16"/>
      <c r="Y138" s="16"/>
      <c r="Z138" s="254"/>
      <c r="AA138" s="16"/>
      <c r="AB138" s="16"/>
      <c r="AC138" s="254"/>
      <c r="AD138" s="16"/>
      <c r="AE138" s="16"/>
      <c r="AF138" s="254"/>
      <c r="AG138" s="16"/>
      <c r="AH138" s="16"/>
      <c r="AI138" s="254"/>
      <c r="AJ138" s="16"/>
      <c r="AK138" s="18"/>
      <c r="AL138" s="18"/>
      <c r="AM138" s="18"/>
      <c r="AN138" s="18"/>
      <c r="AO138" s="18"/>
      <c r="AP138" s="18"/>
      <c r="AQ138" s="18"/>
      <c r="AR138" s="18"/>
      <c r="AS138" s="18"/>
      <c r="AT138" s="18"/>
      <c r="AU138" s="18"/>
      <c r="AV138" s="18"/>
      <c r="AW138" s="18"/>
      <c r="AX138" s="18"/>
      <c r="AY138" s="18"/>
      <c r="AZ138" s="18"/>
    </row>
    <row r="139" spans="1:52" ht="15" customHeight="1" x14ac:dyDescent="0.3">
      <c r="A139" s="248"/>
      <c r="B139" s="666" t="s">
        <v>686</v>
      </c>
      <c r="C139" s="337">
        <f>C20/AVERAGE(C91:D91)</f>
        <v>6.2674457080595436E-2</v>
      </c>
      <c r="D139" s="337">
        <f>D20/AVERAGE(D91:E91)</f>
        <v>5.9271032269046772E-2</v>
      </c>
      <c r="E139" s="337">
        <f>E20/AVERAGE(E91:F91)</f>
        <v>5.1461206429013549E-2</v>
      </c>
      <c r="F139" s="647">
        <f>'Financials DF'!C55/AVERAGE('Financials DF'!C104:D104)</f>
        <v>3.7501686226898694E-2</v>
      </c>
      <c r="G139" s="337">
        <f>'Financials DF'!D55/AVERAGE('Financials DF'!D104:E104)</f>
        <v>3.7548337050324836E-2</v>
      </c>
      <c r="H139" s="337">
        <f>'Financials DF'!E55/AVERAGE('Financials DF'!E104:F104)</f>
        <v>1.4982579868662766E-2</v>
      </c>
      <c r="I139" s="337">
        <f>'Financials DF'!F55/AVERAGE('Financials DF'!F104:G104)</f>
        <v>0.11619760264995353</v>
      </c>
      <c r="J139" s="337">
        <f>'Financials DF'!G55/AVERAGE('Financials DF'!G104:H104)</f>
        <v>5.3842992190711057E-2</v>
      </c>
      <c r="K139" s="680"/>
      <c r="L139" s="650"/>
      <c r="M139" s="376"/>
      <c r="N139" s="376"/>
      <c r="O139" s="376"/>
      <c r="P139" s="376"/>
      <c r="Q139" s="376"/>
      <c r="R139" s="685"/>
      <c r="S139" s="252"/>
      <c r="T139" s="16"/>
      <c r="U139" s="16"/>
      <c r="V139" s="16"/>
      <c r="W139" s="254"/>
      <c r="X139" s="16"/>
      <c r="Y139" s="16"/>
      <c r="Z139" s="254"/>
      <c r="AA139" s="16"/>
      <c r="AB139" s="16"/>
      <c r="AC139" s="254"/>
      <c r="AD139" s="16"/>
      <c r="AE139" s="16"/>
      <c r="AF139" s="254"/>
      <c r="AG139" s="16"/>
      <c r="AH139" s="16"/>
      <c r="AI139" s="254"/>
      <c r="AJ139" s="16"/>
      <c r="AK139" s="18"/>
      <c r="AL139" s="18"/>
      <c r="AM139" s="18"/>
      <c r="AN139" s="18"/>
      <c r="AO139" s="18"/>
      <c r="AP139" s="18"/>
      <c r="AQ139" s="18"/>
      <c r="AR139" s="18"/>
      <c r="AS139" s="18"/>
      <c r="AT139" s="18"/>
      <c r="AU139" s="18"/>
      <c r="AV139" s="18"/>
      <c r="AW139" s="18"/>
      <c r="AX139" s="18"/>
      <c r="AY139" s="18"/>
      <c r="AZ139" s="18"/>
    </row>
    <row r="140" spans="1:52" ht="15" customHeight="1" x14ac:dyDescent="0.3">
      <c r="A140" s="248"/>
      <c r="B140" s="666" t="s">
        <v>99</v>
      </c>
      <c r="C140" s="409">
        <f>(C11*(1-0.28))/(C53+C58)</f>
        <v>0.11542792244469104</v>
      </c>
      <c r="D140" s="409">
        <f>(D11*(1-0.28))/(D53+D58)</f>
        <v>0.10988291478967988</v>
      </c>
      <c r="E140" s="409">
        <f>(E11*(1-0.28))/(E53+E58)</f>
        <v>9.8093304136627979E-2</v>
      </c>
      <c r="F140" s="668">
        <f>'Financials DF'!C217/100</f>
        <v>8.6199999999999999E-2</v>
      </c>
      <c r="G140" s="409">
        <f>'Financials DF'!D217/100</f>
        <v>8.0100000000000005E-2</v>
      </c>
      <c r="H140" s="409">
        <f>'Financials DF'!E217/100</f>
        <v>6.7799999999999999E-2</v>
      </c>
      <c r="I140" s="409">
        <f>'Financials DF'!F217/100</f>
        <v>0.1802</v>
      </c>
      <c r="J140" s="409">
        <f>'Financials DF'!G217/100</f>
        <v>8.6199999999999999E-2</v>
      </c>
      <c r="K140" s="680"/>
      <c r="L140" s="650"/>
      <c r="M140" s="376"/>
      <c r="N140" s="376"/>
      <c r="O140" s="376"/>
      <c r="P140" s="376"/>
      <c r="Q140" s="376"/>
      <c r="R140" s="685"/>
      <c r="S140" s="252"/>
      <c r="T140" s="16"/>
      <c r="U140" s="16"/>
      <c r="V140" s="16"/>
      <c r="W140" s="254"/>
      <c r="X140" s="16"/>
      <c r="Y140" s="16"/>
      <c r="Z140" s="254"/>
      <c r="AA140" s="16"/>
      <c r="AB140" s="16"/>
      <c r="AC140" s="254"/>
      <c r="AD140" s="16"/>
      <c r="AE140" s="16"/>
      <c r="AF140" s="254"/>
      <c r="AG140" s="16"/>
      <c r="AH140" s="16"/>
      <c r="AI140" s="254"/>
      <c r="AJ140" s="16"/>
      <c r="AK140" s="18"/>
      <c r="AL140" s="18"/>
      <c r="AM140" s="18"/>
      <c r="AN140" s="18"/>
      <c r="AO140" s="18"/>
      <c r="AP140" s="18"/>
      <c r="AQ140" s="18"/>
      <c r="AR140" s="18"/>
      <c r="AS140" s="18"/>
      <c r="AT140" s="18"/>
      <c r="AU140" s="18"/>
      <c r="AV140" s="18"/>
      <c r="AW140" s="18"/>
      <c r="AX140" s="18"/>
      <c r="AY140" s="18"/>
      <c r="AZ140" s="18"/>
    </row>
    <row r="141" spans="1:52" ht="15" customHeight="1" x14ac:dyDescent="0.3">
      <c r="A141" s="248"/>
      <c r="B141" s="666" t="s">
        <v>687</v>
      </c>
      <c r="C141" s="398">
        <f>(C58+C64)/C53</f>
        <v>1.511687039484334</v>
      </c>
      <c r="D141" s="398">
        <f t="shared" ref="D141:J141" si="40">(D58+D64)/D53</f>
        <v>1.4843414851041801</v>
      </c>
      <c r="E141" s="398">
        <f t="shared" si="40"/>
        <v>1.4788535792822723</v>
      </c>
      <c r="F141" s="669">
        <f t="shared" si="40"/>
        <v>1.4004020467836258</v>
      </c>
      <c r="G141" s="398">
        <f t="shared" si="40"/>
        <v>1.4195863632071017</v>
      </c>
      <c r="H141" s="398">
        <f t="shared" si="40"/>
        <v>1.6476171037861007</v>
      </c>
      <c r="I141" s="398">
        <f t="shared" si="40"/>
        <v>1.0923302393746948</v>
      </c>
      <c r="J141" s="398">
        <f t="shared" si="40"/>
        <v>0.97292366778684591</v>
      </c>
      <c r="K141" s="680"/>
      <c r="L141" s="650"/>
      <c r="M141" s="376"/>
      <c r="N141" s="376"/>
      <c r="O141" s="376"/>
      <c r="P141" s="376"/>
      <c r="Q141" s="376"/>
      <c r="R141" s="685"/>
      <c r="S141" s="252"/>
      <c r="T141" s="16"/>
      <c r="U141" s="16"/>
      <c r="V141" s="16"/>
      <c r="W141" s="254"/>
      <c r="X141" s="16"/>
      <c r="Y141" s="16"/>
      <c r="Z141" s="254"/>
      <c r="AA141" s="16"/>
      <c r="AB141" s="16"/>
      <c r="AC141" s="254"/>
      <c r="AD141" s="16"/>
      <c r="AE141" s="16"/>
      <c r="AF141" s="254"/>
      <c r="AG141" s="16"/>
      <c r="AH141" s="16"/>
      <c r="AI141" s="254"/>
      <c r="AJ141" s="16"/>
      <c r="AK141" s="18"/>
      <c r="AL141" s="18"/>
      <c r="AM141" s="18"/>
      <c r="AN141" s="18"/>
      <c r="AO141" s="18"/>
      <c r="AP141" s="18"/>
      <c r="AQ141" s="18"/>
      <c r="AR141" s="18"/>
      <c r="AS141" s="18"/>
      <c r="AT141" s="18"/>
      <c r="AU141" s="18"/>
      <c r="AV141" s="18"/>
      <c r="AW141" s="18"/>
      <c r="AX141" s="18"/>
      <c r="AY141" s="18"/>
      <c r="AZ141" s="18"/>
    </row>
    <row r="142" spans="1:52" ht="15" customHeight="1" x14ac:dyDescent="0.3">
      <c r="A142" s="248"/>
      <c r="B142" s="666"/>
      <c r="C142" s="303"/>
      <c r="D142" s="303"/>
      <c r="E142" s="303"/>
      <c r="F142" s="650"/>
      <c r="G142" s="303"/>
      <c r="H142" s="303"/>
      <c r="I142" s="303"/>
      <c r="J142" s="303"/>
      <c r="K142" s="680"/>
      <c r="L142" s="650"/>
      <c r="M142" s="376"/>
      <c r="N142" s="376"/>
      <c r="O142" s="376"/>
      <c r="P142" s="376"/>
      <c r="Q142" s="376"/>
      <c r="R142" s="685"/>
      <c r="S142" s="252"/>
      <c r="T142" s="16"/>
      <c r="U142" s="16"/>
      <c r="V142" s="16"/>
      <c r="W142" s="254"/>
      <c r="X142" s="16"/>
      <c r="Y142" s="16"/>
      <c r="Z142" s="254"/>
      <c r="AA142" s="16"/>
      <c r="AB142" s="16"/>
      <c r="AC142" s="254"/>
      <c r="AD142" s="16"/>
      <c r="AE142" s="16"/>
      <c r="AF142" s="254"/>
      <c r="AG142" s="16"/>
      <c r="AH142" s="16"/>
      <c r="AI142" s="254"/>
      <c r="AJ142" s="16"/>
      <c r="AK142" s="18"/>
      <c r="AL142" s="18"/>
      <c r="AM142" s="18"/>
      <c r="AN142" s="18"/>
      <c r="AO142" s="18"/>
      <c r="AP142" s="18"/>
      <c r="AQ142" s="18"/>
      <c r="AR142" s="18"/>
      <c r="AS142" s="18"/>
      <c r="AT142" s="18"/>
      <c r="AU142" s="18"/>
      <c r="AV142" s="18"/>
      <c r="AW142" s="18"/>
      <c r="AX142" s="18"/>
      <c r="AY142" s="18"/>
      <c r="AZ142" s="18"/>
    </row>
    <row r="143" spans="1:52" ht="15" customHeight="1" x14ac:dyDescent="0.3">
      <c r="A143" s="248"/>
      <c r="B143" s="665" t="s">
        <v>280</v>
      </c>
      <c r="C143" s="303"/>
      <c r="D143" s="303"/>
      <c r="E143" s="303"/>
      <c r="F143" s="650"/>
      <c r="G143" s="303"/>
      <c r="H143" s="303"/>
      <c r="I143" s="303"/>
      <c r="J143" s="303"/>
      <c r="K143" s="680"/>
      <c r="L143" s="650"/>
      <c r="M143" s="376"/>
      <c r="N143" s="376"/>
      <c r="O143" s="376"/>
      <c r="P143" s="376"/>
      <c r="Q143" s="376"/>
      <c r="R143" s="685"/>
      <c r="S143" s="252"/>
      <c r="T143" s="16"/>
      <c r="U143" s="16"/>
      <c r="V143" s="16"/>
      <c r="W143" s="254"/>
      <c r="X143" s="16"/>
      <c r="Y143" s="16"/>
      <c r="Z143" s="254"/>
      <c r="AA143" s="16"/>
      <c r="AB143" s="16"/>
      <c r="AC143" s="254"/>
      <c r="AD143" s="16"/>
      <c r="AE143" s="16"/>
      <c r="AF143" s="254"/>
      <c r="AG143" s="16"/>
      <c r="AH143" s="16"/>
      <c r="AI143" s="254"/>
      <c r="AJ143" s="16"/>
      <c r="AK143" s="18"/>
      <c r="AL143" s="18"/>
      <c r="AM143" s="18"/>
      <c r="AN143" s="18"/>
      <c r="AO143" s="18"/>
      <c r="AP143" s="18"/>
      <c r="AQ143" s="18"/>
      <c r="AR143" s="18"/>
      <c r="AS143" s="18"/>
      <c r="AT143" s="18"/>
      <c r="AU143" s="18"/>
      <c r="AV143" s="18"/>
      <c r="AW143" s="18"/>
      <c r="AX143" s="18"/>
      <c r="AY143" s="18"/>
      <c r="AZ143" s="18"/>
    </row>
    <row r="144" spans="1:52" ht="15" customHeight="1" x14ac:dyDescent="0.3">
      <c r="A144" s="248"/>
      <c r="B144" s="666" t="str">
        <f>B79</f>
        <v>Stock &amp; Work in Progress</v>
      </c>
      <c r="C144" s="303">
        <f t="shared" ref="C144:I147" si="41">D79-C79</f>
        <v>-37.479716374999953</v>
      </c>
      <c r="D144" s="303">
        <f t="shared" si="41"/>
        <v>-37.942832499999895</v>
      </c>
      <c r="E144" s="303">
        <f t="shared" si="41"/>
        <v>-43.332750000000033</v>
      </c>
      <c r="F144" s="650">
        <f t="shared" si="41"/>
        <v>78</v>
      </c>
      <c r="G144" s="303">
        <f t="shared" si="41"/>
        <v>566</v>
      </c>
      <c r="H144" s="303">
        <f t="shared" si="41"/>
        <v>-642</v>
      </c>
      <c r="I144" s="303">
        <f t="shared" si="41"/>
        <v>25</v>
      </c>
      <c r="J144" s="303"/>
      <c r="K144" s="680"/>
      <c r="L144" s="650"/>
      <c r="M144" s="376"/>
      <c r="N144" s="376"/>
      <c r="O144" s="376"/>
      <c r="P144" s="376"/>
      <c r="Q144" s="376"/>
      <c r="R144" s="685"/>
      <c r="S144" s="252"/>
      <c r="T144" s="16"/>
      <c r="U144" s="16"/>
      <c r="V144" s="16"/>
      <c r="W144" s="254"/>
      <c r="X144" s="16"/>
      <c r="Y144" s="16"/>
      <c r="Z144" s="254"/>
      <c r="AA144" s="16"/>
      <c r="AB144" s="16"/>
      <c r="AC144" s="254"/>
      <c r="AD144" s="16"/>
      <c r="AE144" s="16"/>
      <c r="AF144" s="254"/>
      <c r="AG144" s="16"/>
      <c r="AH144" s="16"/>
      <c r="AI144" s="254"/>
      <c r="AJ144" s="16"/>
      <c r="AK144" s="18"/>
      <c r="AL144" s="18"/>
      <c r="AM144" s="18"/>
      <c r="AN144" s="18"/>
      <c r="AO144" s="18"/>
      <c r="AP144" s="18"/>
      <c r="AQ144" s="18"/>
      <c r="AR144" s="18"/>
      <c r="AS144" s="18"/>
      <c r="AT144" s="18"/>
      <c r="AU144" s="18"/>
      <c r="AV144" s="18"/>
      <c r="AW144" s="18"/>
      <c r="AX144" s="18"/>
      <c r="AY144" s="18"/>
      <c r="AZ144" s="18"/>
    </row>
    <row r="145" spans="1:52" ht="15" customHeight="1" x14ac:dyDescent="0.3">
      <c r="A145" s="248"/>
      <c r="B145" s="666" t="str">
        <f>B80</f>
        <v>Accounts &amp; Notes Receivable</v>
      </c>
      <c r="C145" s="303">
        <f t="shared" si="41"/>
        <v>-202.39046842499965</v>
      </c>
      <c r="D145" s="303">
        <f t="shared" si="41"/>
        <v>-204.89129549999916</v>
      </c>
      <c r="E145" s="303">
        <f t="shared" si="41"/>
        <v>-329.79685000000018</v>
      </c>
      <c r="F145" s="650">
        <f t="shared" si="41"/>
        <v>8</v>
      </c>
      <c r="G145" s="303">
        <f t="shared" si="41"/>
        <v>-248</v>
      </c>
      <c r="H145" s="303">
        <f t="shared" si="41"/>
        <v>-226</v>
      </c>
      <c r="I145" s="303">
        <f t="shared" si="41"/>
        <v>-115</v>
      </c>
      <c r="J145" s="303"/>
      <c r="K145" s="680"/>
      <c r="L145" s="650"/>
      <c r="M145" s="376"/>
      <c r="N145" s="376"/>
      <c r="O145" s="376"/>
      <c r="P145" s="376"/>
      <c r="Q145" s="376"/>
      <c r="R145" s="685"/>
      <c r="S145" s="252"/>
      <c r="T145" s="16"/>
      <c r="U145" s="16"/>
      <c r="V145" s="16"/>
      <c r="W145" s="254"/>
      <c r="X145" s="16"/>
      <c r="Y145" s="16"/>
      <c r="Z145" s="254"/>
      <c r="AA145" s="16"/>
      <c r="AB145" s="16"/>
      <c r="AC145" s="254"/>
      <c r="AD145" s="16"/>
      <c r="AE145" s="16"/>
      <c r="AF145" s="254"/>
      <c r="AG145" s="16"/>
      <c r="AH145" s="16"/>
      <c r="AI145" s="254"/>
      <c r="AJ145" s="16"/>
      <c r="AK145" s="18"/>
      <c r="AL145" s="18"/>
      <c r="AM145" s="18"/>
      <c r="AN145" s="18"/>
      <c r="AO145" s="18"/>
      <c r="AP145" s="18"/>
      <c r="AQ145" s="18"/>
      <c r="AR145" s="18"/>
      <c r="AS145" s="18"/>
      <c r="AT145" s="18"/>
      <c r="AU145" s="18"/>
      <c r="AV145" s="18"/>
      <c r="AW145" s="18"/>
      <c r="AX145" s="18"/>
      <c r="AY145" s="18"/>
      <c r="AZ145" s="18"/>
    </row>
    <row r="146" spans="1:52" ht="15" customHeight="1" x14ac:dyDescent="0.3">
      <c r="A146" s="248"/>
      <c r="B146" s="666" t="str">
        <f>B81</f>
        <v>Short-Term Investments</v>
      </c>
      <c r="C146" s="303">
        <f t="shared" si="41"/>
        <v>0</v>
      </c>
      <c r="D146" s="303">
        <f t="shared" si="41"/>
        <v>0</v>
      </c>
      <c r="E146" s="303">
        <f t="shared" si="41"/>
        <v>0</v>
      </c>
      <c r="F146" s="650">
        <f t="shared" si="41"/>
        <v>2</v>
      </c>
      <c r="G146" s="303" t="e">
        <f t="shared" si="41"/>
        <v>#VALUE!</v>
      </c>
      <c r="H146" s="303" t="e">
        <f t="shared" si="41"/>
        <v>#VALUE!</v>
      </c>
      <c r="I146" s="303" t="e">
        <f t="shared" si="41"/>
        <v>#VALUE!</v>
      </c>
      <c r="J146" s="303"/>
      <c r="K146" s="680"/>
      <c r="L146" s="650"/>
      <c r="M146" s="376"/>
      <c r="N146" s="376"/>
      <c r="O146" s="376"/>
      <c r="P146" s="376"/>
      <c r="Q146" s="376"/>
      <c r="R146" s="685"/>
      <c r="S146" s="252"/>
      <c r="T146" s="16"/>
      <c r="U146" s="16"/>
      <c r="V146" s="16"/>
      <c r="W146" s="254"/>
      <c r="X146" s="16"/>
      <c r="Y146" s="16"/>
      <c r="Z146" s="254"/>
      <c r="AA146" s="16"/>
      <c r="AB146" s="16"/>
      <c r="AC146" s="254"/>
      <c r="AD146" s="16"/>
      <c r="AE146" s="16"/>
      <c r="AF146" s="254"/>
      <c r="AG146" s="16"/>
      <c r="AH146" s="16"/>
      <c r="AI146" s="254"/>
      <c r="AJ146" s="16"/>
      <c r="AK146" s="18"/>
      <c r="AL146" s="18"/>
      <c r="AM146" s="18"/>
      <c r="AN146" s="18"/>
      <c r="AO146" s="18"/>
      <c r="AP146" s="18"/>
      <c r="AQ146" s="18"/>
      <c r="AR146" s="18"/>
      <c r="AS146" s="18"/>
      <c r="AT146" s="18"/>
      <c r="AU146" s="18"/>
      <c r="AV146" s="18"/>
      <c r="AW146" s="18"/>
      <c r="AX146" s="18"/>
      <c r="AY146" s="18"/>
      <c r="AZ146" s="18"/>
    </row>
    <row r="147" spans="1:52" ht="15" customHeight="1" x14ac:dyDescent="0.3">
      <c r="A147" s="248"/>
      <c r="B147" s="666" t="str">
        <f>B82</f>
        <v>Other Current Assets</v>
      </c>
      <c r="C147" s="303">
        <f t="shared" si="41"/>
        <v>-29.983773100000008</v>
      </c>
      <c r="D147" s="303">
        <f t="shared" si="41"/>
        <v>-30.354265999999825</v>
      </c>
      <c r="E147" s="303">
        <f t="shared" si="41"/>
        <v>-48.266200000000026</v>
      </c>
      <c r="F147" s="650">
        <f t="shared" si="41"/>
        <v>112</v>
      </c>
      <c r="G147" s="303">
        <f t="shared" si="41"/>
        <v>147</v>
      </c>
      <c r="H147" s="303">
        <f t="shared" si="41"/>
        <v>60</v>
      </c>
      <c r="I147" s="303">
        <f t="shared" si="41"/>
        <v>175</v>
      </c>
      <c r="J147" s="303"/>
      <c r="K147" s="680"/>
      <c r="L147" s="650"/>
      <c r="M147" s="376"/>
      <c r="N147" s="376"/>
      <c r="O147" s="376"/>
      <c r="P147" s="376"/>
      <c r="Q147" s="376"/>
      <c r="R147" s="685"/>
      <c r="S147" s="252"/>
      <c r="T147" s="16"/>
      <c r="U147" s="16"/>
      <c r="V147" s="16"/>
      <c r="W147" s="254"/>
      <c r="X147" s="16"/>
      <c r="Y147" s="16"/>
      <c r="Z147" s="254"/>
      <c r="AA147" s="16"/>
      <c r="AB147" s="16"/>
      <c r="AC147" s="254"/>
      <c r="AD147" s="16"/>
      <c r="AE147" s="16"/>
      <c r="AF147" s="254"/>
      <c r="AG147" s="16"/>
      <c r="AH147" s="16"/>
      <c r="AI147" s="254"/>
      <c r="AJ147" s="16"/>
      <c r="AK147" s="18"/>
      <c r="AL147" s="18"/>
      <c r="AM147" s="18"/>
      <c r="AN147" s="18"/>
      <c r="AO147" s="18"/>
      <c r="AP147" s="18"/>
      <c r="AQ147" s="18"/>
      <c r="AR147" s="18"/>
      <c r="AS147" s="18"/>
      <c r="AT147" s="18"/>
      <c r="AU147" s="18"/>
      <c r="AV147" s="18"/>
      <c r="AW147" s="18"/>
      <c r="AX147" s="18"/>
      <c r="AY147" s="18"/>
      <c r="AZ147" s="18"/>
    </row>
    <row r="148" spans="1:52" ht="15" customHeight="1" x14ac:dyDescent="0.3">
      <c r="A148" s="248"/>
      <c r="B148" s="667" t="s">
        <v>281</v>
      </c>
      <c r="C148" s="629">
        <f t="shared" ref="C148:I148" si="42">C144+C145+C146+C147</f>
        <v>-269.85395789999961</v>
      </c>
      <c r="D148" s="629">
        <f t="shared" si="42"/>
        <v>-273.18839399999888</v>
      </c>
      <c r="E148" s="629">
        <f t="shared" si="42"/>
        <v>-421.39580000000024</v>
      </c>
      <c r="F148" s="631">
        <f>F144+F145+F146+F147</f>
        <v>200</v>
      </c>
      <c r="G148" s="629" t="e">
        <f t="shared" si="42"/>
        <v>#VALUE!</v>
      </c>
      <c r="H148" s="629" t="e">
        <f t="shared" si="42"/>
        <v>#VALUE!</v>
      </c>
      <c r="I148" s="629" t="e">
        <f t="shared" si="42"/>
        <v>#VALUE!</v>
      </c>
      <c r="J148" s="629"/>
      <c r="K148" s="680"/>
      <c r="L148" s="650"/>
      <c r="M148" s="376"/>
      <c r="N148" s="376"/>
      <c r="O148" s="376"/>
      <c r="P148" s="376"/>
      <c r="Q148" s="376"/>
      <c r="R148" s="685"/>
      <c r="S148" s="252"/>
      <c r="T148" s="16"/>
      <c r="U148" s="16"/>
      <c r="V148" s="16"/>
      <c r="W148" s="254"/>
      <c r="X148" s="16"/>
      <c r="Y148" s="16"/>
      <c r="Z148" s="254"/>
      <c r="AA148" s="16"/>
      <c r="AB148" s="16"/>
      <c r="AC148" s="254"/>
      <c r="AD148" s="16"/>
      <c r="AE148" s="16"/>
      <c r="AF148" s="254"/>
      <c r="AG148" s="16"/>
      <c r="AH148" s="16"/>
      <c r="AI148" s="254"/>
      <c r="AJ148" s="16"/>
      <c r="AK148" s="18"/>
      <c r="AL148" s="18"/>
      <c r="AM148" s="18"/>
      <c r="AN148" s="18"/>
      <c r="AO148" s="18"/>
      <c r="AP148" s="18"/>
      <c r="AQ148" s="18"/>
      <c r="AR148" s="18"/>
      <c r="AS148" s="18"/>
      <c r="AT148" s="18"/>
      <c r="AU148" s="18"/>
      <c r="AV148" s="18"/>
      <c r="AW148" s="18"/>
      <c r="AX148" s="18"/>
      <c r="AY148" s="18"/>
      <c r="AZ148" s="18"/>
    </row>
    <row r="149" spans="1:52" ht="15" customHeight="1" x14ac:dyDescent="0.3">
      <c r="A149" s="248"/>
      <c r="B149" s="666"/>
      <c r="C149" s="303"/>
      <c r="D149" s="303"/>
      <c r="E149" s="303"/>
      <c r="F149" s="650"/>
      <c r="G149" s="303"/>
      <c r="H149" s="303"/>
      <c r="I149" s="303"/>
      <c r="J149" s="303"/>
      <c r="K149" s="680"/>
      <c r="L149" s="650"/>
      <c r="M149" s="376"/>
      <c r="N149" s="376"/>
      <c r="O149" s="376"/>
      <c r="P149" s="376"/>
      <c r="Q149" s="376"/>
      <c r="R149" s="685"/>
      <c r="S149" s="252"/>
      <c r="T149" s="16"/>
      <c r="U149" s="16"/>
      <c r="V149" s="16"/>
      <c r="W149" s="254"/>
      <c r="X149" s="16"/>
      <c r="Y149" s="16"/>
      <c r="Z149" s="254"/>
      <c r="AA149" s="16"/>
      <c r="AB149" s="16"/>
      <c r="AC149" s="254"/>
      <c r="AD149" s="16"/>
      <c r="AE149" s="16"/>
      <c r="AF149" s="254"/>
      <c r="AG149" s="16"/>
      <c r="AH149" s="16"/>
      <c r="AI149" s="254"/>
      <c r="AJ149" s="16"/>
      <c r="AK149" s="18"/>
      <c r="AL149" s="18"/>
      <c r="AM149" s="18"/>
      <c r="AN149" s="18"/>
      <c r="AO149" s="18"/>
      <c r="AP149" s="18"/>
      <c r="AQ149" s="18"/>
      <c r="AR149" s="18"/>
      <c r="AS149" s="18"/>
      <c r="AT149" s="18"/>
      <c r="AU149" s="18"/>
      <c r="AV149" s="18"/>
      <c r="AW149" s="18"/>
      <c r="AX149" s="18"/>
      <c r="AY149" s="18"/>
      <c r="AZ149" s="18"/>
    </row>
    <row r="150" spans="1:52" ht="15" customHeight="1" x14ac:dyDescent="0.3">
      <c r="A150" s="248"/>
      <c r="B150" s="666" t="str">
        <f>B59</f>
        <v>Trade Creditors</v>
      </c>
      <c r="C150" s="303">
        <f t="shared" ref="C150:I150" si="43">C59-D59</f>
        <v>89.951319299999795</v>
      </c>
      <c r="D150" s="303">
        <f t="shared" si="43"/>
        <v>91.062797999999475</v>
      </c>
      <c r="E150" s="303">
        <f t="shared" si="43"/>
        <v>128.79860000000008</v>
      </c>
      <c r="F150" s="650">
        <f t="shared" si="43"/>
        <v>248</v>
      </c>
      <c r="G150" s="303">
        <f t="shared" si="43"/>
        <v>26</v>
      </c>
      <c r="H150" s="303">
        <f t="shared" si="43"/>
        <v>-278</v>
      </c>
      <c r="I150" s="303">
        <f t="shared" si="43"/>
        <v>137</v>
      </c>
      <c r="J150" s="303"/>
      <c r="K150" s="680"/>
      <c r="L150" s="650"/>
      <c r="M150" s="376"/>
      <c r="N150" s="376"/>
      <c r="O150" s="376"/>
      <c r="P150" s="376"/>
      <c r="Q150" s="376"/>
      <c r="R150" s="685"/>
      <c r="S150" s="252"/>
      <c r="T150" s="16"/>
      <c r="U150" s="16"/>
      <c r="V150" s="16"/>
      <c r="W150" s="254"/>
      <c r="X150" s="16"/>
      <c r="Y150" s="16"/>
      <c r="Z150" s="254"/>
      <c r="AA150" s="16"/>
      <c r="AB150" s="16"/>
      <c r="AC150" s="254"/>
      <c r="AD150" s="16"/>
      <c r="AE150" s="16"/>
      <c r="AF150" s="254"/>
      <c r="AG150" s="16"/>
      <c r="AH150" s="16"/>
      <c r="AI150" s="254"/>
      <c r="AJ150" s="16"/>
      <c r="AK150" s="18"/>
      <c r="AL150" s="18"/>
      <c r="AM150" s="18"/>
      <c r="AN150" s="18"/>
      <c r="AO150" s="18"/>
      <c r="AP150" s="18"/>
      <c r="AQ150" s="18"/>
      <c r="AR150" s="18"/>
      <c r="AS150" s="18"/>
      <c r="AT150" s="18"/>
      <c r="AU150" s="18"/>
      <c r="AV150" s="18"/>
      <c r="AW150" s="18"/>
      <c r="AX150" s="18"/>
      <c r="AY150" s="18"/>
      <c r="AZ150" s="18"/>
    </row>
    <row r="151" spans="1:52" ht="15" customHeight="1" x14ac:dyDescent="0.3">
      <c r="A151" s="248"/>
      <c r="B151" s="666" t="str">
        <f>B62</f>
        <v>Other Current Liabilities</v>
      </c>
      <c r="C151" s="303">
        <f t="shared" ref="C151:I151" si="44">C62-D62</f>
        <v>187.39858187499976</v>
      </c>
      <c r="D151" s="303">
        <f t="shared" si="44"/>
        <v>189.71416249999902</v>
      </c>
      <c r="E151" s="303">
        <f t="shared" si="44"/>
        <v>756.66375000000016</v>
      </c>
      <c r="F151" s="650">
        <f t="shared" si="44"/>
        <v>83</v>
      </c>
      <c r="G151" s="303">
        <f t="shared" si="44"/>
        <v>-169</v>
      </c>
      <c r="H151" s="303">
        <f t="shared" si="44"/>
        <v>173</v>
      </c>
      <c r="I151" s="303">
        <f t="shared" si="44"/>
        <v>230</v>
      </c>
      <c r="J151" s="303"/>
      <c r="K151" s="680"/>
      <c r="L151" s="650"/>
      <c r="M151" s="376"/>
      <c r="N151" s="376"/>
      <c r="O151" s="376"/>
      <c r="P151" s="376"/>
      <c r="Q151" s="376"/>
      <c r="R151" s="685"/>
      <c r="S151" s="252"/>
      <c r="T151" s="16"/>
      <c r="U151" s="16"/>
      <c r="V151" s="16"/>
      <c r="W151" s="254"/>
      <c r="X151" s="16"/>
      <c r="Y151" s="16"/>
      <c r="Z151" s="254"/>
      <c r="AA151" s="16"/>
      <c r="AB151" s="16"/>
      <c r="AC151" s="254"/>
      <c r="AD151" s="16"/>
      <c r="AE151" s="16"/>
      <c r="AF151" s="254"/>
      <c r="AG151" s="16"/>
      <c r="AH151" s="16"/>
      <c r="AI151" s="254"/>
      <c r="AJ151" s="16"/>
      <c r="AK151" s="18"/>
      <c r="AL151" s="18"/>
      <c r="AM151" s="18"/>
      <c r="AN151" s="18"/>
      <c r="AO151" s="18"/>
      <c r="AP151" s="18"/>
      <c r="AQ151" s="18"/>
      <c r="AR151" s="18"/>
      <c r="AS151" s="18"/>
      <c r="AT151" s="18"/>
      <c r="AU151" s="18"/>
      <c r="AV151" s="18"/>
      <c r="AW151" s="18"/>
      <c r="AX151" s="18"/>
      <c r="AY151" s="18"/>
      <c r="AZ151" s="18"/>
    </row>
    <row r="152" spans="1:52" ht="15" customHeight="1" x14ac:dyDescent="0.3">
      <c r="A152" s="248"/>
      <c r="B152" s="667" t="s">
        <v>282</v>
      </c>
      <c r="C152" s="629">
        <f t="shared" ref="C152:I152" si="45">SUM(C150:C151)</f>
        <v>277.34990117499956</v>
      </c>
      <c r="D152" s="629">
        <f t="shared" si="45"/>
        <v>280.77696049999849</v>
      </c>
      <c r="E152" s="629">
        <f t="shared" si="45"/>
        <v>885.46235000000024</v>
      </c>
      <c r="F152" s="631">
        <f>SUM(F150:F151)</f>
        <v>331</v>
      </c>
      <c r="G152" s="629">
        <f t="shared" si="45"/>
        <v>-143</v>
      </c>
      <c r="H152" s="629">
        <f t="shared" si="45"/>
        <v>-105</v>
      </c>
      <c r="I152" s="629">
        <f t="shared" si="45"/>
        <v>367</v>
      </c>
      <c r="J152" s="629"/>
      <c r="K152" s="680"/>
      <c r="L152" s="650"/>
      <c r="M152" s="376"/>
      <c r="N152" s="376"/>
      <c r="O152" s="376"/>
      <c r="P152" s="376"/>
      <c r="Q152" s="376"/>
      <c r="R152" s="685"/>
      <c r="S152" s="252"/>
      <c r="T152" s="16"/>
      <c r="U152" s="16"/>
      <c r="V152" s="16"/>
      <c r="W152" s="254"/>
      <c r="X152" s="16"/>
      <c r="Y152" s="16"/>
      <c r="Z152" s="254"/>
      <c r="AA152" s="16"/>
      <c r="AB152" s="16"/>
      <c r="AC152" s="254"/>
      <c r="AD152" s="16"/>
      <c r="AE152" s="16"/>
      <c r="AF152" s="254"/>
      <c r="AG152" s="16"/>
      <c r="AH152" s="16"/>
      <c r="AI152" s="254"/>
      <c r="AJ152" s="16"/>
      <c r="AK152" s="18"/>
      <c r="AL152" s="18"/>
      <c r="AM152" s="18"/>
      <c r="AN152" s="18"/>
      <c r="AO152" s="18"/>
      <c r="AP152" s="18"/>
      <c r="AQ152" s="18"/>
      <c r="AR152" s="18"/>
      <c r="AS152" s="18"/>
      <c r="AT152" s="18"/>
      <c r="AU152" s="18"/>
      <c r="AV152" s="18"/>
      <c r="AW152" s="18"/>
      <c r="AX152" s="18"/>
      <c r="AY152" s="18"/>
      <c r="AZ152" s="18"/>
    </row>
    <row r="153" spans="1:52" ht="15" customHeight="1" x14ac:dyDescent="0.3">
      <c r="A153" s="248"/>
      <c r="B153" s="666"/>
      <c r="C153" s="303"/>
      <c r="D153" s="303"/>
      <c r="E153" s="303"/>
      <c r="F153" s="650"/>
      <c r="G153" s="303"/>
      <c r="H153" s="303"/>
      <c r="I153" s="303"/>
      <c r="J153" s="303"/>
      <c r="K153" s="680"/>
      <c r="L153" s="650"/>
      <c r="M153" s="376"/>
      <c r="N153" s="376"/>
      <c r="O153" s="376"/>
      <c r="P153" s="376"/>
      <c r="Q153" s="376"/>
      <c r="R153" s="685"/>
      <c r="S153" s="252"/>
      <c r="T153" s="16"/>
      <c r="U153" s="16"/>
      <c r="V153" s="16"/>
      <c r="W153" s="254"/>
      <c r="X153" s="16"/>
      <c r="Y153" s="16"/>
      <c r="Z153" s="254"/>
      <c r="AA153" s="16"/>
      <c r="AB153" s="16"/>
      <c r="AC153" s="254"/>
      <c r="AD153" s="16"/>
      <c r="AE153" s="16"/>
      <c r="AF153" s="254"/>
      <c r="AG153" s="16"/>
      <c r="AH153" s="16"/>
      <c r="AI153" s="254"/>
      <c r="AJ153" s="16"/>
      <c r="AK153" s="18"/>
      <c r="AL153" s="18"/>
      <c r="AM153" s="18"/>
      <c r="AN153" s="18"/>
      <c r="AO153" s="18"/>
      <c r="AP153" s="18"/>
      <c r="AQ153" s="18"/>
      <c r="AR153" s="18"/>
      <c r="AS153" s="18"/>
      <c r="AT153" s="18"/>
      <c r="AU153" s="18"/>
      <c r="AV153" s="18"/>
      <c r="AW153" s="18"/>
      <c r="AX153" s="18"/>
      <c r="AY153" s="18"/>
      <c r="AZ153" s="18"/>
    </row>
    <row r="154" spans="1:52" ht="15" customHeight="1" x14ac:dyDescent="0.3">
      <c r="A154" s="248"/>
      <c r="B154" s="667" t="s">
        <v>283</v>
      </c>
      <c r="C154" s="629">
        <f t="shared" ref="C154:I154" si="46">C152+C148</f>
        <v>7.4959432749999451</v>
      </c>
      <c r="D154" s="629">
        <f t="shared" si="46"/>
        <v>7.5885664999996152</v>
      </c>
      <c r="E154" s="629">
        <f t="shared" si="46"/>
        <v>464.06655000000001</v>
      </c>
      <c r="F154" s="631">
        <f>F152+F148</f>
        <v>531</v>
      </c>
      <c r="G154" s="629" t="e">
        <f t="shared" si="46"/>
        <v>#VALUE!</v>
      </c>
      <c r="H154" s="629" t="e">
        <f t="shared" si="46"/>
        <v>#VALUE!</v>
      </c>
      <c r="I154" s="629" t="e">
        <f t="shared" si="46"/>
        <v>#VALUE!</v>
      </c>
      <c r="J154" s="629"/>
      <c r="K154" s="680"/>
      <c r="L154" s="650"/>
      <c r="M154" s="376"/>
      <c r="N154" s="376"/>
      <c r="O154" s="376"/>
      <c r="P154" s="376"/>
      <c r="Q154" s="376"/>
      <c r="R154" s="685"/>
      <c r="S154" s="252"/>
      <c r="T154" s="16"/>
      <c r="U154" s="16"/>
      <c r="V154" s="16"/>
      <c r="W154" s="254"/>
      <c r="X154" s="16"/>
      <c r="Y154" s="16"/>
      <c r="Z154" s="254"/>
      <c r="AA154" s="16"/>
      <c r="AB154" s="16"/>
      <c r="AC154" s="254"/>
      <c r="AD154" s="16"/>
      <c r="AE154" s="16"/>
      <c r="AF154" s="254"/>
      <c r="AG154" s="16"/>
      <c r="AH154" s="16"/>
      <c r="AI154" s="254"/>
      <c r="AJ154" s="16"/>
      <c r="AK154" s="18"/>
      <c r="AL154" s="18"/>
      <c r="AM154" s="18"/>
      <c r="AN154" s="18"/>
      <c r="AO154" s="18"/>
      <c r="AP154" s="18"/>
      <c r="AQ154" s="18"/>
      <c r="AR154" s="18"/>
      <c r="AS154" s="18"/>
      <c r="AT154" s="18"/>
      <c r="AU154" s="18"/>
      <c r="AV154" s="18"/>
      <c r="AW154" s="18"/>
      <c r="AX154" s="18"/>
      <c r="AY154" s="18"/>
      <c r="AZ154" s="18"/>
    </row>
    <row r="155" spans="1:52" ht="15" customHeight="1" x14ac:dyDescent="0.3">
      <c r="A155" s="248"/>
      <c r="B155" s="667"/>
      <c r="C155" s="629"/>
      <c r="D155" s="629"/>
      <c r="E155" s="629"/>
      <c r="F155" s="631"/>
      <c r="G155" s="629"/>
      <c r="H155" s="629"/>
      <c r="I155" s="629"/>
      <c r="J155" s="629"/>
      <c r="K155" s="680"/>
      <c r="L155" s="650"/>
      <c r="M155" s="376"/>
      <c r="N155" s="376"/>
      <c r="O155" s="376"/>
      <c r="P155" s="376"/>
      <c r="Q155" s="376"/>
      <c r="R155" s="685"/>
      <c r="S155" s="252"/>
      <c r="T155" s="16"/>
      <c r="U155" s="16"/>
      <c r="V155" s="16"/>
      <c r="W155" s="254"/>
      <c r="X155" s="16"/>
      <c r="Y155" s="16"/>
      <c r="Z155" s="254"/>
      <c r="AA155" s="16"/>
      <c r="AB155" s="16"/>
      <c r="AC155" s="254"/>
      <c r="AD155" s="16"/>
      <c r="AE155" s="16"/>
      <c r="AF155" s="254"/>
      <c r="AG155" s="16"/>
      <c r="AH155" s="16"/>
      <c r="AI155" s="254"/>
      <c r="AJ155" s="16"/>
      <c r="AK155" s="18"/>
      <c r="AL155" s="18"/>
      <c r="AM155" s="18"/>
      <c r="AN155" s="18"/>
      <c r="AO155" s="18"/>
      <c r="AP155" s="18"/>
      <c r="AQ155" s="18"/>
      <c r="AR155" s="18"/>
      <c r="AS155" s="18"/>
      <c r="AT155" s="18"/>
      <c r="AU155" s="18"/>
      <c r="AV155" s="18"/>
      <c r="AW155" s="18"/>
      <c r="AX155" s="18"/>
      <c r="AY155" s="18"/>
      <c r="AZ155" s="18"/>
    </row>
    <row r="156" spans="1:52" ht="15" customHeight="1" x14ac:dyDescent="0.3">
      <c r="A156" s="248"/>
      <c r="B156" s="653"/>
      <c r="C156" s="303"/>
      <c r="D156" s="303"/>
      <c r="E156" s="303"/>
      <c r="F156" s="650"/>
      <c r="G156" s="303"/>
      <c r="H156" s="303"/>
      <c r="I156" s="303"/>
      <c r="J156" s="303"/>
      <c r="K156" s="680"/>
      <c r="L156" s="650"/>
      <c r="M156" s="376"/>
      <c r="N156" s="376"/>
      <c r="O156" s="376"/>
      <c r="P156" s="376"/>
      <c r="Q156" s="376"/>
      <c r="R156" s="685"/>
      <c r="S156" s="252"/>
      <c r="T156" s="16"/>
      <c r="U156" s="16"/>
      <c r="V156" s="16"/>
      <c r="W156" s="254"/>
      <c r="X156" s="16"/>
      <c r="Y156" s="16"/>
      <c r="Z156" s="254"/>
      <c r="AA156" s="16"/>
      <c r="AB156" s="16"/>
      <c r="AC156" s="254"/>
      <c r="AD156" s="16"/>
      <c r="AE156" s="16"/>
      <c r="AF156" s="254"/>
      <c r="AG156" s="16"/>
      <c r="AH156" s="16"/>
      <c r="AI156" s="254"/>
      <c r="AJ156" s="16"/>
      <c r="AK156" s="18"/>
      <c r="AL156" s="18"/>
      <c r="AM156" s="18"/>
      <c r="AN156" s="18"/>
      <c r="AO156" s="18"/>
      <c r="AP156" s="18"/>
      <c r="AQ156" s="18"/>
      <c r="AR156" s="18"/>
      <c r="AS156" s="18"/>
      <c r="AT156" s="18"/>
      <c r="AU156" s="18"/>
      <c r="AV156" s="18"/>
      <c r="AW156" s="18"/>
      <c r="AX156" s="18"/>
      <c r="AY156" s="18"/>
      <c r="AZ156" s="18"/>
    </row>
    <row r="157" spans="1:52" ht="15" customHeight="1" x14ac:dyDescent="0.3">
      <c r="A157" s="248"/>
      <c r="B157" s="654"/>
      <c r="C157" s="644"/>
      <c r="D157" s="644"/>
      <c r="E157" s="644"/>
      <c r="F157" s="651"/>
      <c r="G157" s="644"/>
      <c r="H157" s="644"/>
      <c r="I157" s="644"/>
      <c r="J157" s="644"/>
      <c r="K157" s="680"/>
      <c r="L157" s="651"/>
      <c r="M157" s="693"/>
      <c r="N157" s="693"/>
      <c r="O157" s="693"/>
      <c r="P157" s="693"/>
      <c r="Q157" s="693"/>
      <c r="R157" s="694"/>
      <c r="S157" s="252"/>
      <c r="T157" s="16"/>
      <c r="U157" s="16"/>
      <c r="V157" s="16"/>
      <c r="W157" s="254"/>
      <c r="X157" s="16"/>
      <c r="Y157" s="16"/>
      <c r="Z157" s="254"/>
      <c r="AA157" s="16"/>
      <c r="AB157" s="16"/>
      <c r="AC157" s="254"/>
      <c r="AD157" s="16"/>
      <c r="AE157" s="16"/>
      <c r="AF157" s="254"/>
      <c r="AG157" s="16"/>
      <c r="AH157" s="16"/>
      <c r="AI157" s="254"/>
      <c r="AJ157" s="16"/>
      <c r="AK157" s="18"/>
      <c r="AL157" s="18"/>
      <c r="AM157" s="18"/>
      <c r="AN157" s="18"/>
      <c r="AO157" s="18"/>
      <c r="AP157" s="18"/>
      <c r="AQ157" s="18"/>
      <c r="AR157" s="18"/>
      <c r="AS157" s="18"/>
      <c r="AT157" s="18"/>
      <c r="AU157" s="18"/>
      <c r="AV157" s="18"/>
      <c r="AW157" s="18"/>
      <c r="AX157" s="18"/>
      <c r="AY157" s="18"/>
      <c r="AZ157" s="18"/>
    </row>
    <row r="158" spans="1:52" x14ac:dyDescent="0.3">
      <c r="A158" s="18"/>
      <c r="B158" s="18"/>
      <c r="C158" s="18"/>
      <c r="D158" s="18"/>
      <c r="E158" s="18"/>
      <c r="F158" s="18"/>
      <c r="G158" s="18"/>
      <c r="H158" s="18"/>
      <c r="I158" s="18"/>
      <c r="J158" s="18"/>
      <c r="K158" s="18"/>
      <c r="L158" s="18"/>
      <c r="M158" s="18"/>
      <c r="N158" s="18"/>
      <c r="O158" s="18"/>
      <c r="P158" s="18"/>
      <c r="Q158" s="18"/>
      <c r="R158" s="18"/>
      <c r="S158" s="17"/>
      <c r="T158" s="18"/>
      <c r="U158" s="18"/>
      <c r="V158" s="18"/>
      <c r="W158" s="250"/>
      <c r="X158" s="18"/>
      <c r="Y158" s="18"/>
      <c r="Z158" s="250"/>
      <c r="AA158" s="18"/>
      <c r="AB158" s="18"/>
      <c r="AC158" s="250"/>
      <c r="AD158" s="18"/>
      <c r="AE158" s="18"/>
      <c r="AF158" s="250"/>
      <c r="AG158" s="18"/>
      <c r="AH158" s="18"/>
      <c r="AI158" s="250"/>
      <c r="AJ158" s="18"/>
      <c r="AK158" s="18"/>
      <c r="AL158" s="18"/>
      <c r="AM158" s="18"/>
      <c r="AN158" s="18"/>
      <c r="AO158" s="18"/>
      <c r="AP158" s="18"/>
      <c r="AQ158" s="18"/>
      <c r="AR158" s="18"/>
      <c r="AS158" s="18"/>
      <c r="AT158" s="18"/>
      <c r="AU158" s="18"/>
      <c r="AV158" s="18"/>
      <c r="AW158" s="18"/>
      <c r="AX158" s="18"/>
      <c r="AY158" s="18"/>
      <c r="AZ158" s="18"/>
    </row>
    <row r="159" spans="1:52" x14ac:dyDescent="0.3">
      <c r="A159" s="18"/>
      <c r="B159" s="18"/>
      <c r="C159" s="18"/>
      <c r="D159" s="18"/>
      <c r="E159" s="18"/>
      <c r="F159" s="18"/>
      <c r="G159" s="18"/>
      <c r="H159" s="18"/>
      <c r="I159" s="18"/>
      <c r="J159" s="18"/>
      <c r="K159" s="18"/>
      <c r="L159" s="18"/>
      <c r="M159" s="18"/>
      <c r="N159" s="18"/>
      <c r="O159" s="18"/>
      <c r="P159" s="18"/>
      <c r="Q159" s="18"/>
      <c r="R159" s="18"/>
      <c r="S159" s="17"/>
      <c r="T159" s="18"/>
      <c r="U159" s="18"/>
      <c r="V159" s="18"/>
      <c r="W159" s="250"/>
      <c r="X159" s="18"/>
      <c r="Y159" s="18"/>
      <c r="Z159" s="250"/>
      <c r="AA159" s="18"/>
      <c r="AB159" s="18"/>
      <c r="AC159" s="250"/>
      <c r="AD159" s="18"/>
      <c r="AE159" s="18"/>
      <c r="AF159" s="250"/>
      <c r="AG159" s="18"/>
      <c r="AH159" s="18"/>
      <c r="AI159" s="250"/>
      <c r="AJ159" s="18"/>
      <c r="AK159" s="18"/>
      <c r="AL159" s="18"/>
      <c r="AM159" s="18"/>
      <c r="AN159" s="18"/>
      <c r="AO159" s="18"/>
      <c r="AP159" s="18"/>
      <c r="AQ159" s="18"/>
      <c r="AR159" s="18"/>
      <c r="AS159" s="18"/>
      <c r="AT159" s="18"/>
      <c r="AU159" s="18"/>
      <c r="AV159" s="18"/>
      <c r="AW159" s="18"/>
      <c r="AX159" s="18"/>
      <c r="AY159" s="18"/>
      <c r="AZ159" s="18"/>
    </row>
    <row r="160" spans="1:52" x14ac:dyDescent="0.3">
      <c r="A160" s="18"/>
      <c r="B160" s="18"/>
      <c r="C160" s="18"/>
      <c r="D160" s="18"/>
      <c r="E160" s="18"/>
      <c r="F160" s="18"/>
      <c r="G160" s="18"/>
      <c r="H160" s="18"/>
      <c r="I160" s="18"/>
      <c r="J160" s="18"/>
      <c r="K160" s="18"/>
      <c r="L160" s="18"/>
      <c r="M160" s="18"/>
      <c r="N160" s="18"/>
      <c r="O160" s="18"/>
      <c r="P160" s="18"/>
      <c r="Q160" s="18"/>
      <c r="R160" s="18"/>
      <c r="S160" s="17"/>
      <c r="T160" s="18"/>
      <c r="U160" s="18"/>
      <c r="V160" s="18"/>
      <c r="W160" s="250"/>
      <c r="X160" s="18"/>
      <c r="Y160" s="18"/>
      <c r="Z160" s="250"/>
      <c r="AA160" s="18"/>
      <c r="AB160" s="18"/>
      <c r="AC160" s="250"/>
      <c r="AD160" s="18"/>
      <c r="AE160" s="18"/>
      <c r="AF160" s="250"/>
      <c r="AG160" s="18"/>
      <c r="AH160" s="18"/>
      <c r="AI160" s="250"/>
      <c r="AJ160" s="18"/>
      <c r="AK160" s="18"/>
      <c r="AL160" s="18"/>
      <c r="AM160" s="18"/>
      <c r="AN160" s="18"/>
      <c r="AO160" s="18"/>
      <c r="AP160" s="18"/>
      <c r="AQ160" s="18"/>
      <c r="AR160" s="18"/>
      <c r="AS160" s="18"/>
      <c r="AT160" s="18"/>
      <c r="AU160" s="18"/>
      <c r="AV160" s="18"/>
      <c r="AW160" s="18"/>
      <c r="AX160" s="18"/>
      <c r="AY160" s="18"/>
      <c r="AZ160" s="18"/>
    </row>
    <row r="161" spans="1:52" x14ac:dyDescent="0.3">
      <c r="A161" s="18"/>
      <c r="B161" s="18"/>
      <c r="C161" s="18"/>
      <c r="D161" s="18"/>
      <c r="E161" s="18"/>
      <c r="F161" s="18"/>
      <c r="G161" s="18"/>
      <c r="H161" s="18"/>
      <c r="I161" s="18"/>
      <c r="J161" s="18"/>
      <c r="K161" s="18"/>
      <c r="L161" s="18"/>
      <c r="M161" s="18"/>
      <c r="N161" s="18"/>
      <c r="O161" s="18"/>
      <c r="P161" s="18"/>
      <c r="Q161" s="18"/>
      <c r="R161" s="18"/>
      <c r="S161" s="17"/>
      <c r="T161" s="18"/>
      <c r="U161" s="18"/>
      <c r="V161" s="18"/>
      <c r="W161" s="250"/>
      <c r="X161" s="18"/>
      <c r="Y161" s="18"/>
      <c r="Z161" s="250"/>
      <c r="AA161" s="18"/>
      <c r="AB161" s="18"/>
      <c r="AC161" s="250"/>
      <c r="AD161" s="18"/>
      <c r="AE161" s="18"/>
      <c r="AF161" s="250"/>
      <c r="AG161" s="18"/>
      <c r="AH161" s="18"/>
      <c r="AI161" s="250"/>
      <c r="AJ161" s="18"/>
      <c r="AK161" s="18"/>
      <c r="AL161" s="18"/>
      <c r="AM161" s="18"/>
      <c r="AN161" s="18"/>
      <c r="AO161" s="18"/>
      <c r="AP161" s="18"/>
      <c r="AQ161" s="18"/>
      <c r="AR161" s="18"/>
      <c r="AS161" s="18"/>
      <c r="AT161" s="18"/>
      <c r="AU161" s="18"/>
      <c r="AV161" s="18"/>
      <c r="AW161" s="18"/>
      <c r="AX161" s="18"/>
      <c r="AY161" s="18"/>
      <c r="AZ161" s="18"/>
    </row>
    <row r="162" spans="1:52" x14ac:dyDescent="0.3">
      <c r="A162" s="18"/>
      <c r="B162" s="18"/>
      <c r="C162" s="18"/>
      <c r="D162" s="18"/>
      <c r="E162" s="18"/>
      <c r="F162" s="18"/>
      <c r="G162" s="18"/>
      <c r="H162" s="18"/>
      <c r="I162" s="18"/>
      <c r="J162" s="18"/>
      <c r="K162" s="18"/>
      <c r="L162" s="18"/>
      <c r="M162" s="18"/>
      <c r="N162" s="18"/>
      <c r="O162" s="18"/>
      <c r="P162" s="18"/>
      <c r="Q162" s="18"/>
      <c r="R162" s="18"/>
      <c r="S162" s="17"/>
      <c r="T162" s="18"/>
      <c r="U162" s="18"/>
      <c r="V162" s="18"/>
      <c r="W162" s="250"/>
      <c r="X162" s="18"/>
      <c r="Y162" s="18"/>
      <c r="Z162" s="250"/>
      <c r="AA162" s="18"/>
      <c r="AB162" s="18"/>
      <c r="AC162" s="250"/>
      <c r="AD162" s="18"/>
      <c r="AE162" s="18"/>
      <c r="AF162" s="250"/>
      <c r="AG162" s="18"/>
      <c r="AH162" s="18"/>
      <c r="AI162" s="250"/>
      <c r="AJ162" s="18"/>
      <c r="AK162" s="18"/>
      <c r="AL162" s="18"/>
      <c r="AM162" s="18"/>
      <c r="AN162" s="18"/>
      <c r="AO162" s="18"/>
      <c r="AP162" s="18"/>
      <c r="AQ162" s="18"/>
      <c r="AR162" s="18"/>
      <c r="AS162" s="18"/>
      <c r="AT162" s="18"/>
      <c r="AU162" s="18"/>
      <c r="AV162" s="18"/>
      <c r="AW162" s="18"/>
      <c r="AX162" s="18"/>
      <c r="AY162" s="18"/>
      <c r="AZ162" s="18"/>
    </row>
    <row r="163" spans="1:52" x14ac:dyDescent="0.3">
      <c r="A163" s="18"/>
      <c r="B163" s="18"/>
      <c r="C163" s="18"/>
      <c r="D163" s="18"/>
      <c r="E163" s="18"/>
      <c r="F163" s="18"/>
      <c r="G163" s="18"/>
      <c r="H163" s="18"/>
      <c r="I163" s="18"/>
      <c r="J163" s="18"/>
      <c r="K163" s="18"/>
      <c r="L163" s="18"/>
      <c r="M163" s="18"/>
      <c r="N163" s="18"/>
      <c r="O163" s="18"/>
      <c r="P163" s="18"/>
      <c r="Q163" s="18"/>
      <c r="R163" s="18"/>
      <c r="S163" s="17"/>
      <c r="T163" s="18"/>
      <c r="U163" s="18"/>
      <c r="V163" s="18"/>
      <c r="W163" s="250"/>
      <c r="X163" s="18"/>
      <c r="Y163" s="18"/>
      <c r="Z163" s="250"/>
      <c r="AA163" s="18"/>
      <c r="AB163" s="18"/>
      <c r="AC163" s="250"/>
      <c r="AD163" s="18"/>
      <c r="AE163" s="18"/>
      <c r="AF163" s="250"/>
      <c r="AG163" s="18"/>
      <c r="AH163" s="18"/>
      <c r="AI163" s="250"/>
      <c r="AJ163" s="18"/>
      <c r="AK163" s="18"/>
      <c r="AL163" s="18"/>
      <c r="AM163" s="18"/>
      <c r="AN163" s="18"/>
      <c r="AO163" s="18"/>
      <c r="AP163" s="18"/>
      <c r="AQ163" s="18"/>
      <c r="AR163" s="18"/>
      <c r="AS163" s="18"/>
      <c r="AT163" s="18"/>
      <c r="AU163" s="18"/>
      <c r="AV163" s="18"/>
      <c r="AW163" s="18"/>
      <c r="AX163" s="18"/>
      <c r="AY163" s="18"/>
      <c r="AZ163" s="18"/>
    </row>
    <row r="164" spans="1:52" x14ac:dyDescent="0.3">
      <c r="A164" s="18"/>
      <c r="B164" s="18"/>
      <c r="C164" s="18"/>
      <c r="D164" s="18"/>
      <c r="E164" s="18"/>
      <c r="F164" s="18"/>
      <c r="G164" s="18"/>
      <c r="H164" s="18"/>
      <c r="I164" s="18"/>
      <c r="J164" s="18"/>
      <c r="K164" s="18"/>
      <c r="L164" s="18"/>
      <c r="M164" s="18"/>
      <c r="N164" s="18"/>
      <c r="O164" s="18"/>
      <c r="P164" s="18"/>
      <c r="Q164" s="18"/>
      <c r="R164" s="18"/>
      <c r="S164" s="17"/>
      <c r="T164" s="18"/>
      <c r="U164" s="18"/>
      <c r="V164" s="18"/>
      <c r="W164" s="250"/>
      <c r="X164" s="18"/>
      <c r="Y164" s="18"/>
      <c r="Z164" s="250"/>
      <c r="AA164" s="18"/>
      <c r="AB164" s="18"/>
      <c r="AC164" s="250"/>
      <c r="AD164" s="18"/>
      <c r="AE164" s="18"/>
      <c r="AF164" s="250"/>
      <c r="AG164" s="18"/>
      <c r="AH164" s="18"/>
      <c r="AI164" s="250"/>
      <c r="AJ164" s="18"/>
      <c r="AK164" s="18"/>
      <c r="AL164" s="18"/>
      <c r="AM164" s="18"/>
      <c r="AN164" s="18"/>
      <c r="AO164" s="18"/>
      <c r="AP164" s="18"/>
      <c r="AQ164" s="18"/>
      <c r="AR164" s="18"/>
      <c r="AS164" s="18"/>
      <c r="AT164" s="18"/>
      <c r="AU164" s="18"/>
      <c r="AV164" s="18"/>
      <c r="AW164" s="18"/>
      <c r="AX164" s="18"/>
      <c r="AY164" s="18"/>
      <c r="AZ164" s="18"/>
    </row>
    <row r="165" spans="1:52" x14ac:dyDescent="0.3">
      <c r="A165" s="18"/>
      <c r="B165" s="18"/>
      <c r="C165" s="18"/>
      <c r="D165" s="18"/>
      <c r="E165" s="18"/>
      <c r="F165" s="18"/>
      <c r="G165" s="18"/>
      <c r="H165" s="18"/>
      <c r="I165" s="18"/>
      <c r="J165" s="18"/>
      <c r="K165" s="18"/>
      <c r="L165" s="18"/>
      <c r="M165" s="18"/>
      <c r="N165" s="18"/>
      <c r="O165" s="18"/>
      <c r="P165" s="18"/>
      <c r="Q165" s="18"/>
      <c r="R165" s="18"/>
      <c r="S165" s="17"/>
      <c r="T165" s="18"/>
      <c r="U165" s="18"/>
      <c r="V165" s="18"/>
      <c r="W165" s="250"/>
      <c r="X165" s="18"/>
      <c r="Y165" s="18"/>
      <c r="Z165" s="250"/>
      <c r="AA165" s="18"/>
      <c r="AB165" s="18"/>
      <c r="AC165" s="250"/>
      <c r="AD165" s="18"/>
      <c r="AE165" s="18"/>
      <c r="AF165" s="250"/>
      <c r="AG165" s="18"/>
      <c r="AH165" s="18"/>
      <c r="AI165" s="250"/>
      <c r="AJ165" s="18"/>
      <c r="AK165" s="18"/>
      <c r="AL165" s="18"/>
      <c r="AM165" s="18"/>
      <c r="AN165" s="18"/>
      <c r="AO165" s="18"/>
      <c r="AP165" s="18"/>
      <c r="AQ165" s="18"/>
      <c r="AR165" s="18"/>
      <c r="AS165" s="18"/>
      <c r="AT165" s="18"/>
      <c r="AU165" s="18"/>
      <c r="AV165" s="18"/>
      <c r="AW165" s="18"/>
      <c r="AX165" s="18"/>
      <c r="AY165" s="18"/>
      <c r="AZ165" s="18"/>
    </row>
    <row r="166" spans="1:52" x14ac:dyDescent="0.3">
      <c r="A166" s="18"/>
      <c r="B166" s="18"/>
      <c r="C166" s="18"/>
      <c r="D166" s="18"/>
      <c r="E166" s="18"/>
      <c r="F166" s="18"/>
      <c r="G166" s="18"/>
      <c r="H166" s="18"/>
      <c r="I166" s="18"/>
      <c r="J166" s="18"/>
      <c r="K166" s="18"/>
      <c r="L166" s="18"/>
      <c r="M166" s="18"/>
      <c r="N166" s="18"/>
      <c r="O166" s="18"/>
      <c r="P166" s="18"/>
      <c r="Q166" s="18"/>
      <c r="R166" s="18"/>
      <c r="S166" s="17"/>
      <c r="T166" s="18"/>
      <c r="U166" s="18"/>
      <c r="V166" s="18"/>
      <c r="W166" s="250"/>
      <c r="X166" s="18"/>
      <c r="Y166" s="18"/>
      <c r="Z166" s="250"/>
      <c r="AA166" s="18"/>
      <c r="AB166" s="18"/>
      <c r="AC166" s="250"/>
      <c r="AD166" s="18"/>
      <c r="AE166" s="18"/>
      <c r="AF166" s="250"/>
      <c r="AG166" s="18"/>
      <c r="AH166" s="18"/>
      <c r="AI166" s="250"/>
      <c r="AJ166" s="18"/>
      <c r="AK166" s="18"/>
      <c r="AL166" s="18"/>
      <c r="AM166" s="18"/>
      <c r="AN166" s="18"/>
      <c r="AO166" s="18"/>
      <c r="AP166" s="18"/>
      <c r="AQ166" s="18"/>
      <c r="AR166" s="18"/>
      <c r="AS166" s="18"/>
      <c r="AT166" s="18"/>
      <c r="AU166" s="18"/>
      <c r="AV166" s="18"/>
      <c r="AW166" s="18"/>
      <c r="AX166" s="18"/>
      <c r="AY166" s="18"/>
      <c r="AZ166" s="18"/>
    </row>
    <row r="167" spans="1:52" x14ac:dyDescent="0.3">
      <c r="A167" s="18"/>
      <c r="B167" s="18"/>
      <c r="C167" s="18"/>
      <c r="D167" s="18"/>
      <c r="E167" s="18"/>
      <c r="F167" s="18"/>
      <c r="G167" s="18"/>
      <c r="H167" s="18"/>
      <c r="I167" s="18"/>
      <c r="J167" s="18"/>
      <c r="K167" s="18"/>
      <c r="L167" s="18"/>
      <c r="M167" s="18"/>
      <c r="N167" s="18"/>
      <c r="O167" s="18"/>
      <c r="P167" s="18"/>
      <c r="Q167" s="18"/>
      <c r="R167" s="18"/>
      <c r="S167" s="17"/>
      <c r="T167" s="18"/>
      <c r="U167" s="18"/>
      <c r="V167" s="18"/>
      <c r="W167" s="250"/>
      <c r="X167" s="18"/>
      <c r="Y167" s="18"/>
      <c r="Z167" s="250"/>
      <c r="AA167" s="18"/>
      <c r="AB167" s="18"/>
      <c r="AC167" s="250"/>
      <c r="AD167" s="18"/>
      <c r="AE167" s="18"/>
      <c r="AF167" s="250"/>
      <c r="AG167" s="18"/>
      <c r="AH167" s="18"/>
      <c r="AI167" s="250"/>
      <c r="AJ167" s="18"/>
      <c r="AK167" s="18"/>
      <c r="AL167" s="18"/>
      <c r="AM167" s="18"/>
      <c r="AN167" s="18"/>
      <c r="AO167" s="18"/>
      <c r="AP167" s="18"/>
      <c r="AQ167" s="18"/>
      <c r="AR167" s="18"/>
      <c r="AS167" s="18"/>
      <c r="AT167" s="18"/>
      <c r="AU167" s="18"/>
      <c r="AV167" s="18"/>
      <c r="AW167" s="18"/>
      <c r="AX167" s="18"/>
      <c r="AY167" s="18"/>
      <c r="AZ167" s="18"/>
    </row>
    <row r="168" spans="1:52" x14ac:dyDescent="0.3">
      <c r="A168" s="18"/>
      <c r="B168" s="18"/>
      <c r="C168" s="18"/>
      <c r="D168" s="18"/>
      <c r="E168" s="18"/>
      <c r="F168" s="18"/>
      <c r="G168" s="18"/>
      <c r="H168" s="18"/>
      <c r="I168" s="18"/>
      <c r="J168" s="18"/>
      <c r="K168" s="18"/>
      <c r="L168" s="18"/>
      <c r="M168" s="18"/>
      <c r="N168" s="18"/>
      <c r="O168" s="18"/>
      <c r="P168" s="18"/>
      <c r="Q168" s="18"/>
      <c r="R168" s="18"/>
      <c r="S168" s="17"/>
      <c r="T168" s="18"/>
      <c r="U168" s="18"/>
      <c r="V168" s="18"/>
      <c r="W168" s="250"/>
      <c r="X168" s="18"/>
      <c r="Y168" s="18"/>
      <c r="Z168" s="250"/>
      <c r="AA168" s="18"/>
      <c r="AB168" s="18"/>
      <c r="AC168" s="250"/>
      <c r="AD168" s="18"/>
      <c r="AE168" s="18"/>
      <c r="AF168" s="250"/>
      <c r="AG168" s="18"/>
      <c r="AH168" s="18"/>
      <c r="AI168" s="250"/>
      <c r="AJ168" s="18"/>
      <c r="AK168" s="18"/>
      <c r="AL168" s="18"/>
      <c r="AM168" s="18"/>
      <c r="AN168" s="18"/>
      <c r="AO168" s="18"/>
      <c r="AP168" s="18"/>
      <c r="AQ168" s="18"/>
      <c r="AR168" s="18"/>
      <c r="AS168" s="18"/>
      <c r="AT168" s="18"/>
      <c r="AU168" s="18"/>
      <c r="AV168" s="18"/>
      <c r="AW168" s="18"/>
      <c r="AX168" s="18"/>
      <c r="AY168" s="18"/>
      <c r="AZ168" s="18"/>
    </row>
    <row r="169" spans="1:52" x14ac:dyDescent="0.3">
      <c r="A169" s="18"/>
      <c r="B169" s="18"/>
      <c r="C169" s="18"/>
      <c r="D169" s="18"/>
      <c r="E169" s="18"/>
      <c r="F169" s="18"/>
      <c r="G169" s="18"/>
      <c r="H169" s="18"/>
      <c r="I169" s="18"/>
      <c r="J169" s="18"/>
      <c r="K169" s="18"/>
      <c r="L169" s="18"/>
      <c r="M169" s="18"/>
      <c r="N169" s="18"/>
      <c r="O169" s="18"/>
      <c r="P169" s="18"/>
      <c r="Q169" s="18"/>
      <c r="R169" s="18"/>
      <c r="S169" s="17"/>
      <c r="T169" s="18"/>
      <c r="U169" s="18"/>
      <c r="V169" s="18"/>
      <c r="W169" s="250"/>
      <c r="X169" s="18"/>
      <c r="Y169" s="18"/>
      <c r="Z169" s="250"/>
      <c r="AA169" s="18"/>
      <c r="AB169" s="18"/>
      <c r="AC169" s="250"/>
      <c r="AD169" s="18"/>
      <c r="AE169" s="18"/>
      <c r="AF169" s="250"/>
      <c r="AG169" s="18"/>
      <c r="AH169" s="18"/>
      <c r="AI169" s="250"/>
      <c r="AJ169" s="18"/>
      <c r="AK169" s="18"/>
      <c r="AL169" s="18"/>
      <c r="AM169" s="18"/>
      <c r="AN169" s="18"/>
      <c r="AO169" s="18"/>
      <c r="AP169" s="18"/>
      <c r="AQ169" s="18"/>
      <c r="AR169" s="18"/>
      <c r="AS169" s="18"/>
      <c r="AT169" s="18"/>
      <c r="AU169" s="18"/>
      <c r="AV169" s="18"/>
      <c r="AW169" s="18"/>
      <c r="AX169" s="18"/>
      <c r="AY169" s="18"/>
      <c r="AZ169" s="18"/>
    </row>
    <row r="170" spans="1:52" x14ac:dyDescent="0.3">
      <c r="A170" s="18"/>
      <c r="B170" s="18"/>
      <c r="C170" s="18"/>
      <c r="D170" s="18"/>
      <c r="E170" s="18"/>
      <c r="F170" s="18"/>
      <c r="G170" s="18"/>
      <c r="H170" s="18"/>
      <c r="I170" s="18"/>
      <c r="J170" s="18"/>
      <c r="K170" s="18"/>
      <c r="L170" s="18"/>
      <c r="M170" s="18"/>
      <c r="N170" s="18"/>
      <c r="O170" s="18"/>
      <c r="P170" s="18"/>
      <c r="Q170" s="18"/>
      <c r="R170" s="18"/>
      <c r="S170" s="17"/>
      <c r="T170" s="18"/>
      <c r="U170" s="18"/>
      <c r="V170" s="18"/>
      <c r="W170" s="250"/>
      <c r="X170" s="18"/>
      <c r="Y170" s="18"/>
      <c r="Z170" s="250"/>
      <c r="AA170" s="18"/>
      <c r="AB170" s="18"/>
      <c r="AC170" s="250"/>
      <c r="AD170" s="18"/>
      <c r="AE170" s="18"/>
      <c r="AF170" s="250"/>
      <c r="AG170" s="18"/>
      <c r="AH170" s="18"/>
      <c r="AI170" s="250"/>
      <c r="AJ170" s="18"/>
      <c r="AK170" s="18"/>
      <c r="AL170" s="18"/>
      <c r="AM170" s="18"/>
      <c r="AN170" s="18"/>
      <c r="AO170" s="18"/>
      <c r="AP170" s="18"/>
      <c r="AQ170" s="18"/>
      <c r="AR170" s="18"/>
      <c r="AS170" s="18"/>
      <c r="AT170" s="18"/>
      <c r="AU170" s="18"/>
      <c r="AV170" s="18"/>
      <c r="AW170" s="18"/>
      <c r="AX170" s="18"/>
      <c r="AY170" s="18"/>
      <c r="AZ170" s="18"/>
    </row>
    <row r="171" spans="1:52" x14ac:dyDescent="0.3">
      <c r="A171" s="18"/>
      <c r="B171" s="18"/>
      <c r="C171" s="18"/>
      <c r="D171" s="18"/>
      <c r="E171" s="18"/>
      <c r="F171" s="18"/>
      <c r="G171" s="18"/>
      <c r="H171" s="18"/>
      <c r="I171" s="18"/>
      <c r="J171" s="18"/>
      <c r="K171" s="18"/>
      <c r="L171" s="18"/>
      <c r="M171" s="18"/>
      <c r="N171" s="18"/>
      <c r="O171" s="18"/>
      <c r="P171" s="18"/>
      <c r="Q171" s="18"/>
      <c r="R171" s="18"/>
      <c r="S171" s="17"/>
      <c r="T171" s="18"/>
      <c r="U171" s="18"/>
      <c r="V171" s="18"/>
      <c r="W171" s="250"/>
      <c r="X171" s="18"/>
      <c r="Y171" s="18"/>
      <c r="Z171" s="250"/>
      <c r="AA171" s="18"/>
      <c r="AB171" s="18"/>
      <c r="AC171" s="250"/>
      <c r="AD171" s="18"/>
      <c r="AE171" s="18"/>
      <c r="AF171" s="250"/>
      <c r="AG171" s="18"/>
      <c r="AH171" s="18"/>
      <c r="AI171" s="250"/>
      <c r="AJ171" s="18"/>
      <c r="AK171" s="18"/>
      <c r="AL171" s="18"/>
      <c r="AM171" s="18"/>
      <c r="AN171" s="18"/>
      <c r="AO171" s="18"/>
      <c r="AP171" s="18"/>
      <c r="AQ171" s="18"/>
      <c r="AR171" s="18"/>
      <c r="AS171" s="18"/>
      <c r="AT171" s="18"/>
      <c r="AU171" s="18"/>
      <c r="AV171" s="18"/>
      <c r="AW171" s="18"/>
      <c r="AX171" s="18"/>
      <c r="AY171" s="18"/>
      <c r="AZ171" s="18"/>
    </row>
    <row r="172" spans="1:52" x14ac:dyDescent="0.3">
      <c r="A172" s="18"/>
      <c r="B172" s="18"/>
      <c r="C172" s="18"/>
      <c r="D172" s="18"/>
      <c r="E172" s="18"/>
      <c r="F172" s="18"/>
      <c r="G172" s="18"/>
      <c r="H172" s="18"/>
      <c r="I172" s="18"/>
      <c r="J172" s="18"/>
      <c r="K172" s="18"/>
      <c r="L172" s="18"/>
      <c r="M172" s="18"/>
      <c r="N172" s="18"/>
      <c r="O172" s="18"/>
      <c r="P172" s="18"/>
      <c r="Q172" s="18"/>
      <c r="R172" s="18"/>
      <c r="S172" s="17"/>
      <c r="T172" s="18"/>
      <c r="U172" s="18"/>
      <c r="V172" s="18"/>
      <c r="W172" s="250"/>
      <c r="X172" s="18"/>
      <c r="Y172" s="18"/>
      <c r="Z172" s="250"/>
      <c r="AA172" s="18"/>
      <c r="AB172" s="18"/>
      <c r="AC172" s="250"/>
      <c r="AD172" s="18"/>
      <c r="AE172" s="18"/>
      <c r="AF172" s="250"/>
      <c r="AG172" s="18"/>
      <c r="AH172" s="18"/>
      <c r="AI172" s="250"/>
      <c r="AJ172" s="18"/>
      <c r="AK172" s="18"/>
      <c r="AL172" s="18"/>
      <c r="AM172" s="18"/>
      <c r="AN172" s="18"/>
      <c r="AO172" s="18"/>
      <c r="AP172" s="18"/>
      <c r="AQ172" s="18"/>
      <c r="AR172" s="18"/>
      <c r="AS172" s="18"/>
      <c r="AT172" s="18"/>
      <c r="AU172" s="18"/>
      <c r="AV172" s="18"/>
      <c r="AW172" s="18"/>
      <c r="AX172" s="18"/>
      <c r="AY172" s="18"/>
      <c r="AZ172" s="18"/>
    </row>
    <row r="173" spans="1:52" x14ac:dyDescent="0.3">
      <c r="A173" s="18"/>
      <c r="B173" s="18"/>
      <c r="C173" s="18"/>
      <c r="D173" s="18"/>
      <c r="E173" s="18"/>
      <c r="F173" s="18"/>
      <c r="G173" s="18"/>
      <c r="H173" s="18"/>
      <c r="I173" s="18"/>
      <c r="J173" s="18"/>
      <c r="K173" s="18"/>
      <c r="L173" s="18"/>
      <c r="M173" s="18"/>
      <c r="N173" s="18"/>
      <c r="O173" s="18"/>
      <c r="P173" s="18"/>
      <c r="Q173" s="18"/>
      <c r="R173" s="18"/>
      <c r="S173" s="17"/>
      <c r="T173" s="18"/>
      <c r="U173" s="18"/>
      <c r="V173" s="18"/>
      <c r="W173" s="250"/>
      <c r="X173" s="18"/>
      <c r="Y173" s="18"/>
      <c r="Z173" s="250"/>
      <c r="AA173" s="18"/>
      <c r="AB173" s="18"/>
      <c r="AC173" s="250"/>
      <c r="AD173" s="18"/>
      <c r="AE173" s="18"/>
      <c r="AF173" s="250"/>
      <c r="AG173" s="18"/>
      <c r="AH173" s="18"/>
      <c r="AI173" s="250"/>
      <c r="AJ173" s="18"/>
      <c r="AK173" s="18"/>
      <c r="AL173" s="18"/>
      <c r="AM173" s="18"/>
      <c r="AN173" s="18"/>
      <c r="AO173" s="18"/>
      <c r="AP173" s="18"/>
      <c r="AQ173" s="18"/>
      <c r="AR173" s="18"/>
      <c r="AS173" s="18"/>
      <c r="AT173" s="18"/>
      <c r="AU173" s="18"/>
      <c r="AV173" s="18"/>
      <c r="AW173" s="18"/>
      <c r="AX173" s="18"/>
      <c r="AY173" s="18"/>
      <c r="AZ173" s="18"/>
    </row>
    <row r="174" spans="1:52" x14ac:dyDescent="0.3">
      <c r="A174" s="18"/>
      <c r="B174" s="18"/>
      <c r="C174" s="18"/>
      <c r="D174" s="18"/>
      <c r="E174" s="18"/>
      <c r="F174" s="18"/>
      <c r="G174" s="18"/>
      <c r="H174" s="18"/>
      <c r="I174" s="18"/>
      <c r="J174" s="18"/>
      <c r="K174" s="18"/>
      <c r="L174" s="18"/>
      <c r="M174" s="18"/>
      <c r="N174" s="18"/>
      <c r="O174" s="18"/>
      <c r="P174" s="18"/>
      <c r="Q174" s="18"/>
      <c r="R174" s="18"/>
      <c r="S174" s="17"/>
      <c r="T174" s="18"/>
      <c r="U174" s="18"/>
      <c r="V174" s="18"/>
      <c r="W174" s="250"/>
      <c r="X174" s="18"/>
      <c r="Y174" s="18"/>
      <c r="Z174" s="250"/>
      <c r="AA174" s="18"/>
      <c r="AB174" s="18"/>
      <c r="AC174" s="250"/>
      <c r="AD174" s="18"/>
      <c r="AE174" s="18"/>
      <c r="AF174" s="250"/>
      <c r="AG174" s="18"/>
      <c r="AH174" s="18"/>
      <c r="AI174" s="250"/>
      <c r="AJ174" s="18"/>
      <c r="AK174" s="18"/>
      <c r="AL174" s="18"/>
      <c r="AM174" s="18"/>
      <c r="AN174" s="18"/>
      <c r="AO174" s="18"/>
      <c r="AP174" s="18"/>
      <c r="AQ174" s="18"/>
      <c r="AR174" s="18"/>
      <c r="AS174" s="18"/>
      <c r="AT174" s="18"/>
      <c r="AU174" s="18"/>
      <c r="AV174" s="18"/>
      <c r="AW174" s="18"/>
      <c r="AX174" s="18"/>
      <c r="AY174" s="18"/>
      <c r="AZ174" s="18"/>
    </row>
    <row r="175" spans="1:52" x14ac:dyDescent="0.3">
      <c r="A175" s="18"/>
      <c r="B175" s="18"/>
      <c r="C175" s="18"/>
      <c r="D175" s="18"/>
      <c r="E175" s="18"/>
      <c r="F175" s="18"/>
      <c r="G175" s="18"/>
      <c r="H175" s="18"/>
      <c r="I175" s="18"/>
      <c r="J175" s="18"/>
      <c r="K175" s="18"/>
      <c r="L175" s="18"/>
      <c r="M175" s="18"/>
      <c r="N175" s="18"/>
      <c r="O175" s="18"/>
      <c r="P175" s="18"/>
      <c r="Q175" s="18"/>
      <c r="R175" s="18"/>
      <c r="S175" s="17"/>
      <c r="T175" s="18"/>
      <c r="U175" s="18"/>
      <c r="V175" s="18"/>
      <c r="W175" s="250"/>
      <c r="X175" s="18"/>
      <c r="Y175" s="18"/>
      <c r="Z175" s="250"/>
      <c r="AA175" s="18"/>
      <c r="AB175" s="18"/>
      <c r="AC175" s="250"/>
      <c r="AD175" s="18"/>
      <c r="AE175" s="18"/>
      <c r="AF175" s="250"/>
      <c r="AG175" s="18"/>
      <c r="AH175" s="18"/>
      <c r="AI175" s="250"/>
      <c r="AJ175" s="18"/>
      <c r="AK175" s="18"/>
      <c r="AL175" s="18"/>
      <c r="AM175" s="18"/>
      <c r="AN175" s="18"/>
      <c r="AO175" s="18"/>
      <c r="AP175" s="18"/>
      <c r="AQ175" s="18"/>
      <c r="AR175" s="18"/>
      <c r="AS175" s="18"/>
      <c r="AT175" s="18"/>
      <c r="AU175" s="18"/>
      <c r="AV175" s="18"/>
      <c r="AW175" s="18"/>
      <c r="AX175" s="18"/>
      <c r="AY175" s="18"/>
      <c r="AZ175" s="18"/>
    </row>
    <row r="176" spans="1:52" x14ac:dyDescent="0.3">
      <c r="A176" s="18"/>
      <c r="B176" s="18"/>
      <c r="C176" s="18"/>
      <c r="D176" s="18"/>
      <c r="E176" s="18"/>
      <c r="F176" s="18"/>
      <c r="G176" s="18"/>
      <c r="H176" s="18"/>
      <c r="I176" s="18"/>
      <c r="J176" s="18"/>
      <c r="K176" s="18"/>
      <c r="L176" s="18"/>
      <c r="M176" s="18"/>
      <c r="N176" s="18"/>
      <c r="O176" s="18"/>
      <c r="P176" s="18"/>
      <c r="Q176" s="18"/>
      <c r="R176" s="18"/>
      <c r="S176" s="17"/>
      <c r="T176" s="18"/>
      <c r="U176" s="18"/>
      <c r="V176" s="18"/>
      <c r="W176" s="250"/>
      <c r="X176" s="18"/>
      <c r="Y176" s="18"/>
      <c r="Z176" s="250"/>
      <c r="AA176" s="18"/>
      <c r="AB176" s="18"/>
      <c r="AC176" s="250"/>
      <c r="AD176" s="18"/>
      <c r="AE176" s="18"/>
      <c r="AF176" s="250"/>
      <c r="AG176" s="18"/>
      <c r="AH176" s="18"/>
      <c r="AI176" s="250"/>
      <c r="AJ176" s="18"/>
      <c r="AK176" s="18"/>
      <c r="AL176" s="18"/>
      <c r="AM176" s="18"/>
      <c r="AN176" s="18"/>
      <c r="AO176" s="18"/>
      <c r="AP176" s="18"/>
      <c r="AQ176" s="18"/>
      <c r="AR176" s="18"/>
      <c r="AS176" s="18"/>
      <c r="AT176" s="18"/>
      <c r="AU176" s="18"/>
      <c r="AV176" s="18"/>
      <c r="AW176" s="18"/>
      <c r="AX176" s="18"/>
      <c r="AY176" s="18"/>
      <c r="AZ176" s="18"/>
    </row>
    <row r="177" spans="1:52" x14ac:dyDescent="0.3">
      <c r="A177" s="18"/>
      <c r="B177" s="18"/>
      <c r="C177" s="18"/>
      <c r="D177" s="18"/>
      <c r="E177" s="18"/>
      <c r="F177" s="18"/>
      <c r="G177" s="18"/>
      <c r="H177" s="18"/>
      <c r="I177" s="18"/>
      <c r="J177" s="18"/>
      <c r="K177" s="18"/>
      <c r="L177" s="18"/>
      <c r="M177" s="18"/>
      <c r="N177" s="18"/>
      <c r="O177" s="18"/>
      <c r="P177" s="18"/>
      <c r="Q177" s="18"/>
      <c r="R177" s="18"/>
      <c r="S177" s="17"/>
      <c r="T177" s="18"/>
      <c r="U177" s="18"/>
      <c r="V177" s="18"/>
      <c r="W177" s="250"/>
      <c r="X177" s="18"/>
      <c r="Y177" s="18"/>
      <c r="Z177" s="250"/>
      <c r="AA177" s="18"/>
      <c r="AB177" s="18"/>
      <c r="AC177" s="250"/>
      <c r="AD177" s="18"/>
      <c r="AE177" s="18"/>
      <c r="AF177" s="250"/>
      <c r="AG177" s="18"/>
      <c r="AH177" s="18"/>
      <c r="AI177" s="250"/>
      <c r="AJ177" s="18"/>
      <c r="AK177" s="18"/>
      <c r="AL177" s="18"/>
      <c r="AM177" s="18"/>
      <c r="AN177" s="18"/>
      <c r="AO177" s="18"/>
      <c r="AP177" s="18"/>
      <c r="AQ177" s="18"/>
      <c r="AR177" s="18"/>
      <c r="AS177" s="18"/>
      <c r="AT177" s="18"/>
      <c r="AU177" s="18"/>
      <c r="AV177" s="18"/>
      <c r="AW177" s="18"/>
      <c r="AX177" s="18"/>
      <c r="AY177" s="18"/>
      <c r="AZ177" s="18"/>
    </row>
    <row r="178" spans="1:52" x14ac:dyDescent="0.3">
      <c r="A178" s="18"/>
      <c r="B178" s="18"/>
      <c r="C178" s="18"/>
      <c r="D178" s="18"/>
      <c r="E178" s="18"/>
      <c r="F178" s="18"/>
      <c r="G178" s="18"/>
      <c r="H178" s="18"/>
      <c r="I178" s="18"/>
      <c r="J178" s="18"/>
      <c r="K178" s="18"/>
      <c r="L178" s="18"/>
      <c r="M178" s="18"/>
      <c r="N178" s="18"/>
      <c r="O178" s="18"/>
      <c r="P178" s="18"/>
      <c r="Q178" s="18"/>
      <c r="R178" s="18"/>
      <c r="S178" s="17"/>
      <c r="T178" s="18"/>
      <c r="U178" s="18"/>
      <c r="V178" s="18"/>
      <c r="W178" s="250"/>
      <c r="X178" s="18"/>
      <c r="Y178" s="18"/>
      <c r="Z178" s="250"/>
      <c r="AA178" s="18"/>
      <c r="AB178" s="18"/>
      <c r="AC178" s="250"/>
      <c r="AD178" s="18"/>
      <c r="AE178" s="18"/>
      <c r="AF178" s="250"/>
      <c r="AG178" s="18"/>
      <c r="AH178" s="18"/>
      <c r="AI178" s="250"/>
      <c r="AJ178" s="18"/>
      <c r="AK178" s="18"/>
      <c r="AL178" s="18"/>
      <c r="AM178" s="18"/>
      <c r="AN178" s="18"/>
      <c r="AO178" s="18"/>
      <c r="AP178" s="18"/>
      <c r="AQ178" s="18"/>
      <c r="AR178" s="18"/>
      <c r="AS178" s="18"/>
      <c r="AT178" s="18"/>
      <c r="AU178" s="18"/>
      <c r="AV178" s="18"/>
      <c r="AW178" s="18"/>
      <c r="AX178" s="18"/>
      <c r="AY178" s="18"/>
      <c r="AZ178" s="18"/>
    </row>
    <row r="179" spans="1:52" x14ac:dyDescent="0.3">
      <c r="A179" s="18"/>
      <c r="B179" s="18"/>
      <c r="C179" s="18"/>
      <c r="D179" s="18"/>
      <c r="E179" s="18"/>
      <c r="F179" s="18"/>
      <c r="G179" s="18"/>
      <c r="H179" s="18"/>
      <c r="I179" s="18"/>
      <c r="J179" s="18"/>
      <c r="K179" s="18"/>
      <c r="L179" s="18"/>
      <c r="M179" s="18"/>
      <c r="N179" s="18"/>
      <c r="O179" s="18"/>
      <c r="P179" s="18"/>
      <c r="Q179" s="18"/>
      <c r="R179" s="18"/>
      <c r="S179" s="17"/>
      <c r="T179" s="18"/>
      <c r="U179" s="18"/>
      <c r="V179" s="18"/>
      <c r="W179" s="250"/>
      <c r="X179" s="18"/>
      <c r="Y179" s="18"/>
      <c r="Z179" s="250"/>
      <c r="AA179" s="18"/>
      <c r="AB179" s="18"/>
      <c r="AC179" s="250"/>
      <c r="AD179" s="18"/>
      <c r="AE179" s="18"/>
      <c r="AF179" s="250"/>
      <c r="AG179" s="18"/>
      <c r="AH179" s="18"/>
      <c r="AI179" s="250"/>
      <c r="AJ179" s="18"/>
      <c r="AK179" s="18"/>
      <c r="AL179" s="18"/>
      <c r="AM179" s="18"/>
      <c r="AN179" s="18"/>
      <c r="AO179" s="18"/>
      <c r="AP179" s="18"/>
      <c r="AQ179" s="18"/>
      <c r="AR179" s="18"/>
      <c r="AS179" s="18"/>
      <c r="AT179" s="18"/>
      <c r="AU179" s="18"/>
      <c r="AV179" s="18"/>
      <c r="AW179" s="18"/>
      <c r="AX179" s="18"/>
      <c r="AY179" s="18"/>
      <c r="AZ179" s="18"/>
    </row>
    <row r="180" spans="1:52" x14ac:dyDescent="0.3">
      <c r="A180" s="18"/>
      <c r="B180" s="18"/>
      <c r="C180" s="18"/>
      <c r="D180" s="18"/>
      <c r="E180" s="18"/>
      <c r="F180" s="18"/>
      <c r="G180" s="18"/>
      <c r="H180" s="18"/>
      <c r="I180" s="18"/>
      <c r="J180" s="18"/>
      <c r="K180" s="18"/>
      <c r="L180" s="18"/>
      <c r="M180" s="18"/>
      <c r="N180" s="18"/>
      <c r="O180" s="18"/>
      <c r="P180" s="18"/>
      <c r="Q180" s="18"/>
      <c r="R180" s="18"/>
      <c r="S180" s="17"/>
      <c r="T180" s="18"/>
      <c r="U180" s="18"/>
      <c r="V180" s="18"/>
      <c r="W180" s="250"/>
      <c r="X180" s="18"/>
      <c r="Y180" s="18"/>
      <c r="Z180" s="250"/>
      <c r="AA180" s="18"/>
      <c r="AB180" s="18"/>
      <c r="AC180" s="250"/>
      <c r="AD180" s="18"/>
      <c r="AE180" s="18"/>
      <c r="AF180" s="250"/>
      <c r="AG180" s="18"/>
      <c r="AH180" s="18"/>
      <c r="AI180" s="250"/>
      <c r="AJ180" s="18"/>
      <c r="AK180" s="18"/>
      <c r="AL180" s="18"/>
      <c r="AM180" s="18"/>
      <c r="AN180" s="18"/>
      <c r="AO180" s="18"/>
      <c r="AP180" s="18"/>
      <c r="AQ180" s="18"/>
      <c r="AR180" s="18"/>
      <c r="AS180" s="18"/>
      <c r="AT180" s="18"/>
      <c r="AU180" s="18"/>
      <c r="AV180" s="18"/>
      <c r="AW180" s="18"/>
      <c r="AX180" s="18"/>
      <c r="AY180" s="18"/>
      <c r="AZ180" s="18"/>
    </row>
    <row r="181" spans="1:52" x14ac:dyDescent="0.3">
      <c r="A181" s="18"/>
      <c r="B181" s="18"/>
      <c r="C181" s="18"/>
      <c r="D181" s="18"/>
      <c r="E181" s="18"/>
      <c r="F181" s="18"/>
      <c r="G181" s="18"/>
      <c r="H181" s="18"/>
      <c r="I181" s="18"/>
      <c r="J181" s="18"/>
      <c r="K181" s="18"/>
      <c r="L181" s="18"/>
      <c r="M181" s="18"/>
      <c r="N181" s="18"/>
      <c r="O181" s="18"/>
      <c r="P181" s="18"/>
      <c r="Q181" s="18"/>
      <c r="R181" s="18"/>
      <c r="S181" s="17"/>
      <c r="T181" s="18"/>
      <c r="U181" s="18"/>
      <c r="V181" s="18"/>
      <c r="W181" s="250"/>
      <c r="X181" s="18"/>
      <c r="Y181" s="18"/>
      <c r="Z181" s="250"/>
      <c r="AA181" s="18"/>
      <c r="AB181" s="18"/>
      <c r="AC181" s="250"/>
      <c r="AD181" s="18"/>
      <c r="AE181" s="18"/>
      <c r="AF181" s="250"/>
      <c r="AG181" s="18"/>
      <c r="AH181" s="18"/>
      <c r="AI181" s="250"/>
      <c r="AJ181" s="18"/>
      <c r="AK181" s="18"/>
      <c r="AL181" s="18"/>
      <c r="AM181" s="18"/>
      <c r="AN181" s="18"/>
      <c r="AO181" s="18"/>
      <c r="AP181" s="18"/>
      <c r="AQ181" s="18"/>
      <c r="AR181" s="18"/>
      <c r="AS181" s="18"/>
      <c r="AT181" s="18"/>
      <c r="AU181" s="18"/>
      <c r="AV181" s="18"/>
      <c r="AW181" s="18"/>
      <c r="AX181" s="18"/>
      <c r="AY181" s="18"/>
      <c r="AZ181" s="18"/>
    </row>
    <row r="182" spans="1:52" x14ac:dyDescent="0.3">
      <c r="A182" s="18"/>
      <c r="B182" s="18"/>
      <c r="C182" s="18"/>
      <c r="D182" s="18"/>
      <c r="E182" s="18"/>
      <c r="F182" s="18"/>
      <c r="G182" s="18"/>
      <c r="H182" s="18"/>
      <c r="I182" s="18"/>
      <c r="J182" s="18"/>
      <c r="K182" s="18"/>
      <c r="L182" s="18"/>
      <c r="M182" s="18"/>
      <c r="N182" s="18"/>
      <c r="O182" s="18"/>
      <c r="P182" s="18"/>
      <c r="Q182" s="18"/>
      <c r="R182" s="18"/>
      <c r="S182" s="17"/>
      <c r="T182" s="18"/>
      <c r="U182" s="18"/>
      <c r="V182" s="18"/>
      <c r="W182" s="250"/>
      <c r="X182" s="18"/>
      <c r="Y182" s="18"/>
      <c r="Z182" s="250"/>
      <c r="AA182" s="18"/>
      <c r="AB182" s="18"/>
      <c r="AC182" s="250"/>
      <c r="AD182" s="18"/>
      <c r="AE182" s="18"/>
      <c r="AF182" s="250"/>
      <c r="AG182" s="18"/>
      <c r="AH182" s="18"/>
      <c r="AI182" s="250"/>
      <c r="AJ182" s="18"/>
      <c r="AK182" s="18"/>
      <c r="AL182" s="18"/>
      <c r="AM182" s="18"/>
      <c r="AN182" s="18"/>
      <c r="AO182" s="18"/>
      <c r="AP182" s="18"/>
      <c r="AQ182" s="18"/>
      <c r="AR182" s="18"/>
      <c r="AS182" s="18"/>
      <c r="AT182" s="18"/>
      <c r="AU182" s="18"/>
      <c r="AV182" s="18"/>
      <c r="AW182" s="18"/>
      <c r="AX182" s="18"/>
      <c r="AY182" s="18"/>
      <c r="AZ182" s="18"/>
    </row>
    <row r="183" spans="1:52" x14ac:dyDescent="0.3">
      <c r="A183" s="18"/>
      <c r="B183" s="18"/>
      <c r="C183" s="18"/>
      <c r="D183" s="18"/>
      <c r="E183" s="18"/>
      <c r="F183" s="18"/>
      <c r="G183" s="18"/>
      <c r="H183" s="18"/>
      <c r="I183" s="18"/>
      <c r="J183" s="18"/>
      <c r="K183" s="18"/>
      <c r="L183" s="18"/>
      <c r="M183" s="18"/>
      <c r="N183" s="18"/>
      <c r="O183" s="18"/>
      <c r="P183" s="18"/>
      <c r="Q183" s="18"/>
      <c r="R183" s="18"/>
      <c r="S183" s="17"/>
      <c r="T183" s="18"/>
      <c r="U183" s="18"/>
      <c r="V183" s="18"/>
      <c r="W183" s="250"/>
      <c r="X183" s="18"/>
      <c r="Y183" s="18"/>
      <c r="Z183" s="250"/>
      <c r="AA183" s="18"/>
      <c r="AB183" s="18"/>
      <c r="AC183" s="250"/>
      <c r="AD183" s="18"/>
      <c r="AE183" s="18"/>
      <c r="AF183" s="250"/>
      <c r="AG183" s="18"/>
      <c r="AH183" s="18"/>
      <c r="AI183" s="250"/>
      <c r="AJ183" s="18"/>
      <c r="AK183" s="18"/>
      <c r="AL183" s="18"/>
      <c r="AM183" s="18"/>
      <c r="AN183" s="18"/>
      <c r="AO183" s="18"/>
      <c r="AP183" s="18"/>
      <c r="AQ183" s="18"/>
      <c r="AR183" s="18"/>
      <c r="AS183" s="18"/>
      <c r="AT183" s="18"/>
      <c r="AU183" s="18"/>
      <c r="AV183" s="18"/>
      <c r="AW183" s="18"/>
      <c r="AX183" s="18"/>
      <c r="AY183" s="18"/>
      <c r="AZ183" s="18"/>
    </row>
    <row r="184" spans="1:52" x14ac:dyDescent="0.3">
      <c r="A184" s="18"/>
      <c r="B184" s="18"/>
      <c r="C184" s="18"/>
      <c r="D184" s="18"/>
      <c r="E184" s="18"/>
      <c r="F184" s="18"/>
      <c r="G184" s="18"/>
      <c r="H184" s="18"/>
      <c r="I184" s="18"/>
      <c r="J184" s="18"/>
      <c r="K184" s="18"/>
      <c r="L184" s="18"/>
      <c r="M184" s="18"/>
      <c r="N184" s="18"/>
      <c r="O184" s="18"/>
      <c r="P184" s="18"/>
      <c r="Q184" s="18"/>
      <c r="R184" s="18"/>
      <c r="S184" s="17"/>
      <c r="T184" s="18"/>
      <c r="U184" s="18"/>
      <c r="V184" s="18"/>
      <c r="W184" s="250"/>
      <c r="X184" s="18"/>
      <c r="Y184" s="18"/>
      <c r="Z184" s="250"/>
      <c r="AA184" s="18"/>
      <c r="AB184" s="18"/>
      <c r="AC184" s="250"/>
      <c r="AD184" s="18"/>
      <c r="AE184" s="18"/>
      <c r="AF184" s="250"/>
      <c r="AG184" s="18"/>
      <c r="AH184" s="18"/>
      <c r="AI184" s="250"/>
      <c r="AJ184" s="18"/>
      <c r="AK184" s="18"/>
      <c r="AL184" s="18"/>
      <c r="AM184" s="18"/>
      <c r="AN184" s="18"/>
      <c r="AO184" s="18"/>
      <c r="AP184" s="18"/>
      <c r="AQ184" s="18"/>
      <c r="AR184" s="18"/>
      <c r="AS184" s="18"/>
      <c r="AT184" s="18"/>
      <c r="AU184" s="18"/>
      <c r="AV184" s="18"/>
      <c r="AW184" s="18"/>
      <c r="AX184" s="18"/>
      <c r="AY184" s="18"/>
      <c r="AZ184" s="18"/>
    </row>
    <row r="185" spans="1:52" x14ac:dyDescent="0.3">
      <c r="A185" s="18"/>
      <c r="B185" s="18"/>
      <c r="C185" s="18"/>
      <c r="D185" s="18"/>
      <c r="E185" s="18"/>
      <c r="F185" s="18"/>
      <c r="G185" s="18"/>
      <c r="H185" s="18"/>
      <c r="I185" s="18"/>
      <c r="J185" s="18"/>
      <c r="K185" s="18"/>
      <c r="L185" s="18"/>
      <c r="M185" s="18"/>
      <c r="N185" s="18"/>
      <c r="O185" s="18"/>
      <c r="P185" s="18"/>
      <c r="Q185" s="18"/>
      <c r="R185" s="18"/>
      <c r="S185" s="17"/>
      <c r="T185" s="18"/>
      <c r="U185" s="18"/>
      <c r="V185" s="18"/>
      <c r="W185" s="250"/>
      <c r="X185" s="18"/>
      <c r="Y185" s="18"/>
      <c r="Z185" s="250"/>
      <c r="AA185" s="18"/>
      <c r="AB185" s="18"/>
      <c r="AC185" s="250"/>
      <c r="AD185" s="18"/>
      <c r="AE185" s="18"/>
      <c r="AF185" s="250"/>
      <c r="AG185" s="18"/>
      <c r="AH185" s="18"/>
      <c r="AI185" s="250"/>
      <c r="AJ185" s="18"/>
      <c r="AK185" s="18"/>
      <c r="AL185" s="18"/>
      <c r="AM185" s="18"/>
      <c r="AN185" s="18"/>
      <c r="AO185" s="18"/>
      <c r="AP185" s="18"/>
      <c r="AQ185" s="18"/>
      <c r="AR185" s="18"/>
      <c r="AS185" s="18"/>
      <c r="AT185" s="18"/>
      <c r="AU185" s="18"/>
      <c r="AV185" s="18"/>
      <c r="AW185" s="18"/>
      <c r="AX185" s="18"/>
      <c r="AY185" s="18"/>
      <c r="AZ185" s="18"/>
    </row>
    <row r="186" spans="1:52" x14ac:dyDescent="0.3">
      <c r="A186" s="18"/>
      <c r="B186" s="18"/>
      <c r="C186" s="18"/>
      <c r="D186" s="18"/>
      <c r="E186" s="18"/>
      <c r="F186" s="18"/>
      <c r="G186" s="18"/>
      <c r="H186" s="18"/>
      <c r="I186" s="18"/>
      <c r="J186" s="18"/>
      <c r="K186" s="18"/>
      <c r="L186" s="18"/>
      <c r="M186" s="18"/>
      <c r="N186" s="18"/>
      <c r="O186" s="18"/>
      <c r="P186" s="18"/>
      <c r="Q186" s="18"/>
      <c r="R186" s="18"/>
      <c r="S186" s="17"/>
      <c r="T186" s="18"/>
      <c r="U186" s="18"/>
      <c r="V186" s="18"/>
      <c r="W186" s="250"/>
      <c r="X186" s="18"/>
      <c r="Y186" s="18"/>
      <c r="Z186" s="250"/>
      <c r="AA186" s="18"/>
      <c r="AB186" s="18"/>
      <c r="AC186" s="250"/>
      <c r="AD186" s="18"/>
      <c r="AE186" s="18"/>
      <c r="AF186" s="250"/>
      <c r="AG186" s="18"/>
      <c r="AH186" s="18"/>
      <c r="AI186" s="250"/>
      <c r="AJ186" s="18"/>
      <c r="AK186" s="18"/>
      <c r="AL186" s="18"/>
      <c r="AM186" s="18"/>
      <c r="AN186" s="18"/>
      <c r="AO186" s="18"/>
      <c r="AP186" s="18"/>
      <c r="AQ186" s="18"/>
      <c r="AR186" s="18"/>
      <c r="AS186" s="18"/>
      <c r="AT186" s="18"/>
      <c r="AU186" s="18"/>
      <c r="AV186" s="18"/>
      <c r="AW186" s="18"/>
      <c r="AX186" s="18"/>
      <c r="AY186" s="18"/>
      <c r="AZ186" s="18"/>
    </row>
    <row r="187" spans="1:52" x14ac:dyDescent="0.3">
      <c r="A187" s="18"/>
      <c r="B187" s="18"/>
      <c r="C187" s="18"/>
      <c r="D187" s="18"/>
      <c r="E187" s="18"/>
      <c r="F187" s="18"/>
      <c r="G187" s="18"/>
      <c r="H187" s="18"/>
      <c r="I187" s="18"/>
      <c r="J187" s="18"/>
      <c r="K187" s="18"/>
      <c r="L187" s="18"/>
      <c r="M187" s="18"/>
      <c r="N187" s="18"/>
      <c r="O187" s="18"/>
      <c r="P187" s="18"/>
      <c r="Q187" s="18"/>
      <c r="R187" s="18"/>
      <c r="S187" s="17"/>
      <c r="T187" s="18"/>
      <c r="U187" s="18"/>
      <c r="V187" s="18"/>
      <c r="W187" s="250"/>
      <c r="X187" s="18"/>
      <c r="Y187" s="18"/>
      <c r="Z187" s="250"/>
      <c r="AA187" s="18"/>
      <c r="AB187" s="18"/>
      <c r="AC187" s="250"/>
      <c r="AD187" s="18"/>
      <c r="AE187" s="18"/>
      <c r="AF187" s="250"/>
      <c r="AG187" s="18"/>
      <c r="AH187" s="18"/>
      <c r="AI187" s="250"/>
      <c r="AJ187" s="18"/>
      <c r="AK187" s="18"/>
      <c r="AL187" s="18"/>
      <c r="AM187" s="18"/>
      <c r="AN187" s="18"/>
      <c r="AO187" s="18"/>
      <c r="AP187" s="18"/>
      <c r="AQ187" s="18"/>
      <c r="AR187" s="18"/>
      <c r="AS187" s="18"/>
      <c r="AT187" s="18"/>
      <c r="AU187" s="18"/>
      <c r="AV187" s="18"/>
      <c r="AW187" s="18"/>
      <c r="AX187" s="18"/>
      <c r="AY187" s="18"/>
      <c r="AZ187" s="18"/>
    </row>
    <row r="188" spans="1:52" x14ac:dyDescent="0.3">
      <c r="A188" s="18"/>
      <c r="B188" s="18"/>
      <c r="C188" s="18"/>
      <c r="D188" s="18"/>
      <c r="E188" s="18"/>
      <c r="F188" s="18"/>
      <c r="G188" s="18"/>
      <c r="H188" s="18"/>
      <c r="I188" s="18"/>
      <c r="J188" s="18"/>
      <c r="K188" s="18"/>
      <c r="L188" s="18"/>
      <c r="M188" s="18"/>
      <c r="N188" s="18"/>
      <c r="O188" s="18"/>
      <c r="P188" s="18"/>
      <c r="Q188" s="18"/>
      <c r="R188" s="18"/>
      <c r="S188" s="17"/>
      <c r="T188" s="18"/>
      <c r="U188" s="18"/>
      <c r="V188" s="18"/>
      <c r="W188" s="250"/>
      <c r="X188" s="18"/>
      <c r="Y188" s="18"/>
      <c r="Z188" s="250"/>
      <c r="AA188" s="18"/>
      <c r="AB188" s="18"/>
      <c r="AC188" s="250"/>
      <c r="AD188" s="18"/>
      <c r="AE188" s="18"/>
      <c r="AF188" s="250"/>
      <c r="AG188" s="18"/>
      <c r="AH188" s="18"/>
      <c r="AI188" s="250"/>
      <c r="AJ188" s="18"/>
      <c r="AK188" s="18"/>
      <c r="AL188" s="18"/>
      <c r="AM188" s="18"/>
      <c r="AN188" s="18"/>
      <c r="AO188" s="18"/>
      <c r="AP188" s="18"/>
      <c r="AQ188" s="18"/>
      <c r="AR188" s="18"/>
      <c r="AS188" s="18"/>
      <c r="AT188" s="18"/>
      <c r="AU188" s="18"/>
      <c r="AV188" s="18"/>
      <c r="AW188" s="18"/>
      <c r="AX188" s="18"/>
      <c r="AY188" s="18"/>
      <c r="AZ188" s="18"/>
    </row>
    <row r="189" spans="1:52" x14ac:dyDescent="0.3">
      <c r="A189" s="18"/>
      <c r="B189" s="18"/>
      <c r="C189" s="18"/>
      <c r="D189" s="18"/>
      <c r="E189" s="18"/>
      <c r="F189" s="18"/>
      <c r="G189" s="18"/>
      <c r="H189" s="18"/>
      <c r="I189" s="18"/>
      <c r="J189" s="18"/>
      <c r="K189" s="18"/>
      <c r="L189" s="18"/>
      <c r="M189" s="18"/>
      <c r="N189" s="18"/>
      <c r="O189" s="18"/>
      <c r="P189" s="18"/>
      <c r="Q189" s="18"/>
      <c r="R189" s="18"/>
      <c r="S189" s="17"/>
      <c r="T189" s="18"/>
      <c r="U189" s="18"/>
      <c r="V189" s="18"/>
      <c r="W189" s="250"/>
      <c r="X189" s="18"/>
      <c r="Y189" s="18"/>
      <c r="Z189" s="250"/>
      <c r="AA189" s="18"/>
      <c r="AB189" s="18"/>
      <c r="AC189" s="250"/>
      <c r="AD189" s="18"/>
      <c r="AE189" s="18"/>
      <c r="AF189" s="250"/>
      <c r="AG189" s="18"/>
      <c r="AH189" s="18"/>
      <c r="AI189" s="250"/>
      <c r="AJ189" s="18"/>
      <c r="AK189" s="18"/>
      <c r="AL189" s="18"/>
      <c r="AM189" s="18"/>
      <c r="AN189" s="18"/>
      <c r="AO189" s="18"/>
      <c r="AP189" s="18"/>
      <c r="AQ189" s="18"/>
      <c r="AR189" s="18"/>
      <c r="AS189" s="18"/>
      <c r="AT189" s="18"/>
      <c r="AU189" s="18"/>
      <c r="AV189" s="18"/>
      <c r="AW189" s="18"/>
      <c r="AX189" s="18"/>
      <c r="AY189" s="18"/>
      <c r="AZ189" s="18"/>
    </row>
    <row r="190" spans="1:52" x14ac:dyDescent="0.3">
      <c r="A190" s="18"/>
      <c r="B190" s="18"/>
      <c r="C190" s="18"/>
      <c r="D190" s="18"/>
      <c r="E190" s="18"/>
      <c r="F190" s="18"/>
      <c r="G190" s="18"/>
      <c r="H190" s="18"/>
      <c r="I190" s="18"/>
      <c r="J190" s="18"/>
      <c r="K190" s="18"/>
      <c r="L190" s="18"/>
      <c r="M190" s="18"/>
      <c r="N190" s="18"/>
      <c r="O190" s="18"/>
      <c r="P190" s="18"/>
      <c r="Q190" s="18"/>
      <c r="R190" s="18"/>
      <c r="S190" s="17"/>
      <c r="T190" s="18"/>
      <c r="U190" s="18"/>
      <c r="V190" s="18"/>
      <c r="W190" s="250"/>
      <c r="X190" s="18"/>
      <c r="Y190" s="18"/>
      <c r="Z190" s="250"/>
      <c r="AA190" s="18"/>
      <c r="AB190" s="18"/>
      <c r="AC190" s="250"/>
      <c r="AD190" s="18"/>
      <c r="AE190" s="18"/>
      <c r="AF190" s="250"/>
      <c r="AG190" s="18"/>
      <c r="AH190" s="18"/>
      <c r="AI190" s="250"/>
      <c r="AJ190" s="18"/>
      <c r="AK190" s="18"/>
      <c r="AL190" s="18"/>
      <c r="AM190" s="18"/>
      <c r="AN190" s="18"/>
      <c r="AO190" s="18"/>
      <c r="AP190" s="18"/>
      <c r="AQ190" s="18"/>
      <c r="AR190" s="18"/>
      <c r="AS190" s="18"/>
      <c r="AT190" s="18"/>
      <c r="AU190" s="18"/>
      <c r="AV190" s="18"/>
      <c r="AW190" s="18"/>
      <c r="AX190" s="18"/>
      <c r="AY190" s="18"/>
      <c r="AZ190" s="18"/>
    </row>
    <row r="191" spans="1:52" x14ac:dyDescent="0.3">
      <c r="A191" s="18"/>
      <c r="B191" s="18"/>
      <c r="C191" s="18"/>
      <c r="D191" s="18"/>
      <c r="E191" s="18"/>
      <c r="F191" s="18"/>
      <c r="G191" s="18"/>
      <c r="H191" s="18"/>
      <c r="I191" s="18"/>
      <c r="J191" s="18"/>
      <c r="K191" s="18"/>
      <c r="L191" s="18"/>
      <c r="M191" s="18"/>
      <c r="N191" s="18"/>
      <c r="O191" s="18"/>
      <c r="P191" s="18"/>
      <c r="Q191" s="18"/>
      <c r="R191" s="18"/>
      <c r="S191" s="17"/>
      <c r="T191" s="18"/>
      <c r="U191" s="18"/>
      <c r="V191" s="18"/>
      <c r="W191" s="250"/>
      <c r="X191" s="18"/>
      <c r="Y191" s="18"/>
      <c r="Z191" s="250"/>
      <c r="AA191" s="18"/>
      <c r="AB191" s="18"/>
      <c r="AC191" s="250"/>
      <c r="AD191" s="18"/>
      <c r="AE191" s="18"/>
      <c r="AF191" s="250"/>
      <c r="AG191" s="18"/>
      <c r="AH191" s="18"/>
      <c r="AI191" s="250"/>
      <c r="AJ191" s="18"/>
      <c r="AK191" s="18"/>
      <c r="AL191" s="18"/>
      <c r="AM191" s="18"/>
      <c r="AN191" s="18"/>
      <c r="AO191" s="18"/>
      <c r="AP191" s="18"/>
      <c r="AQ191" s="18"/>
      <c r="AR191" s="18"/>
      <c r="AS191" s="18"/>
      <c r="AT191" s="18"/>
      <c r="AU191" s="18"/>
      <c r="AV191" s="18"/>
      <c r="AW191" s="18"/>
      <c r="AX191" s="18"/>
      <c r="AY191" s="18"/>
      <c r="AZ191" s="18"/>
    </row>
    <row r="192" spans="1:52" x14ac:dyDescent="0.3">
      <c r="A192" s="18"/>
      <c r="B192" s="18"/>
      <c r="C192" s="18"/>
      <c r="D192" s="18"/>
      <c r="E192" s="18"/>
      <c r="F192" s="18"/>
      <c r="G192" s="18"/>
      <c r="H192" s="18"/>
      <c r="I192" s="18"/>
      <c r="J192" s="18"/>
      <c r="K192" s="18"/>
      <c r="L192" s="18"/>
      <c r="M192" s="18"/>
      <c r="N192" s="18"/>
      <c r="O192" s="18"/>
      <c r="P192" s="18"/>
      <c r="Q192" s="18"/>
      <c r="R192" s="18"/>
      <c r="S192" s="17"/>
      <c r="T192" s="18"/>
      <c r="U192" s="18"/>
      <c r="V192" s="18"/>
      <c r="W192" s="250"/>
      <c r="X192" s="18"/>
      <c r="Y192" s="18"/>
      <c r="Z192" s="250"/>
      <c r="AA192" s="18"/>
      <c r="AB192" s="18"/>
      <c r="AC192" s="250"/>
      <c r="AD192" s="18"/>
      <c r="AE192" s="18"/>
      <c r="AF192" s="250"/>
      <c r="AG192" s="18"/>
      <c r="AH192" s="18"/>
      <c r="AI192" s="250"/>
      <c r="AJ192" s="18"/>
      <c r="AK192" s="18"/>
      <c r="AL192" s="18"/>
      <c r="AM192" s="18"/>
      <c r="AN192" s="18"/>
      <c r="AO192" s="18"/>
      <c r="AP192" s="18"/>
      <c r="AQ192" s="18"/>
      <c r="AR192" s="18"/>
      <c r="AS192" s="18"/>
      <c r="AT192" s="18"/>
      <c r="AU192" s="18"/>
      <c r="AV192" s="18"/>
      <c r="AW192" s="18"/>
      <c r="AX192" s="18"/>
      <c r="AY192" s="18"/>
      <c r="AZ192" s="18"/>
    </row>
    <row r="193" spans="1:52" x14ac:dyDescent="0.3">
      <c r="A193" s="18"/>
      <c r="B193" s="18"/>
      <c r="C193" s="18"/>
      <c r="D193" s="18"/>
      <c r="E193" s="18"/>
      <c r="F193" s="18"/>
      <c r="G193" s="18"/>
      <c r="H193" s="18"/>
      <c r="I193" s="18"/>
      <c r="J193" s="18"/>
      <c r="K193" s="18"/>
      <c r="L193" s="18"/>
      <c r="M193" s="18"/>
      <c r="N193" s="18"/>
      <c r="O193" s="18"/>
      <c r="P193" s="18"/>
      <c r="Q193" s="18"/>
      <c r="R193" s="18"/>
      <c r="S193" s="17"/>
      <c r="T193" s="18"/>
      <c r="U193" s="18"/>
      <c r="V193" s="18"/>
      <c r="W193" s="250"/>
      <c r="X193" s="18"/>
      <c r="Y193" s="18"/>
      <c r="Z193" s="250"/>
      <c r="AA193" s="18"/>
      <c r="AB193" s="18"/>
      <c r="AC193" s="250"/>
      <c r="AD193" s="18"/>
      <c r="AE193" s="18"/>
      <c r="AF193" s="250"/>
      <c r="AG193" s="18"/>
      <c r="AH193" s="18"/>
      <c r="AI193" s="250"/>
      <c r="AJ193" s="18"/>
      <c r="AK193" s="18"/>
      <c r="AL193" s="18"/>
      <c r="AM193" s="18"/>
      <c r="AN193" s="18"/>
      <c r="AO193" s="18"/>
      <c r="AP193" s="18"/>
      <c r="AQ193" s="18"/>
      <c r="AR193" s="18"/>
      <c r="AS193" s="18"/>
      <c r="AT193" s="18"/>
      <c r="AU193" s="18"/>
      <c r="AV193" s="18"/>
      <c r="AW193" s="18"/>
      <c r="AX193" s="18"/>
      <c r="AY193" s="18"/>
      <c r="AZ193" s="18"/>
    </row>
    <row r="194" spans="1:52" x14ac:dyDescent="0.3">
      <c r="A194" s="18"/>
      <c r="B194" s="18"/>
      <c r="C194" s="18"/>
      <c r="D194" s="18"/>
      <c r="E194" s="18"/>
      <c r="F194" s="18"/>
      <c r="G194" s="18"/>
      <c r="H194" s="18"/>
      <c r="I194" s="18"/>
      <c r="J194" s="18"/>
      <c r="K194" s="18"/>
      <c r="L194" s="18"/>
      <c r="M194" s="18"/>
      <c r="N194" s="18"/>
      <c r="O194" s="18"/>
      <c r="P194" s="18"/>
      <c r="Q194" s="18"/>
      <c r="R194" s="18"/>
      <c r="S194" s="17"/>
      <c r="T194" s="18"/>
      <c r="U194" s="18"/>
      <c r="V194" s="18"/>
      <c r="W194" s="250"/>
      <c r="X194" s="18"/>
      <c r="Y194" s="18"/>
      <c r="Z194" s="250"/>
      <c r="AA194" s="18"/>
      <c r="AB194" s="18"/>
      <c r="AC194" s="250"/>
      <c r="AD194" s="18"/>
      <c r="AE194" s="18"/>
      <c r="AF194" s="250"/>
      <c r="AG194" s="18"/>
      <c r="AH194" s="18"/>
      <c r="AI194" s="250"/>
      <c r="AJ194" s="18"/>
      <c r="AK194" s="18"/>
      <c r="AL194" s="18"/>
      <c r="AM194" s="18"/>
      <c r="AN194" s="18"/>
      <c r="AO194" s="18"/>
      <c r="AP194" s="18"/>
      <c r="AQ194" s="18"/>
      <c r="AR194" s="18"/>
      <c r="AS194" s="18"/>
      <c r="AT194" s="18"/>
      <c r="AU194" s="18"/>
      <c r="AV194" s="18"/>
      <c r="AW194" s="18"/>
      <c r="AX194" s="18"/>
      <c r="AY194" s="18"/>
      <c r="AZ194" s="18"/>
    </row>
    <row r="195" spans="1:52" x14ac:dyDescent="0.3">
      <c r="A195" s="18"/>
      <c r="B195" s="18"/>
      <c r="C195" s="18"/>
      <c r="D195" s="18"/>
      <c r="E195" s="18"/>
      <c r="F195" s="18"/>
      <c r="G195" s="18"/>
      <c r="H195" s="18"/>
      <c r="I195" s="18"/>
      <c r="J195" s="18"/>
      <c r="K195" s="18"/>
      <c r="L195" s="18"/>
      <c r="M195" s="18"/>
      <c r="N195" s="18"/>
      <c r="O195" s="18"/>
      <c r="P195" s="18"/>
      <c r="Q195" s="18"/>
      <c r="R195" s="18"/>
      <c r="S195" s="17"/>
      <c r="T195" s="18"/>
      <c r="U195" s="18"/>
      <c r="V195" s="18"/>
      <c r="W195" s="250"/>
      <c r="X195" s="18"/>
      <c r="Y195" s="18"/>
      <c r="Z195" s="250"/>
      <c r="AA195" s="18"/>
      <c r="AB195" s="18"/>
      <c r="AC195" s="250"/>
      <c r="AD195" s="18"/>
      <c r="AE195" s="18"/>
      <c r="AF195" s="250"/>
      <c r="AG195" s="18"/>
      <c r="AH195" s="18"/>
      <c r="AI195" s="250"/>
      <c r="AJ195" s="18"/>
      <c r="AK195" s="18"/>
      <c r="AL195" s="18"/>
      <c r="AM195" s="18"/>
      <c r="AN195" s="18"/>
      <c r="AO195" s="18"/>
      <c r="AP195" s="18"/>
      <c r="AQ195" s="18"/>
      <c r="AR195" s="18"/>
      <c r="AS195" s="18"/>
      <c r="AT195" s="18"/>
      <c r="AU195" s="18"/>
      <c r="AV195" s="18"/>
      <c r="AW195" s="18"/>
      <c r="AX195" s="18"/>
      <c r="AY195" s="18"/>
      <c r="AZ195" s="18"/>
    </row>
    <row r="196" spans="1:52" x14ac:dyDescent="0.3">
      <c r="A196" s="18"/>
      <c r="B196" s="18"/>
      <c r="C196" s="18"/>
      <c r="D196" s="18"/>
      <c r="E196" s="18"/>
      <c r="F196" s="18"/>
      <c r="G196" s="18"/>
      <c r="H196" s="18"/>
      <c r="I196" s="18"/>
      <c r="J196" s="18"/>
      <c r="K196" s="18"/>
      <c r="L196" s="18"/>
      <c r="M196" s="18"/>
      <c r="N196" s="18"/>
      <c r="O196" s="18"/>
      <c r="P196" s="18"/>
      <c r="Q196" s="18"/>
      <c r="R196" s="18"/>
      <c r="S196" s="17"/>
      <c r="T196" s="18"/>
      <c r="U196" s="18"/>
      <c r="V196" s="18"/>
      <c r="W196" s="250"/>
      <c r="X196" s="18"/>
      <c r="Y196" s="18"/>
      <c r="Z196" s="250"/>
      <c r="AA196" s="18"/>
      <c r="AB196" s="18"/>
      <c r="AC196" s="250"/>
      <c r="AD196" s="18"/>
      <c r="AE196" s="18"/>
      <c r="AF196" s="250"/>
      <c r="AG196" s="18"/>
      <c r="AH196" s="18"/>
      <c r="AI196" s="250"/>
      <c r="AJ196" s="18"/>
      <c r="AK196" s="18"/>
      <c r="AL196" s="18"/>
      <c r="AM196" s="18"/>
      <c r="AN196" s="18"/>
      <c r="AO196" s="18"/>
      <c r="AP196" s="18"/>
      <c r="AQ196" s="18"/>
      <c r="AR196" s="18"/>
      <c r="AS196" s="18"/>
      <c r="AT196" s="18"/>
      <c r="AU196" s="18"/>
      <c r="AV196" s="18"/>
      <c r="AW196" s="18"/>
      <c r="AX196" s="18"/>
      <c r="AY196" s="18"/>
      <c r="AZ196" s="18"/>
    </row>
    <row r="197" spans="1:52" x14ac:dyDescent="0.3">
      <c r="A197" s="18"/>
      <c r="B197" s="18"/>
      <c r="C197" s="18"/>
      <c r="D197" s="18"/>
      <c r="E197" s="18"/>
      <c r="F197" s="18"/>
      <c r="G197" s="18"/>
      <c r="H197" s="18"/>
      <c r="I197" s="18"/>
      <c r="J197" s="18"/>
      <c r="K197" s="18"/>
      <c r="L197" s="18"/>
      <c r="M197" s="18"/>
      <c r="N197" s="18"/>
      <c r="O197" s="18"/>
      <c r="P197" s="18"/>
      <c r="Q197" s="18"/>
      <c r="R197" s="18"/>
      <c r="S197" s="17"/>
      <c r="T197" s="18"/>
      <c r="U197" s="18"/>
      <c r="V197" s="18"/>
      <c r="W197" s="250"/>
      <c r="X197" s="18"/>
      <c r="Y197" s="18"/>
      <c r="Z197" s="250"/>
      <c r="AA197" s="18"/>
      <c r="AB197" s="18"/>
      <c r="AC197" s="250"/>
      <c r="AD197" s="18"/>
      <c r="AE197" s="18"/>
      <c r="AF197" s="250"/>
      <c r="AG197" s="18"/>
      <c r="AH197" s="18"/>
      <c r="AI197" s="250"/>
      <c r="AJ197" s="18"/>
      <c r="AK197" s="18"/>
      <c r="AL197" s="18"/>
      <c r="AM197" s="18"/>
      <c r="AN197" s="18"/>
      <c r="AO197" s="18"/>
      <c r="AP197" s="18"/>
      <c r="AQ197" s="18"/>
      <c r="AR197" s="18"/>
      <c r="AS197" s="18"/>
      <c r="AT197" s="18"/>
      <c r="AU197" s="18"/>
      <c r="AV197" s="18"/>
      <c r="AW197" s="18"/>
      <c r="AX197" s="18"/>
      <c r="AY197" s="18"/>
      <c r="AZ197" s="18"/>
    </row>
    <row r="198" spans="1:52" x14ac:dyDescent="0.3">
      <c r="A198" s="18"/>
      <c r="B198" s="18"/>
      <c r="C198" s="18"/>
      <c r="D198" s="18"/>
      <c r="E198" s="18"/>
      <c r="F198" s="18"/>
      <c r="G198" s="18"/>
      <c r="H198" s="18"/>
      <c r="I198" s="18"/>
      <c r="J198" s="18"/>
      <c r="K198" s="18"/>
      <c r="L198" s="18"/>
      <c r="M198" s="18"/>
      <c r="N198" s="18"/>
      <c r="O198" s="18"/>
      <c r="P198" s="18"/>
      <c r="Q198" s="18"/>
      <c r="R198" s="18"/>
      <c r="S198" s="17"/>
      <c r="T198" s="18"/>
      <c r="U198" s="18"/>
      <c r="V198" s="18"/>
      <c r="W198" s="250"/>
      <c r="X198" s="18"/>
      <c r="Y198" s="18"/>
      <c r="Z198" s="250"/>
      <c r="AA198" s="18"/>
      <c r="AB198" s="18"/>
      <c r="AC198" s="250"/>
      <c r="AD198" s="18"/>
      <c r="AE198" s="18"/>
      <c r="AF198" s="250"/>
      <c r="AG198" s="18"/>
      <c r="AH198" s="18"/>
      <c r="AI198" s="250"/>
      <c r="AJ198" s="18"/>
      <c r="AK198" s="18"/>
      <c r="AL198" s="18"/>
      <c r="AM198" s="18"/>
      <c r="AN198" s="18"/>
      <c r="AO198" s="18"/>
      <c r="AP198" s="18"/>
      <c r="AQ198" s="18"/>
      <c r="AR198" s="18"/>
      <c r="AS198" s="18"/>
      <c r="AT198" s="18"/>
      <c r="AU198" s="18"/>
      <c r="AV198" s="18"/>
      <c r="AW198" s="18"/>
      <c r="AX198" s="18"/>
      <c r="AY198" s="18"/>
      <c r="AZ198" s="18"/>
    </row>
    <row r="199" spans="1:52" x14ac:dyDescent="0.3">
      <c r="A199" s="18"/>
      <c r="B199" s="18"/>
      <c r="C199" s="18"/>
      <c r="D199" s="18"/>
      <c r="E199" s="18"/>
      <c r="F199" s="18"/>
      <c r="G199" s="18"/>
      <c r="H199" s="18"/>
      <c r="I199" s="18"/>
      <c r="J199" s="18"/>
      <c r="K199" s="18"/>
      <c r="L199" s="18"/>
      <c r="M199" s="18"/>
      <c r="N199" s="18"/>
      <c r="O199" s="18"/>
      <c r="P199" s="18"/>
      <c r="Q199" s="18"/>
      <c r="R199" s="18"/>
      <c r="S199" s="17"/>
      <c r="T199" s="18"/>
      <c r="U199" s="18"/>
      <c r="V199" s="18"/>
      <c r="W199" s="250"/>
      <c r="X199" s="18"/>
      <c r="Y199" s="18"/>
      <c r="Z199" s="250"/>
      <c r="AA199" s="18"/>
      <c r="AB199" s="18"/>
      <c r="AC199" s="250"/>
      <c r="AD199" s="18"/>
      <c r="AE199" s="18"/>
      <c r="AF199" s="250"/>
      <c r="AG199" s="18"/>
      <c r="AH199" s="18"/>
      <c r="AI199" s="250"/>
      <c r="AJ199" s="18"/>
      <c r="AK199" s="18"/>
      <c r="AL199" s="18"/>
      <c r="AM199" s="18"/>
      <c r="AN199" s="18"/>
      <c r="AO199" s="18"/>
      <c r="AP199" s="18"/>
      <c r="AQ199" s="18"/>
      <c r="AR199" s="18"/>
      <c r="AS199" s="18"/>
      <c r="AT199" s="18"/>
      <c r="AU199" s="18"/>
      <c r="AV199" s="18"/>
      <c r="AW199" s="18"/>
      <c r="AX199" s="18"/>
      <c r="AY199" s="18"/>
      <c r="AZ199" s="18"/>
    </row>
    <row r="200" spans="1:52" x14ac:dyDescent="0.3">
      <c r="A200" s="18"/>
      <c r="B200" s="18"/>
      <c r="C200" s="18"/>
      <c r="D200" s="18"/>
      <c r="E200" s="18"/>
      <c r="F200" s="18"/>
      <c r="G200" s="18"/>
      <c r="H200" s="18"/>
      <c r="I200" s="18"/>
      <c r="J200" s="18"/>
      <c r="K200" s="18"/>
      <c r="L200" s="18"/>
      <c r="M200" s="18"/>
      <c r="N200" s="18"/>
      <c r="O200" s="18"/>
      <c r="P200" s="18"/>
      <c r="Q200" s="18"/>
      <c r="R200" s="18"/>
      <c r="S200" s="17"/>
      <c r="T200" s="18"/>
      <c r="U200" s="18"/>
      <c r="V200" s="18"/>
      <c r="W200" s="250"/>
      <c r="X200" s="18"/>
      <c r="Y200" s="18"/>
      <c r="Z200" s="250"/>
      <c r="AA200" s="18"/>
      <c r="AB200" s="18"/>
      <c r="AC200" s="250"/>
      <c r="AD200" s="18"/>
      <c r="AE200" s="18"/>
      <c r="AF200" s="250"/>
      <c r="AG200" s="18"/>
      <c r="AH200" s="18"/>
      <c r="AI200" s="250"/>
      <c r="AJ200" s="18"/>
      <c r="AK200" s="18"/>
      <c r="AL200" s="18"/>
      <c r="AM200" s="18"/>
      <c r="AN200" s="18"/>
      <c r="AO200" s="18"/>
      <c r="AP200" s="18"/>
      <c r="AQ200" s="18"/>
      <c r="AR200" s="18"/>
      <c r="AS200" s="18"/>
      <c r="AT200" s="18"/>
      <c r="AU200" s="18"/>
      <c r="AV200" s="18"/>
      <c r="AW200" s="18"/>
      <c r="AX200" s="18"/>
      <c r="AY200" s="18"/>
      <c r="AZ200" s="18"/>
    </row>
  </sheetData>
  <sheetProtection algorithmName="SHA-512" hashValue="ort0Mui4QPGOHIgvm1kX+jrg7pbfBO6KIRR1OtlpWvj+VDwfWE6TocZqE7gg/3gczyJnfc13PDRxmR8SY3jWcQ==" saltValue="BSFUXxN8/mywn42d/PuA0w==" spinCount="100000" sheet="1" objects="1" scenarios="1" formatCells="0" formatColumns="0" formatRows="0"/>
  <mergeCells count="1">
    <mergeCell ref="M3:O3"/>
  </mergeCells>
  <conditionalFormatting sqref="C48:J56 C101:J101 C58:J62 C64:J64 C67:J67 C70:J74 C76:J76 C79:J82 C85:J86 C91:J92 C87:E89 C93:E93 C126:J134 C136:J136 C138:J141 C144:I148 C154:I154 C150:I152 C103:J124 C6:J45">
    <cfRule type="expression" dxfId="21" priority="1">
      <formula>_xlfn.ISFORMULA(C6)=FALSE</formula>
    </cfRule>
  </conditionalFormatting>
  <pageMargins left="0.7" right="0.7" top="0.75" bottom="0.75" header="0.3" footer="0.3"/>
  <pageSetup paperSize="9" orientation="portrait" r:id="rId1"/>
  <ignoredErrors>
    <ignoredError sqref="F86"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B2D59-5D00-4416-937E-65414F39172C}">
  <sheetPr codeName="Sheet13">
    <tabColor rgb="FFFF0000"/>
  </sheetPr>
  <dimension ref="A1:Z70"/>
  <sheetViews>
    <sheetView zoomScaleNormal="100" workbookViewId="0">
      <pane ySplit="3" topLeftCell="A4" activePane="bottomLeft" state="frozen"/>
      <selection activeCell="D25" sqref="D25"/>
      <selection pane="bottomLeft" activeCell="A44" sqref="A44"/>
    </sheetView>
  </sheetViews>
  <sheetFormatPr defaultColWidth="9.33203125" defaultRowHeight="12.5" x14ac:dyDescent="0.25"/>
  <cols>
    <col min="1" max="1" width="5.77734375" style="516" customWidth="1"/>
    <col min="2" max="2" width="41.109375" style="516" bestFit="1" customWidth="1"/>
    <col min="3" max="3" width="20.77734375" style="516" bestFit="1" customWidth="1"/>
    <col min="4" max="4" width="24.6640625" style="516" bestFit="1" customWidth="1"/>
    <col min="5" max="10" width="15.77734375" style="516" customWidth="1"/>
    <col min="11" max="16384" width="9.33203125" style="516"/>
  </cols>
  <sheetData>
    <row r="1" spans="1:26" x14ac:dyDescent="0.25">
      <c r="A1" s="18"/>
      <c r="B1" s="18"/>
      <c r="C1" s="18"/>
      <c r="D1" s="18"/>
      <c r="E1" s="18"/>
      <c r="F1" s="18"/>
      <c r="G1" s="18"/>
      <c r="H1" s="18"/>
      <c r="I1" s="18"/>
      <c r="J1" s="18"/>
      <c r="K1" s="18"/>
      <c r="L1" s="18"/>
      <c r="M1" s="18"/>
      <c r="N1" s="18"/>
      <c r="O1" s="18"/>
      <c r="P1" s="18"/>
      <c r="Q1" s="18"/>
      <c r="R1" s="18"/>
      <c r="S1" s="18"/>
      <c r="T1" s="18"/>
      <c r="U1" s="18"/>
      <c r="V1" s="18"/>
      <c r="W1" s="18"/>
      <c r="X1" s="18"/>
      <c r="Y1" s="18"/>
      <c r="Z1" s="18"/>
    </row>
    <row r="2" spans="1:26" ht="27" customHeight="1" x14ac:dyDescent="0.25">
      <c r="A2" s="18"/>
      <c r="B2" s="143"/>
      <c r="C2" s="144" t="s">
        <v>55</v>
      </c>
      <c r="D2" s="144"/>
      <c r="E2" s="145" t="str">
        <f>Frontend!$C$7</f>
        <v>NTC SJ Equity</v>
      </c>
      <c r="F2" s="146"/>
      <c r="G2" s="18"/>
      <c r="H2" s="18"/>
      <c r="I2" s="18"/>
      <c r="J2" s="18"/>
      <c r="K2" s="18"/>
      <c r="L2" s="18"/>
      <c r="M2" s="18"/>
      <c r="N2" s="18"/>
      <c r="O2" s="18"/>
      <c r="P2" s="18"/>
      <c r="Q2" s="18"/>
      <c r="R2" s="18"/>
      <c r="S2" s="18"/>
      <c r="T2" s="18"/>
      <c r="U2" s="18"/>
      <c r="V2" s="18"/>
      <c r="W2" s="18"/>
      <c r="X2" s="18"/>
      <c r="Y2" s="18"/>
      <c r="Z2" s="18"/>
    </row>
    <row r="3" spans="1:26" ht="19.5" customHeight="1" x14ac:dyDescent="0.25">
      <c r="A3" s="18"/>
      <c r="B3" s="18"/>
      <c r="C3" s="18"/>
      <c r="D3" s="18"/>
      <c r="E3" s="18"/>
      <c r="F3" s="18"/>
      <c r="G3" s="18"/>
      <c r="H3" s="18"/>
      <c r="I3" s="18"/>
      <c r="J3" s="18"/>
      <c r="K3" s="18"/>
      <c r="L3" s="18"/>
      <c r="M3" s="18"/>
      <c r="N3" s="18"/>
      <c r="O3" s="18"/>
      <c r="P3" s="18"/>
      <c r="Q3" s="18"/>
      <c r="R3" s="18"/>
      <c r="S3" s="18"/>
      <c r="T3" s="18"/>
      <c r="U3" s="18"/>
      <c r="V3" s="18"/>
      <c r="W3" s="18"/>
      <c r="X3" s="18"/>
      <c r="Y3" s="18"/>
      <c r="Z3" s="18"/>
    </row>
    <row r="4" spans="1:26" ht="15" customHeight="1" x14ac:dyDescent="0.25">
      <c r="A4" s="18"/>
      <c r="B4" s="16"/>
      <c r="C4" s="16"/>
      <c r="D4" s="172" t="s">
        <v>556</v>
      </c>
      <c r="E4" s="172" t="s">
        <v>27</v>
      </c>
      <c r="F4" s="172" t="s">
        <v>21</v>
      </c>
      <c r="G4" s="172" t="s">
        <v>557</v>
      </c>
      <c r="H4" s="16"/>
      <c r="I4" s="16"/>
      <c r="J4" s="16"/>
      <c r="K4" s="18"/>
      <c r="L4" s="18"/>
      <c r="M4" s="18"/>
      <c r="N4" s="18"/>
      <c r="O4" s="18"/>
      <c r="P4" s="18"/>
      <c r="Q4" s="18"/>
      <c r="R4" s="18"/>
      <c r="S4" s="18"/>
      <c r="T4" s="18"/>
      <c r="U4" s="18"/>
      <c r="V4" s="18"/>
      <c r="W4" s="18"/>
      <c r="X4" s="18"/>
      <c r="Y4" s="18"/>
      <c r="Z4" s="18"/>
    </row>
    <row r="5" spans="1:26" ht="15" customHeight="1" x14ac:dyDescent="0.25">
      <c r="A5" s="18"/>
      <c r="B5" s="173" t="s">
        <v>558</v>
      </c>
      <c r="C5" s="174">
        <f>Fcsts!V59*1000000</f>
        <v>20521420000</v>
      </c>
      <c r="D5" s="175">
        <f>Fcsts!V65</f>
        <v>0.15</v>
      </c>
      <c r="E5" s="176"/>
      <c r="F5" s="177">
        <f>D5*G5</f>
        <v>0.14249999999999999</v>
      </c>
      <c r="G5" s="178">
        <v>0.95</v>
      </c>
      <c r="H5" s="16"/>
      <c r="I5" s="16"/>
      <c r="J5" s="16"/>
      <c r="K5" s="18"/>
      <c r="L5" s="18"/>
      <c r="M5" s="18"/>
      <c r="N5" s="18"/>
      <c r="O5" s="18"/>
      <c r="P5" s="18"/>
      <c r="Q5" s="18"/>
      <c r="R5" s="18"/>
      <c r="S5" s="18"/>
      <c r="T5" s="18"/>
      <c r="U5" s="18"/>
      <c r="V5" s="18"/>
      <c r="W5" s="18"/>
      <c r="X5" s="18"/>
      <c r="Y5" s="18"/>
      <c r="Z5" s="18"/>
    </row>
    <row r="6" spans="1:26" ht="15" customHeight="1" x14ac:dyDescent="0.25">
      <c r="A6" s="18"/>
      <c r="B6" s="179" t="s">
        <v>559</v>
      </c>
      <c r="C6" s="180">
        <f>(Fcsts!E54+Fcsts!E60)*1000000</f>
        <v>6475665500</v>
      </c>
      <c r="D6" s="181">
        <v>0.09</v>
      </c>
      <c r="E6" s="182"/>
      <c r="F6" s="183">
        <f>(D6*(1-E7))*G6</f>
        <v>3.2400000000000029E-3</v>
      </c>
      <c r="G6" s="178">
        <f>1-G5</f>
        <v>5.0000000000000044E-2</v>
      </c>
      <c r="H6" s="16"/>
      <c r="I6" s="16"/>
      <c r="J6" s="16"/>
      <c r="K6" s="18"/>
      <c r="L6" s="18"/>
      <c r="M6" s="18"/>
      <c r="N6" s="18"/>
      <c r="O6" s="18"/>
      <c r="P6" s="18"/>
      <c r="Q6" s="18"/>
      <c r="R6" s="18"/>
      <c r="S6" s="18"/>
      <c r="T6" s="18"/>
      <c r="U6" s="18"/>
      <c r="V6" s="18"/>
      <c r="W6" s="18"/>
      <c r="X6" s="18"/>
      <c r="Y6" s="18"/>
      <c r="Z6" s="18"/>
    </row>
    <row r="7" spans="1:26" ht="15" customHeight="1" x14ac:dyDescent="0.25">
      <c r="A7" s="18"/>
      <c r="B7" s="184" t="s">
        <v>560</v>
      </c>
      <c r="C7" s="185">
        <f>SUM(C5:C6)</f>
        <v>26997085500</v>
      </c>
      <c r="D7" s="186"/>
      <c r="E7" s="187">
        <v>0.28000000000000003</v>
      </c>
      <c r="F7" s="188">
        <f>SUM(F5:F6)</f>
        <v>0.14573999999999998</v>
      </c>
      <c r="G7" s="16"/>
      <c r="H7" s="16"/>
      <c r="I7" s="16"/>
      <c r="J7" s="16"/>
      <c r="K7" s="18"/>
      <c r="L7" s="18"/>
      <c r="M7" s="18"/>
      <c r="N7" s="18"/>
      <c r="O7" s="18"/>
      <c r="P7" s="18"/>
      <c r="Q7" s="18"/>
      <c r="R7" s="18"/>
      <c r="S7" s="18"/>
      <c r="T7" s="18"/>
      <c r="U7" s="18"/>
      <c r="V7" s="18"/>
      <c r="W7" s="18"/>
      <c r="X7" s="18"/>
      <c r="Y7" s="18"/>
      <c r="Z7" s="18"/>
    </row>
    <row r="8" spans="1:26" ht="15" customHeight="1" x14ac:dyDescent="0.25">
      <c r="A8" s="18"/>
      <c r="B8" s="16"/>
      <c r="C8" s="16"/>
      <c r="D8" s="16"/>
      <c r="E8" s="16"/>
      <c r="F8" s="16"/>
      <c r="G8" s="16"/>
      <c r="H8" s="16"/>
      <c r="I8" s="16"/>
      <c r="J8" s="16"/>
      <c r="K8" s="18"/>
      <c r="L8" s="18"/>
      <c r="M8" s="18"/>
      <c r="N8" s="18"/>
      <c r="O8" s="18"/>
      <c r="P8" s="18"/>
      <c r="Q8" s="18"/>
      <c r="R8" s="18"/>
      <c r="S8" s="18"/>
      <c r="T8" s="18"/>
      <c r="U8" s="18"/>
      <c r="V8" s="18"/>
      <c r="W8" s="18"/>
      <c r="X8" s="18"/>
      <c r="Y8" s="18"/>
      <c r="Z8" s="18"/>
    </row>
    <row r="9" spans="1:26" ht="15" customHeight="1" x14ac:dyDescent="0.25">
      <c r="A9" s="18"/>
      <c r="B9" s="189" t="s">
        <v>71</v>
      </c>
      <c r="C9" s="190"/>
      <c r="D9" s="190"/>
      <c r="E9" s="190"/>
      <c r="F9" s="191"/>
      <c r="G9" s="16"/>
      <c r="H9" s="16"/>
      <c r="I9" s="16"/>
      <c r="J9" s="16"/>
      <c r="K9" s="18"/>
      <c r="L9" s="18"/>
      <c r="M9" s="18"/>
      <c r="N9" s="18"/>
      <c r="O9" s="18"/>
      <c r="P9" s="18"/>
      <c r="Q9" s="18"/>
      <c r="R9" s="18"/>
      <c r="S9" s="18"/>
      <c r="T9" s="18"/>
      <c r="U9" s="18"/>
      <c r="V9" s="18"/>
      <c r="W9" s="18"/>
      <c r="X9" s="18"/>
      <c r="Y9" s="18"/>
      <c r="Z9" s="18"/>
    </row>
    <row r="10" spans="1:26" ht="15" customHeight="1" x14ac:dyDescent="0.25">
      <c r="A10" s="18"/>
      <c r="B10" s="192" t="s">
        <v>78</v>
      </c>
      <c r="C10" s="186"/>
      <c r="D10" s="186"/>
      <c r="E10" s="186"/>
      <c r="F10" s="193"/>
      <c r="G10" s="16"/>
      <c r="H10" s="16"/>
      <c r="I10" s="16"/>
      <c r="J10" s="16"/>
      <c r="K10" s="18"/>
      <c r="L10" s="18"/>
      <c r="M10" s="18"/>
      <c r="N10" s="18"/>
      <c r="O10" s="18"/>
      <c r="P10" s="18"/>
      <c r="Q10" s="18"/>
      <c r="R10" s="18"/>
      <c r="S10" s="18"/>
      <c r="T10" s="18"/>
      <c r="U10" s="18"/>
      <c r="V10" s="18"/>
      <c r="W10" s="18"/>
      <c r="X10" s="18"/>
      <c r="Y10" s="18"/>
      <c r="Z10" s="18"/>
    </row>
    <row r="11" spans="1:26" customFormat="1" ht="15" customHeight="1" x14ac:dyDescent="0.3">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row>
    <row r="12" spans="1:26" ht="15" customHeight="1" x14ac:dyDescent="0.25">
      <c r="A12" s="18"/>
      <c r="B12" s="16"/>
      <c r="C12" s="16"/>
      <c r="D12" s="16"/>
      <c r="E12" s="194" t="s">
        <v>561</v>
      </c>
      <c r="F12" s="16"/>
      <c r="G12" s="16"/>
      <c r="H12" s="16"/>
      <c r="I12" s="16"/>
      <c r="J12" s="16"/>
      <c r="K12" s="18"/>
      <c r="L12" s="18"/>
      <c r="M12" s="18"/>
      <c r="N12" s="18"/>
      <c r="O12" s="18"/>
      <c r="P12" s="18"/>
      <c r="Q12" s="18"/>
      <c r="R12" s="18"/>
      <c r="S12" s="18"/>
      <c r="T12" s="18"/>
      <c r="U12" s="18"/>
      <c r="V12" s="18"/>
      <c r="W12" s="18"/>
      <c r="X12" s="18"/>
      <c r="Y12" s="18"/>
      <c r="Z12" s="18"/>
    </row>
    <row r="13" spans="1:26" ht="15" customHeight="1" x14ac:dyDescent="0.25">
      <c r="A13" s="18"/>
      <c r="B13" s="195" t="s">
        <v>562</v>
      </c>
      <c r="C13" s="196">
        <v>0.122</v>
      </c>
      <c r="D13" s="197"/>
      <c r="E13" s="196">
        <v>0.17</v>
      </c>
      <c r="F13" s="176"/>
      <c r="G13" s="176"/>
      <c r="H13" s="176"/>
      <c r="I13" s="176"/>
      <c r="J13" s="191"/>
      <c r="K13" s="18"/>
      <c r="L13" s="18"/>
      <c r="M13" s="18"/>
      <c r="N13" s="18"/>
      <c r="O13" s="18"/>
      <c r="P13" s="18"/>
      <c r="Q13" s="18"/>
      <c r="R13" s="18"/>
      <c r="S13" s="18"/>
      <c r="T13" s="18"/>
      <c r="U13" s="18"/>
      <c r="V13" s="18"/>
      <c r="W13" s="18"/>
      <c r="X13" s="18"/>
      <c r="Y13" s="18"/>
      <c r="Z13" s="18"/>
    </row>
    <row r="14" spans="1:26" ht="15" customHeight="1" x14ac:dyDescent="0.25">
      <c r="A14" s="18"/>
      <c r="B14" s="198" t="s">
        <v>295</v>
      </c>
      <c r="C14" s="178">
        <v>0.11</v>
      </c>
      <c r="D14" s="199"/>
      <c r="E14" s="200" t="s">
        <v>671</v>
      </c>
      <c r="F14" s="182"/>
      <c r="G14" s="182"/>
      <c r="H14" s="182"/>
      <c r="I14" s="182"/>
      <c r="J14" s="201"/>
      <c r="K14" s="18"/>
      <c r="L14" s="18"/>
      <c r="M14" s="18"/>
      <c r="N14" s="18"/>
      <c r="O14" s="18"/>
      <c r="P14" s="18"/>
      <c r="Q14" s="18"/>
      <c r="R14" s="18"/>
      <c r="S14" s="18"/>
      <c r="T14" s="18"/>
      <c r="U14" s="18"/>
      <c r="V14" s="18"/>
      <c r="W14" s="18"/>
      <c r="X14" s="18"/>
      <c r="Y14" s="18"/>
      <c r="Z14" s="18"/>
    </row>
    <row r="15" spans="1:26" ht="15" customHeight="1" x14ac:dyDescent="0.25">
      <c r="A15" s="18"/>
      <c r="B15" s="198" t="s">
        <v>136</v>
      </c>
      <c r="C15" s="178">
        <v>0.06</v>
      </c>
      <c r="D15" s="199"/>
      <c r="E15" s="199"/>
      <c r="F15" s="182"/>
      <c r="G15" s="182"/>
      <c r="H15" s="182"/>
      <c r="I15" s="182"/>
      <c r="J15" s="201"/>
      <c r="K15" s="18"/>
      <c r="L15" s="18"/>
      <c r="M15" s="18"/>
      <c r="N15" s="18"/>
      <c r="O15" s="18"/>
      <c r="P15" s="18"/>
      <c r="Q15" s="18"/>
      <c r="R15" s="18"/>
      <c r="S15" s="18"/>
      <c r="T15" s="18"/>
      <c r="U15" s="18"/>
      <c r="V15" s="18"/>
      <c r="W15" s="18"/>
      <c r="X15" s="18"/>
      <c r="Y15" s="18"/>
      <c r="Z15" s="18"/>
    </row>
    <row r="16" spans="1:26" ht="15" customHeight="1" x14ac:dyDescent="0.25">
      <c r="A16" s="18"/>
      <c r="B16" s="198" t="s">
        <v>137</v>
      </c>
      <c r="C16" s="202">
        <v>3</v>
      </c>
      <c r="D16" s="199"/>
      <c r="E16" s="199"/>
      <c r="F16" s="182"/>
      <c r="G16" s="182"/>
      <c r="H16" s="182"/>
      <c r="I16" s="182"/>
      <c r="J16" s="201"/>
      <c r="K16" s="18"/>
      <c r="L16" s="18"/>
      <c r="M16" s="18"/>
      <c r="N16" s="18"/>
      <c r="O16" s="18"/>
      <c r="P16" s="18"/>
      <c r="Q16" s="18"/>
      <c r="R16" s="18"/>
      <c r="S16" s="18"/>
      <c r="T16" s="18"/>
      <c r="U16" s="18"/>
      <c r="V16" s="18"/>
      <c r="W16" s="18"/>
      <c r="X16" s="18"/>
      <c r="Y16" s="18"/>
      <c r="Z16" s="18"/>
    </row>
    <row r="17" spans="1:26" ht="15" customHeight="1" x14ac:dyDescent="0.25">
      <c r="A17" s="18"/>
      <c r="B17" s="198" t="s">
        <v>21</v>
      </c>
      <c r="C17" s="203">
        <f>F7</f>
        <v>0.14573999999999998</v>
      </c>
      <c r="D17" s="199"/>
      <c r="E17" s="204">
        <v>0.11</v>
      </c>
      <c r="F17" s="182"/>
      <c r="G17" s="182"/>
      <c r="H17" s="182"/>
      <c r="I17" s="182"/>
      <c r="J17" s="201"/>
      <c r="K17" s="18"/>
      <c r="L17" s="18"/>
      <c r="M17" s="18"/>
      <c r="N17" s="18"/>
      <c r="O17" s="18"/>
      <c r="P17" s="18"/>
      <c r="Q17" s="18"/>
      <c r="R17" s="18"/>
      <c r="S17" s="18"/>
      <c r="T17" s="18"/>
      <c r="U17" s="18"/>
      <c r="V17" s="18"/>
      <c r="W17" s="18"/>
      <c r="X17" s="18"/>
      <c r="Y17" s="18"/>
      <c r="Z17" s="18"/>
    </row>
    <row r="18" spans="1:26" ht="15" customHeight="1" x14ac:dyDescent="0.25">
      <c r="A18" s="18"/>
      <c r="B18" s="198" t="s">
        <v>563</v>
      </c>
      <c r="C18" s="205">
        <f>AVERAGE(Fcsts!C104:E104)/AVERAGE(Fcsts!C34:E34)</f>
        <v>0.29578952530002139</v>
      </c>
      <c r="D18" s="199"/>
      <c r="E18" s="206">
        <f>AVERAGE(DCF!C43:G43)</f>
        <v>0.32303377497354024</v>
      </c>
      <c r="F18" s="182"/>
      <c r="G18" s="182"/>
      <c r="H18" s="182"/>
      <c r="I18" s="182"/>
      <c r="J18" s="201"/>
      <c r="K18" s="18"/>
      <c r="L18" s="18"/>
      <c r="M18" s="18"/>
      <c r="N18" s="18"/>
      <c r="O18" s="18"/>
      <c r="P18" s="18"/>
      <c r="Q18" s="18"/>
      <c r="R18" s="18"/>
      <c r="S18" s="18"/>
      <c r="T18" s="18"/>
      <c r="U18" s="18"/>
      <c r="V18" s="18"/>
      <c r="W18" s="18"/>
      <c r="X18" s="18"/>
      <c r="Y18" s="18"/>
      <c r="Z18" s="18"/>
    </row>
    <row r="19" spans="1:26" ht="15" customHeight="1" x14ac:dyDescent="0.25">
      <c r="A19" s="18"/>
      <c r="B19" s="198" t="s">
        <v>564</v>
      </c>
      <c r="C19" s="205">
        <f>E7</f>
        <v>0.28000000000000003</v>
      </c>
      <c r="D19" s="199"/>
      <c r="E19" s="199"/>
      <c r="F19" s="182"/>
      <c r="G19" s="182"/>
      <c r="H19" s="182"/>
      <c r="I19" s="182"/>
      <c r="J19" s="201"/>
      <c r="K19" s="18"/>
      <c r="L19" s="18"/>
      <c r="M19" s="18"/>
      <c r="N19" s="18"/>
      <c r="O19" s="18"/>
      <c r="P19" s="18"/>
      <c r="Q19" s="18"/>
      <c r="R19" s="18"/>
      <c r="S19" s="18"/>
      <c r="T19" s="18"/>
      <c r="U19" s="18"/>
      <c r="V19" s="18"/>
      <c r="W19" s="18"/>
      <c r="X19" s="18"/>
      <c r="Y19" s="18"/>
      <c r="Z19" s="18"/>
    </row>
    <row r="20" spans="1:26" ht="15" customHeight="1" x14ac:dyDescent="0.25">
      <c r="A20" s="18"/>
      <c r="B20" s="198" t="s">
        <v>565</v>
      </c>
      <c r="C20" s="207">
        <f>AVERAGE(Fcsts!C34:E34)</f>
        <v>4499.8416447109967</v>
      </c>
      <c r="D20" s="199"/>
      <c r="E20" s="199">
        <f>AVERAGE(Fcsts!F34:J34)</f>
        <v>3350.6</v>
      </c>
      <c r="F20" s="182"/>
      <c r="G20" s="182"/>
      <c r="H20" s="182"/>
      <c r="I20" s="182"/>
      <c r="J20" s="201"/>
      <c r="K20" s="18"/>
      <c r="L20" s="18"/>
      <c r="M20" s="18"/>
      <c r="N20" s="18"/>
      <c r="O20" s="18"/>
      <c r="P20" s="18"/>
      <c r="Q20" s="18"/>
      <c r="R20" s="18"/>
      <c r="S20" s="18"/>
      <c r="T20" s="18"/>
      <c r="U20" s="18"/>
      <c r="V20" s="18"/>
      <c r="W20" s="18"/>
      <c r="X20" s="18"/>
      <c r="Y20" s="18"/>
      <c r="Z20" s="18"/>
    </row>
    <row r="21" spans="1:26" ht="15" customHeight="1" x14ac:dyDescent="0.25">
      <c r="A21" s="18"/>
      <c r="B21" s="198" t="s">
        <v>566</v>
      </c>
      <c r="C21" s="208">
        <f>Fcsts!F32</f>
        <v>1338</v>
      </c>
      <c r="D21" s="199"/>
      <c r="E21" s="199"/>
      <c r="F21" s="182"/>
      <c r="G21" s="182"/>
      <c r="H21" s="182"/>
      <c r="I21" s="182"/>
      <c r="J21" s="201"/>
      <c r="K21" s="18"/>
      <c r="L21" s="18"/>
      <c r="M21" s="18"/>
      <c r="N21" s="18"/>
      <c r="O21" s="18"/>
      <c r="P21" s="18"/>
      <c r="Q21" s="18"/>
      <c r="R21" s="18"/>
      <c r="S21" s="18"/>
      <c r="T21" s="18"/>
      <c r="U21" s="18"/>
      <c r="V21" s="18"/>
      <c r="W21" s="18"/>
      <c r="X21" s="18"/>
      <c r="Y21" s="18"/>
      <c r="Z21" s="18"/>
    </row>
    <row r="22" spans="1:26" ht="15" customHeight="1" x14ac:dyDescent="0.25">
      <c r="A22" s="18"/>
      <c r="B22" s="209" t="str">
        <f>Frontend!B21</f>
        <v>Current Price (ZAR)</v>
      </c>
      <c r="C22" s="210">
        <f>Frontend!C21</f>
        <v>14.26</v>
      </c>
      <c r="D22" s="199"/>
      <c r="E22" s="199"/>
      <c r="F22" s="182"/>
      <c r="G22" s="182"/>
      <c r="H22" s="182"/>
      <c r="I22" s="182"/>
      <c r="J22" s="201"/>
      <c r="K22" s="18"/>
      <c r="L22" s="18"/>
      <c r="M22" s="18"/>
      <c r="N22" s="18"/>
      <c r="O22" s="18"/>
      <c r="P22" s="18"/>
      <c r="Q22" s="18"/>
      <c r="R22" s="18"/>
      <c r="S22" s="18"/>
      <c r="T22" s="18"/>
      <c r="U22" s="18"/>
      <c r="V22" s="18"/>
      <c r="W22" s="18"/>
      <c r="X22" s="18"/>
      <c r="Y22" s="18"/>
      <c r="Z22" s="18"/>
    </row>
    <row r="23" spans="1:26" ht="15" customHeight="1" x14ac:dyDescent="0.25">
      <c r="A23" s="18"/>
      <c r="B23" s="198"/>
      <c r="C23" s="210"/>
      <c r="D23" s="199"/>
      <c r="E23" s="199"/>
      <c r="F23" s="182"/>
      <c r="G23" s="182"/>
      <c r="H23" s="182"/>
      <c r="I23" s="182"/>
      <c r="J23" s="201"/>
      <c r="K23" s="18"/>
      <c r="L23" s="18"/>
      <c r="M23" s="18"/>
      <c r="N23" s="18"/>
      <c r="O23" s="18"/>
      <c r="P23" s="18"/>
      <c r="Q23" s="18"/>
      <c r="R23" s="18"/>
      <c r="S23" s="18"/>
      <c r="T23" s="18"/>
      <c r="U23" s="18"/>
      <c r="V23" s="18"/>
      <c r="W23" s="18"/>
      <c r="X23" s="18"/>
      <c r="Y23" s="18"/>
      <c r="Z23" s="18"/>
    </row>
    <row r="24" spans="1:26" ht="15" customHeight="1" x14ac:dyDescent="0.25">
      <c r="A24" s="18"/>
      <c r="B24" s="198"/>
      <c r="C24" s="211" t="s">
        <v>657</v>
      </c>
      <c r="D24" s="541" t="s">
        <v>547</v>
      </c>
      <c r="E24" s="211" t="s">
        <v>140</v>
      </c>
      <c r="F24" s="212" t="s">
        <v>567</v>
      </c>
      <c r="G24" s="211" t="s">
        <v>559</v>
      </c>
      <c r="H24" s="211" t="s">
        <v>568</v>
      </c>
      <c r="I24" s="211" t="s">
        <v>15</v>
      </c>
      <c r="J24" s="213" t="s">
        <v>569</v>
      </c>
      <c r="K24" s="18"/>
      <c r="L24" s="18"/>
      <c r="M24" s="18"/>
      <c r="N24" s="18"/>
      <c r="O24" s="18"/>
      <c r="P24" s="18"/>
      <c r="Q24" s="18"/>
      <c r="R24" s="18"/>
      <c r="S24" s="18"/>
      <c r="T24" s="18"/>
      <c r="U24" s="18"/>
      <c r="V24" s="18"/>
      <c r="W24" s="18"/>
      <c r="X24" s="18"/>
      <c r="Y24" s="18"/>
      <c r="Z24" s="18"/>
    </row>
    <row r="25" spans="1:26" ht="15" customHeight="1" x14ac:dyDescent="0.25">
      <c r="A25" s="18"/>
      <c r="B25" s="214" t="s">
        <v>570</v>
      </c>
      <c r="C25" s="215">
        <f>(C13-C15)/(C13*(C17-C15)*(1-C18)*(1-C19))</f>
        <v>11.689970159846638</v>
      </c>
      <c r="D25" s="538">
        <f>J25/C21</f>
        <v>36.055567302471424</v>
      </c>
      <c r="E25" s="216">
        <f>D25/C22-1</f>
        <v>1.5284409048016427</v>
      </c>
      <c r="F25" s="217">
        <f>C25*C20</f>
        <v>52603.014550706765</v>
      </c>
      <c r="G25" s="217">
        <f>C6/1000000</f>
        <v>6475.6655000000001</v>
      </c>
      <c r="H25" s="217">
        <f>Fcsts!E85</f>
        <v>2169</v>
      </c>
      <c r="I25" s="217">
        <f>Fcsts!E50</f>
        <v>54</v>
      </c>
      <c r="J25" s="218">
        <f>F25-G25+H25-I25</f>
        <v>48242.349050706762</v>
      </c>
      <c r="K25" s="18"/>
      <c r="L25" s="18"/>
      <c r="M25" s="18"/>
      <c r="N25" s="18"/>
      <c r="O25" s="18"/>
      <c r="P25" s="18"/>
      <c r="Q25" s="18"/>
      <c r="R25" s="18"/>
      <c r="S25" s="18"/>
      <c r="T25" s="18"/>
      <c r="U25" s="18"/>
      <c r="V25" s="18"/>
      <c r="W25" s="18"/>
      <c r="X25" s="18"/>
      <c r="Y25" s="18"/>
      <c r="Z25" s="18"/>
    </row>
    <row r="26" spans="1:26" ht="15" customHeight="1" x14ac:dyDescent="0.25">
      <c r="A26" s="18"/>
      <c r="B26" s="219" t="s">
        <v>571</v>
      </c>
      <c r="C26" s="220">
        <f>(C13-C15)/((C13*(C17-C15)*(1-C18)*(1-C19)))+(C16/2*(C14-C15)/(C17-C15)*(1-C18)*(1-C19))</f>
        <v>12.133489703044665</v>
      </c>
      <c r="D26" s="539">
        <f>J26/C21</f>
        <v>37.547172467438301</v>
      </c>
      <c r="E26" s="222">
        <f>D26/C22-1</f>
        <v>1.6330415475061923</v>
      </c>
      <c r="F26" s="223">
        <f>C20*C26</f>
        <v>54598.782261432447</v>
      </c>
      <c r="G26" s="223">
        <f>G25</f>
        <v>6475.6655000000001</v>
      </c>
      <c r="H26" s="223">
        <f>H25</f>
        <v>2169</v>
      </c>
      <c r="I26" s="223">
        <f>I25</f>
        <v>54</v>
      </c>
      <c r="J26" s="224">
        <f>F26-G26+H26-I26</f>
        <v>50238.116761432444</v>
      </c>
      <c r="K26" s="18"/>
      <c r="L26" s="18"/>
      <c r="M26" s="18"/>
      <c r="N26" s="18"/>
      <c r="O26" s="18"/>
      <c r="P26" s="18"/>
      <c r="Q26" s="18"/>
      <c r="R26" s="18"/>
      <c r="S26" s="18"/>
      <c r="T26" s="18"/>
      <c r="U26" s="18"/>
      <c r="V26" s="18"/>
      <c r="W26" s="18"/>
      <c r="X26" s="18"/>
      <c r="Y26" s="18"/>
      <c r="Z26" s="18"/>
    </row>
    <row r="27" spans="1:26" ht="15" customHeight="1" x14ac:dyDescent="0.25">
      <c r="A27" s="18"/>
      <c r="B27" s="225" t="s">
        <v>297</v>
      </c>
      <c r="C27" s="226">
        <f>AVERAGE(C25:C26)</f>
        <v>11.911729931445652</v>
      </c>
      <c r="D27" s="539">
        <f>J27/C21</f>
        <v>35.220652396165626</v>
      </c>
      <c r="E27" s="222">
        <f>D27/C22-1</f>
        <v>1.4698914723818812</v>
      </c>
      <c r="F27" s="223">
        <f>C20*C27</f>
        <v>53600.898406069609</v>
      </c>
      <c r="G27" s="223">
        <f>C6/1000000</f>
        <v>6475.6655000000001</v>
      </c>
      <c r="H27" s="221"/>
      <c r="I27" s="223">
        <f>AVERAGE(I25:I26)</f>
        <v>54</v>
      </c>
      <c r="J27" s="224">
        <f>F27-G27</f>
        <v>47125.232906069607</v>
      </c>
      <c r="K27" s="18"/>
      <c r="L27" s="18"/>
      <c r="M27" s="18"/>
      <c r="N27" s="18"/>
      <c r="O27" s="18"/>
      <c r="P27" s="18"/>
      <c r="Q27" s="18"/>
      <c r="R27" s="18"/>
      <c r="S27" s="18"/>
      <c r="T27" s="18"/>
      <c r="U27" s="18"/>
      <c r="V27" s="18"/>
      <c r="W27" s="18"/>
      <c r="X27" s="18"/>
      <c r="Y27" s="18"/>
      <c r="Z27" s="18"/>
    </row>
    <row r="28" spans="1:26" ht="15" customHeight="1" x14ac:dyDescent="0.3">
      <c r="A28" s="18"/>
      <c r="B28" s="17"/>
      <c r="C28" s="227"/>
      <c r="D28" s="227"/>
      <c r="E28" s="227"/>
      <c r="F28" s="227"/>
      <c r="G28" s="227"/>
      <c r="H28" s="227"/>
      <c r="I28" s="227"/>
      <c r="J28" s="227"/>
      <c r="K28" s="18"/>
      <c r="L28" s="18"/>
      <c r="M28" s="18"/>
      <c r="N28" s="18"/>
      <c r="O28" s="18"/>
      <c r="P28" s="18"/>
      <c r="Q28" s="18"/>
      <c r="R28" s="18"/>
      <c r="S28" s="18"/>
      <c r="T28" s="18"/>
      <c r="U28" s="18"/>
      <c r="V28" s="18"/>
      <c r="W28" s="18"/>
      <c r="X28" s="18"/>
      <c r="Y28" s="18"/>
      <c r="Z28" s="18"/>
    </row>
    <row r="29" spans="1:26" ht="15" customHeight="1" x14ac:dyDescent="0.3">
      <c r="A29" s="18"/>
      <c r="B29" s="17"/>
      <c r="C29" s="227"/>
      <c r="D29" s="227"/>
      <c r="E29" s="227"/>
      <c r="F29" s="227"/>
      <c r="G29" s="227"/>
      <c r="H29" s="227"/>
      <c r="I29" s="227"/>
      <c r="J29" s="227"/>
      <c r="K29" s="18"/>
      <c r="L29" s="18"/>
      <c r="M29" s="18"/>
      <c r="N29" s="18"/>
      <c r="O29" s="18"/>
      <c r="P29" s="18"/>
      <c r="Q29" s="18"/>
      <c r="R29" s="18"/>
      <c r="S29" s="18"/>
      <c r="T29" s="18"/>
      <c r="U29" s="18"/>
      <c r="V29" s="18"/>
      <c r="W29" s="18"/>
      <c r="X29" s="18"/>
      <c r="Y29" s="18"/>
      <c r="Z29" s="18"/>
    </row>
    <row r="30" spans="1:26" ht="15" customHeight="1" x14ac:dyDescent="0.3">
      <c r="A30" s="18"/>
      <c r="B30" s="17"/>
      <c r="C30" s="17"/>
      <c r="D30" s="16"/>
      <c r="E30" s="16"/>
      <c r="F30" s="16"/>
      <c r="G30" s="16"/>
      <c r="H30" s="16"/>
      <c r="I30" s="16"/>
      <c r="J30" s="16"/>
      <c r="K30" s="18"/>
      <c r="L30" s="18"/>
      <c r="M30" s="18"/>
      <c r="N30" s="18"/>
      <c r="O30" s="18"/>
      <c r="P30" s="18"/>
      <c r="Q30" s="18"/>
      <c r="R30" s="18"/>
      <c r="S30" s="18"/>
      <c r="T30" s="18"/>
      <c r="U30" s="18"/>
      <c r="V30" s="18"/>
      <c r="W30" s="18"/>
      <c r="X30" s="18"/>
      <c r="Y30" s="18"/>
      <c r="Z30" s="18"/>
    </row>
    <row r="31" spans="1:26" ht="15" customHeight="1" x14ac:dyDescent="0.3">
      <c r="A31" s="18"/>
      <c r="B31" s="17"/>
      <c r="C31" s="17"/>
      <c r="D31" s="16"/>
      <c r="E31" s="16"/>
      <c r="F31" s="16"/>
      <c r="G31" s="16"/>
      <c r="H31" s="16"/>
      <c r="I31" s="16"/>
      <c r="J31" s="16"/>
      <c r="K31" s="18"/>
      <c r="L31" s="18"/>
      <c r="M31" s="18"/>
      <c r="N31" s="18"/>
      <c r="O31" s="18"/>
      <c r="P31" s="18"/>
      <c r="Q31" s="18"/>
      <c r="R31" s="18"/>
      <c r="S31" s="18"/>
      <c r="T31" s="18"/>
      <c r="U31" s="18"/>
      <c r="V31" s="18"/>
      <c r="W31" s="18"/>
      <c r="X31" s="18"/>
      <c r="Y31" s="18"/>
      <c r="Z31" s="18"/>
    </row>
    <row r="32" spans="1:26" ht="15" customHeight="1" x14ac:dyDescent="0.25">
      <c r="A32" s="18"/>
      <c r="B32" s="16"/>
      <c r="C32" s="16"/>
      <c r="D32" s="16"/>
      <c r="E32" s="16"/>
      <c r="F32" s="16"/>
      <c r="G32" s="16"/>
      <c r="H32" s="16"/>
      <c r="I32" s="16"/>
      <c r="J32" s="16"/>
      <c r="K32" s="18"/>
      <c r="L32" s="18"/>
      <c r="M32" s="18"/>
      <c r="N32" s="18"/>
      <c r="O32" s="18"/>
      <c r="P32" s="18"/>
      <c r="Q32" s="18"/>
      <c r="R32" s="18"/>
      <c r="S32" s="18"/>
      <c r="T32" s="18"/>
      <c r="U32" s="18"/>
      <c r="V32" s="18"/>
      <c r="W32" s="18"/>
      <c r="X32" s="18"/>
      <c r="Y32" s="18"/>
      <c r="Z32" s="18"/>
    </row>
    <row r="33" spans="1:26" ht="15" customHeight="1" x14ac:dyDescent="0.25">
      <c r="A33" s="18"/>
      <c r="B33" s="16"/>
      <c r="C33" s="16"/>
      <c r="D33" s="16"/>
      <c r="E33" s="16"/>
      <c r="F33" s="16"/>
      <c r="G33" s="16"/>
      <c r="H33" s="16"/>
      <c r="I33" s="16"/>
      <c r="J33" s="16"/>
      <c r="K33" s="18"/>
      <c r="L33" s="18"/>
      <c r="M33" s="18"/>
      <c r="N33" s="18"/>
      <c r="O33" s="18"/>
      <c r="P33" s="18"/>
      <c r="Q33" s="18"/>
      <c r="R33" s="18"/>
      <c r="S33" s="18"/>
      <c r="T33" s="18"/>
      <c r="U33" s="18"/>
      <c r="V33" s="18"/>
      <c r="W33" s="18"/>
      <c r="X33" s="18"/>
      <c r="Y33" s="18"/>
      <c r="Z33" s="18"/>
    </row>
    <row r="34" spans="1:26" ht="15" customHeight="1" x14ac:dyDescent="0.25">
      <c r="A34" s="18"/>
      <c r="B34" s="16"/>
      <c r="C34" s="16"/>
      <c r="D34" s="16"/>
      <c r="E34" s="16"/>
      <c r="F34" s="16"/>
      <c r="G34" s="16"/>
      <c r="H34" s="16"/>
      <c r="I34" s="16"/>
      <c r="J34" s="16"/>
      <c r="K34" s="18"/>
      <c r="L34" s="18"/>
      <c r="M34" s="18"/>
      <c r="N34" s="18"/>
      <c r="O34" s="18"/>
      <c r="P34" s="18"/>
      <c r="Q34" s="18"/>
      <c r="R34" s="18"/>
      <c r="S34" s="18"/>
      <c r="T34" s="18"/>
      <c r="U34" s="18"/>
      <c r="V34" s="18"/>
      <c r="W34" s="18"/>
      <c r="X34" s="18"/>
      <c r="Y34" s="18"/>
      <c r="Z34" s="18"/>
    </row>
    <row r="35" spans="1:26" ht="15" customHeight="1" thickBot="1" x14ac:dyDescent="0.3">
      <c r="A35" s="18"/>
      <c r="B35" s="16"/>
      <c r="C35" s="16"/>
      <c r="D35" s="16"/>
      <c r="E35" s="16"/>
      <c r="F35" s="16"/>
      <c r="G35" s="16"/>
      <c r="H35" s="16"/>
      <c r="I35" s="16"/>
      <c r="J35" s="16"/>
      <c r="K35" s="18"/>
      <c r="L35" s="18"/>
      <c r="M35" s="18"/>
      <c r="N35" s="18"/>
      <c r="O35" s="18"/>
      <c r="P35" s="18"/>
      <c r="Q35" s="18"/>
      <c r="R35" s="18"/>
      <c r="S35" s="18"/>
      <c r="T35" s="18"/>
      <c r="U35" s="18"/>
      <c r="V35" s="18"/>
      <c r="W35" s="18"/>
      <c r="X35" s="18"/>
      <c r="Y35" s="18"/>
      <c r="Z35" s="18"/>
    </row>
    <row r="36" spans="1:26" ht="15" customHeight="1" x14ac:dyDescent="0.25">
      <c r="A36" s="18"/>
      <c r="B36" s="228" t="s">
        <v>72</v>
      </c>
      <c r="C36" s="229" t="s">
        <v>71</v>
      </c>
      <c r="D36" s="230" t="s">
        <v>572</v>
      </c>
      <c r="E36" s="231"/>
      <c r="F36" s="231"/>
      <c r="G36" s="232">
        <v>0.2</v>
      </c>
      <c r="H36" s="16"/>
      <c r="I36" s="16"/>
      <c r="J36" s="16"/>
      <c r="K36" s="18"/>
      <c r="L36" s="18"/>
      <c r="M36" s="18"/>
      <c r="N36" s="18"/>
      <c r="O36" s="18"/>
      <c r="P36" s="18"/>
      <c r="Q36" s="18"/>
      <c r="R36" s="18"/>
      <c r="S36" s="18"/>
      <c r="T36" s="18"/>
      <c r="U36" s="18"/>
      <c r="V36" s="18"/>
      <c r="W36" s="18"/>
      <c r="X36" s="18"/>
      <c r="Y36" s="18"/>
      <c r="Z36" s="18"/>
    </row>
    <row r="37" spans="1:26" ht="15" customHeight="1" x14ac:dyDescent="0.25">
      <c r="A37" s="18"/>
      <c r="B37" s="233"/>
      <c r="C37" s="234" t="s">
        <v>77</v>
      </c>
      <c r="D37" s="235" t="s">
        <v>573</v>
      </c>
      <c r="E37" s="182"/>
      <c r="F37" s="182"/>
      <c r="G37" s="236">
        <v>97316</v>
      </c>
      <c r="H37" s="16"/>
      <c r="I37" s="16"/>
      <c r="J37" s="16"/>
      <c r="K37" s="18"/>
      <c r="L37" s="18"/>
      <c r="M37" s="18"/>
      <c r="N37" s="18"/>
      <c r="O37" s="18"/>
      <c r="P37" s="18"/>
      <c r="Q37" s="18"/>
      <c r="R37" s="18"/>
      <c r="S37" s="18"/>
      <c r="T37" s="18"/>
      <c r="U37" s="18"/>
      <c r="V37" s="18"/>
      <c r="W37" s="18"/>
      <c r="X37" s="18"/>
      <c r="Y37" s="18"/>
      <c r="Z37" s="18"/>
    </row>
    <row r="38" spans="1:26" ht="15" customHeight="1" x14ac:dyDescent="0.25">
      <c r="A38" s="18"/>
      <c r="B38" s="237" t="s">
        <v>115</v>
      </c>
      <c r="C38" s="238">
        <f>(C13-C17)/(C17-C14)</f>
        <v>-0.66424174594292096</v>
      </c>
      <c r="D38" s="235" t="s">
        <v>574</v>
      </c>
      <c r="E38" s="182"/>
      <c r="F38" s="182"/>
      <c r="G38" s="236">
        <v>4337</v>
      </c>
      <c r="H38" s="16"/>
      <c r="I38" s="16"/>
      <c r="J38" s="16"/>
      <c r="K38" s="18"/>
      <c r="L38" s="18"/>
      <c r="M38" s="18"/>
      <c r="N38" s="18"/>
      <c r="O38" s="18"/>
      <c r="P38" s="18"/>
      <c r="Q38" s="18"/>
      <c r="R38" s="18"/>
      <c r="S38" s="18"/>
      <c r="T38" s="18"/>
      <c r="U38" s="18"/>
      <c r="V38" s="18"/>
      <c r="W38" s="18"/>
      <c r="X38" s="18"/>
      <c r="Y38" s="18"/>
      <c r="Z38" s="18"/>
    </row>
    <row r="39" spans="1:26" ht="15" customHeight="1" thickBot="1" x14ac:dyDescent="0.3">
      <c r="A39" s="18"/>
      <c r="B39" s="233" t="s">
        <v>575</v>
      </c>
      <c r="C39" s="239">
        <f>Fcsts!AE35</f>
        <v>1.1662021979902069</v>
      </c>
      <c r="D39" s="240"/>
      <c r="E39" s="241"/>
      <c r="F39" s="241"/>
      <c r="G39" s="242"/>
      <c r="H39" s="16"/>
      <c r="I39" s="16"/>
      <c r="J39" s="16"/>
      <c r="K39" s="18"/>
      <c r="L39" s="18"/>
      <c r="M39" s="18"/>
      <c r="N39" s="18"/>
      <c r="O39" s="18"/>
      <c r="P39" s="18"/>
      <c r="Q39" s="18"/>
      <c r="R39" s="18"/>
      <c r="S39" s="18"/>
      <c r="T39" s="18"/>
      <c r="U39" s="18"/>
      <c r="V39" s="18"/>
      <c r="W39" s="18"/>
      <c r="X39" s="18"/>
      <c r="Y39" s="18"/>
      <c r="Z39" s="18"/>
    </row>
    <row r="40" spans="1:26" ht="15" customHeight="1" x14ac:dyDescent="0.25">
      <c r="A40" s="18"/>
      <c r="B40" s="233" t="s">
        <v>576</v>
      </c>
      <c r="C40" s="239">
        <f>(G36-C14)/(C17-C14)</f>
        <v>2.5181869054280934</v>
      </c>
      <c r="D40" s="16"/>
      <c r="E40" s="16"/>
      <c r="F40" s="16"/>
      <c r="G40" s="16"/>
      <c r="H40" s="16"/>
      <c r="I40" s="16"/>
      <c r="J40" s="16"/>
      <c r="K40" s="18"/>
      <c r="L40" s="18"/>
      <c r="M40" s="18"/>
      <c r="N40" s="18"/>
      <c r="O40" s="18"/>
      <c r="P40" s="18"/>
      <c r="Q40" s="18"/>
      <c r="R40" s="18"/>
      <c r="S40" s="18"/>
      <c r="T40" s="18"/>
      <c r="U40" s="18"/>
      <c r="V40" s="18"/>
      <c r="W40" s="18"/>
      <c r="X40" s="18"/>
      <c r="Y40" s="18"/>
      <c r="Z40" s="18"/>
    </row>
    <row r="41" spans="1:26" ht="15" customHeight="1" x14ac:dyDescent="0.25">
      <c r="A41" s="18"/>
      <c r="B41" s="233" t="s">
        <v>577</v>
      </c>
      <c r="C41" s="239">
        <f>(C7/1000000)/G37</f>
        <v>0.27741671975831311</v>
      </c>
      <c r="D41" s="16"/>
      <c r="E41" s="16"/>
      <c r="F41" s="16"/>
      <c r="G41" s="16"/>
      <c r="H41" s="16"/>
      <c r="I41" s="16"/>
      <c r="J41" s="16"/>
      <c r="K41" s="18"/>
      <c r="L41" s="18"/>
      <c r="M41" s="18"/>
      <c r="N41" s="18"/>
      <c r="O41" s="18"/>
      <c r="P41" s="18"/>
      <c r="Q41" s="18"/>
      <c r="R41" s="18"/>
      <c r="S41" s="18"/>
      <c r="T41" s="18"/>
      <c r="U41" s="18"/>
      <c r="V41" s="18"/>
      <c r="W41" s="18"/>
      <c r="X41" s="18"/>
      <c r="Y41" s="18"/>
      <c r="Z41" s="18"/>
    </row>
    <row r="42" spans="1:26" ht="15" customHeight="1" thickBot="1" x14ac:dyDescent="0.3">
      <c r="A42" s="18"/>
      <c r="B42" s="243" t="s">
        <v>578</v>
      </c>
      <c r="C42" s="244">
        <f>C40/C39-1</f>
        <v>1.1593055730540134</v>
      </c>
      <c r="D42" s="16"/>
      <c r="E42" s="16"/>
      <c r="F42" s="16"/>
      <c r="G42" s="16"/>
      <c r="H42" s="16"/>
      <c r="I42" s="16"/>
      <c r="J42" s="16"/>
      <c r="K42" s="18"/>
      <c r="L42" s="18"/>
      <c r="M42" s="18"/>
      <c r="N42" s="18"/>
      <c r="O42" s="18"/>
      <c r="P42" s="18"/>
      <c r="Q42" s="18"/>
      <c r="R42" s="18"/>
      <c r="S42" s="18"/>
      <c r="T42" s="18"/>
      <c r="U42" s="18"/>
      <c r="V42" s="18"/>
      <c r="W42" s="18"/>
      <c r="X42" s="18"/>
      <c r="Y42" s="18"/>
      <c r="Z42" s="18"/>
    </row>
    <row r="43" spans="1:26" ht="15" customHeight="1" x14ac:dyDescent="0.25">
      <c r="A43" s="18"/>
      <c r="B43" s="16"/>
      <c r="C43" s="16"/>
      <c r="D43" s="16"/>
      <c r="E43" s="16"/>
      <c r="F43" s="16"/>
      <c r="G43" s="16"/>
      <c r="H43" s="16"/>
      <c r="I43" s="16"/>
      <c r="J43" s="16"/>
      <c r="K43" s="18"/>
      <c r="L43" s="18"/>
      <c r="M43" s="18"/>
      <c r="N43" s="18"/>
      <c r="O43" s="18"/>
      <c r="P43" s="18"/>
      <c r="Q43" s="18"/>
      <c r="R43" s="18"/>
      <c r="S43" s="18"/>
      <c r="T43" s="18"/>
      <c r="U43" s="18"/>
      <c r="V43" s="18"/>
      <c r="W43" s="18"/>
      <c r="X43" s="18"/>
      <c r="Y43" s="18"/>
      <c r="Z43" s="18"/>
    </row>
    <row r="44" spans="1:26" ht="15" customHeight="1" thickBot="1" x14ac:dyDescent="0.3">
      <c r="A44" s="18"/>
      <c r="B44" s="16"/>
      <c r="C44" s="16"/>
      <c r="D44" s="16"/>
      <c r="E44" s="16"/>
      <c r="F44" s="16"/>
      <c r="G44" s="16"/>
      <c r="H44" s="16"/>
      <c r="I44" s="16"/>
      <c r="J44" s="16"/>
      <c r="K44" s="18"/>
      <c r="L44" s="18"/>
      <c r="M44" s="18"/>
      <c r="N44" s="18"/>
      <c r="O44" s="18"/>
      <c r="P44" s="18"/>
      <c r="Q44" s="18"/>
      <c r="R44" s="18"/>
      <c r="S44" s="18"/>
      <c r="T44" s="18"/>
      <c r="U44" s="18"/>
      <c r="V44" s="18"/>
      <c r="W44" s="18"/>
      <c r="X44" s="18"/>
      <c r="Y44" s="18"/>
      <c r="Z44" s="18"/>
    </row>
    <row r="45" spans="1:26" ht="15" customHeight="1" x14ac:dyDescent="0.25">
      <c r="A45" s="18"/>
      <c r="B45" s="228" t="s">
        <v>70</v>
      </c>
      <c r="C45" s="229" t="s">
        <v>71</v>
      </c>
      <c r="D45" s="16"/>
      <c r="E45" s="16"/>
      <c r="F45" s="16"/>
      <c r="G45" s="16"/>
      <c r="H45" s="16"/>
      <c r="I45" s="16"/>
      <c r="J45" s="16"/>
      <c r="K45" s="18"/>
      <c r="L45" s="18"/>
      <c r="M45" s="18"/>
      <c r="N45" s="18"/>
      <c r="O45" s="18"/>
      <c r="P45" s="18"/>
      <c r="Q45" s="18"/>
      <c r="R45" s="18"/>
      <c r="S45" s="18"/>
      <c r="T45" s="18"/>
      <c r="U45" s="18"/>
      <c r="V45" s="18"/>
      <c r="W45" s="18"/>
      <c r="X45" s="18"/>
      <c r="Y45" s="18"/>
      <c r="Z45" s="18"/>
    </row>
    <row r="46" spans="1:26" ht="15" customHeight="1" x14ac:dyDescent="0.25">
      <c r="A46" s="18"/>
      <c r="B46" s="233"/>
      <c r="C46" s="234" t="s">
        <v>76</v>
      </c>
      <c r="D46" s="16"/>
      <c r="E46" s="16"/>
      <c r="F46" s="16"/>
      <c r="G46" s="16"/>
      <c r="H46" s="16"/>
      <c r="I46" s="16"/>
      <c r="J46" s="16"/>
      <c r="K46" s="18"/>
      <c r="L46" s="18"/>
      <c r="M46" s="18"/>
      <c r="N46" s="18"/>
      <c r="O46" s="18"/>
      <c r="P46" s="18"/>
      <c r="Q46" s="18"/>
      <c r="R46" s="18"/>
      <c r="S46" s="18"/>
      <c r="T46" s="18"/>
      <c r="U46" s="18"/>
      <c r="V46" s="18"/>
      <c r="W46" s="18"/>
      <c r="X46" s="18"/>
      <c r="Y46" s="18"/>
      <c r="Z46" s="18"/>
    </row>
    <row r="47" spans="1:26" ht="15" customHeight="1" x14ac:dyDescent="0.25">
      <c r="A47" s="18"/>
      <c r="B47" s="237" t="s">
        <v>115</v>
      </c>
      <c r="C47" s="238">
        <f>(C13-C14)/((C13*(C17-C14)))</f>
        <v>2.7521168365334345</v>
      </c>
      <c r="D47" s="16"/>
      <c r="E47" s="16"/>
      <c r="F47" s="16"/>
      <c r="G47" s="16"/>
      <c r="H47" s="16"/>
      <c r="I47" s="16"/>
      <c r="J47" s="16"/>
      <c r="K47" s="18"/>
      <c r="L47" s="18"/>
      <c r="M47" s="18"/>
      <c r="N47" s="18"/>
      <c r="O47" s="18"/>
      <c r="P47" s="18"/>
      <c r="Q47" s="18"/>
      <c r="R47" s="18"/>
      <c r="S47" s="18"/>
      <c r="T47" s="18"/>
      <c r="U47" s="18"/>
      <c r="V47" s="18"/>
      <c r="W47" s="18"/>
      <c r="X47" s="18"/>
      <c r="Y47" s="18"/>
      <c r="Z47" s="18"/>
    </row>
    <row r="48" spans="1:26" ht="15" customHeight="1" x14ac:dyDescent="0.25">
      <c r="A48" s="18"/>
      <c r="B48" s="233" t="s">
        <v>575</v>
      </c>
      <c r="C48" s="245">
        <f>(C7/1000000)/Fcsts!AE14</f>
        <v>11.832722353420754</v>
      </c>
      <c r="D48" s="16"/>
      <c r="E48" s="16"/>
      <c r="F48" s="16"/>
      <c r="G48" s="16"/>
      <c r="H48" s="16"/>
      <c r="I48" s="16"/>
      <c r="J48" s="16"/>
      <c r="K48" s="18"/>
      <c r="L48" s="18"/>
      <c r="M48" s="18"/>
      <c r="N48" s="18"/>
      <c r="O48" s="18"/>
      <c r="P48" s="18"/>
      <c r="Q48" s="18"/>
      <c r="R48" s="18"/>
      <c r="S48" s="18"/>
      <c r="T48" s="18"/>
      <c r="U48" s="18"/>
      <c r="V48" s="18"/>
      <c r="W48" s="18"/>
      <c r="X48" s="18"/>
      <c r="Y48" s="18"/>
      <c r="Z48" s="18"/>
    </row>
    <row r="49" spans="1:26" ht="15" customHeight="1" x14ac:dyDescent="0.25">
      <c r="A49" s="18"/>
      <c r="B49" s="233" t="s">
        <v>576</v>
      </c>
      <c r="C49" s="245">
        <f>(G36-C14)/(G36*(C17-C14))</f>
        <v>12.590934527140467</v>
      </c>
      <c r="D49" s="16"/>
      <c r="E49" s="16"/>
      <c r="F49" s="16"/>
      <c r="G49" s="16"/>
      <c r="H49" s="16"/>
      <c r="I49" s="16"/>
      <c r="J49" s="16"/>
      <c r="K49" s="18"/>
      <c r="L49" s="18"/>
      <c r="M49" s="18"/>
      <c r="N49" s="18"/>
      <c r="O49" s="18"/>
      <c r="P49" s="18"/>
      <c r="Q49" s="18"/>
      <c r="R49" s="18"/>
      <c r="S49" s="18"/>
      <c r="T49" s="18"/>
      <c r="U49" s="18"/>
      <c r="V49" s="18"/>
      <c r="W49" s="18"/>
      <c r="X49" s="18"/>
      <c r="Y49" s="18"/>
      <c r="Z49" s="18"/>
    </row>
    <row r="50" spans="1:26" ht="15" customHeight="1" x14ac:dyDescent="0.25">
      <c r="A50" s="18"/>
      <c r="B50" s="233" t="s">
        <v>579</v>
      </c>
      <c r="C50" s="245">
        <f>(C7/1000000)/G38</f>
        <v>6.2248294904311736</v>
      </c>
      <c r="D50" s="16"/>
      <c r="E50" s="16"/>
      <c r="F50" s="16"/>
      <c r="G50" s="16"/>
      <c r="H50" s="16"/>
      <c r="I50" s="16"/>
      <c r="J50" s="16"/>
      <c r="K50" s="18"/>
      <c r="L50" s="18"/>
      <c r="M50" s="18"/>
      <c r="N50" s="18"/>
      <c r="O50" s="18"/>
      <c r="P50" s="18"/>
      <c r="Q50" s="18"/>
      <c r="R50" s="18"/>
      <c r="S50" s="18"/>
      <c r="T50" s="18"/>
      <c r="U50" s="18"/>
      <c r="V50" s="18"/>
      <c r="W50" s="18"/>
      <c r="X50" s="18"/>
      <c r="Y50" s="18"/>
      <c r="Z50" s="18"/>
    </row>
    <row r="51" spans="1:26" ht="15" customHeight="1" x14ac:dyDescent="0.25">
      <c r="A51" s="18"/>
      <c r="B51" s="246" t="s">
        <v>578</v>
      </c>
      <c r="C51" s="247">
        <f>C49/C48-1</f>
        <v>6.4077576661850655E-2</v>
      </c>
      <c r="D51" s="16"/>
      <c r="E51" s="16"/>
      <c r="F51" s="16"/>
      <c r="G51" s="16"/>
      <c r="H51" s="16"/>
      <c r="I51" s="16"/>
      <c r="J51" s="16"/>
      <c r="K51" s="18"/>
      <c r="L51" s="18"/>
      <c r="M51" s="18"/>
      <c r="N51" s="18"/>
      <c r="O51" s="18"/>
      <c r="P51" s="18"/>
      <c r="Q51" s="18"/>
      <c r="R51" s="18"/>
      <c r="S51" s="18"/>
      <c r="T51" s="18"/>
      <c r="U51" s="18"/>
      <c r="V51" s="18"/>
      <c r="W51" s="18"/>
      <c r="X51" s="18"/>
      <c r="Y51" s="18"/>
      <c r="Z51" s="18"/>
    </row>
    <row r="52" spans="1:26"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row>
    <row r="53" spans="1:26"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row>
    <row r="54" spans="1:26" x14ac:dyDescent="0.2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row>
    <row r="55" spans="1:26"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row>
    <row r="56" spans="1:26" x14ac:dyDescent="0.2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row>
    <row r="57" spans="1:26" x14ac:dyDescent="0.2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row>
    <row r="58" spans="1:26"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row>
    <row r="59" spans="1:26" x14ac:dyDescent="0.2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row>
    <row r="60" spans="1:26" x14ac:dyDescent="0.2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row>
    <row r="61" spans="1:26"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row>
    <row r="62" spans="1:26" x14ac:dyDescent="0.2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row>
    <row r="63" spans="1:26" x14ac:dyDescent="0.2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row>
    <row r="64" spans="1:26" x14ac:dyDescent="0.2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row>
    <row r="65" spans="1:26" x14ac:dyDescent="0.2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row>
    <row r="66" spans="1:26" x14ac:dyDescent="0.2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row>
    <row r="67" spans="1:26" x14ac:dyDescent="0.2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row>
    <row r="68" spans="1:26" x14ac:dyDescent="0.2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row>
    <row r="69" spans="1:26" x14ac:dyDescent="0.2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row>
    <row r="70" spans="1:26" x14ac:dyDescent="0.2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row>
  </sheetData>
  <sheetProtection algorithmName="SHA-512" hashValue="2DU9XShvc8gQCPaC7gGQ35LbfDQcBk1Ue5pP6BJFcFNmUzGFQcDtKbkxxKV7dlUlxzPx5s1UFB+pzp3Ss0byzQ==" saltValue="srLktEkpEscdS3m7c8jtrQ==" spinCount="100000" sheet="1" objects="1" scenarios="1" formatCells="0" formatColumns="0" formatRows="0"/>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0000"/>
  </sheetPr>
  <dimension ref="A1:BO60"/>
  <sheetViews>
    <sheetView showOutlineSymbols="0" zoomScaleNormal="100" workbookViewId="0">
      <selection activeCell="M14" sqref="M14"/>
    </sheetView>
  </sheetViews>
  <sheetFormatPr defaultColWidth="8.109375" defaultRowHeight="12.5" outlineLevelRow="1" x14ac:dyDescent="0.25"/>
  <cols>
    <col min="1" max="1" width="3.109375" style="516" customWidth="1"/>
    <col min="2" max="2" width="23.6640625" style="521" customWidth="1"/>
    <col min="3" max="20" width="12.77734375" style="516" customWidth="1"/>
    <col min="21" max="21" width="1.33203125" style="516" customWidth="1"/>
    <col min="22" max="29" width="8.109375" style="516"/>
    <col min="30" max="30" width="14.6640625" style="516" bestFit="1" customWidth="1"/>
    <col min="31" max="31" width="53.6640625" style="516" bestFit="1" customWidth="1"/>
    <col min="32" max="36" width="53.6640625" style="516" customWidth="1"/>
    <col min="37" max="37" width="8.109375" style="516"/>
    <col min="38" max="38" width="13.6640625" style="516" bestFit="1" customWidth="1"/>
    <col min="39" max="39" width="14.6640625" style="516" bestFit="1" customWidth="1"/>
    <col min="40" max="40" width="53.6640625" style="516" bestFit="1" customWidth="1"/>
    <col min="41" max="43" width="8.109375" style="516"/>
    <col min="44" max="44" width="22.33203125" style="516" bestFit="1" customWidth="1"/>
    <col min="45" max="46" width="8.109375" style="516"/>
    <col min="47" max="47" width="12.33203125" style="516" bestFit="1" customWidth="1"/>
    <col min="48" max="48" width="8.109375" style="516"/>
    <col min="49" max="49" width="22.33203125" style="516" bestFit="1" customWidth="1"/>
    <col min="50" max="16384" width="8.109375" style="516"/>
  </cols>
  <sheetData>
    <row r="1" spans="1:67" x14ac:dyDescent="0.25">
      <c r="A1" s="18"/>
      <c r="B1" s="142"/>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row>
    <row r="2" spans="1:67" s="520" customFormat="1" ht="30" customHeight="1" x14ac:dyDescent="0.3">
      <c r="A2" s="143"/>
      <c r="B2" s="143"/>
      <c r="C2" s="143"/>
      <c r="D2" s="144" t="s">
        <v>55</v>
      </c>
      <c r="E2" s="144"/>
      <c r="F2" s="727" t="str">
        <f>Frontend!$C$7</f>
        <v>NTC SJ Equity</v>
      </c>
      <c r="G2" s="146"/>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row>
    <row r="3" spans="1:67" ht="13.5" customHeight="1" x14ac:dyDescent="0.25">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row>
    <row r="4" spans="1:67" ht="13" x14ac:dyDescent="0.25">
      <c r="A4" s="18"/>
      <c r="B4" s="147" t="s">
        <v>31</v>
      </c>
      <c r="C4" s="147"/>
      <c r="D4" s="147"/>
      <c r="E4" s="147"/>
      <c r="F4" s="147"/>
      <c r="G4" s="147"/>
      <c r="H4" s="147"/>
      <c r="I4" s="147"/>
      <c r="J4" s="147"/>
      <c r="K4" s="147"/>
      <c r="L4" s="147"/>
      <c r="M4" s="147"/>
      <c r="N4" s="147"/>
      <c r="O4" s="147"/>
      <c r="P4" s="147"/>
      <c r="Q4" s="147"/>
      <c r="R4" s="147"/>
      <c r="S4" s="147"/>
      <c r="T4" s="147"/>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row>
    <row r="5" spans="1:67" ht="5.15" customHeight="1" x14ac:dyDescent="0.25">
      <c r="A5" s="18"/>
      <c r="B5" s="148"/>
      <c r="C5" s="16"/>
      <c r="D5" s="16"/>
      <c r="E5" s="16"/>
      <c r="F5" s="16"/>
      <c r="G5" s="16"/>
      <c r="H5" s="16"/>
      <c r="I5" s="16"/>
      <c r="J5" s="149"/>
      <c r="K5" s="16"/>
      <c r="L5" s="16"/>
      <c r="M5" s="16"/>
      <c r="N5" s="16"/>
      <c r="O5" s="16"/>
      <c r="P5" s="16"/>
      <c r="Q5" s="16"/>
      <c r="R5" s="16"/>
      <c r="S5" s="16"/>
      <c r="T5" s="16"/>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row>
    <row r="6" spans="1:67" ht="15" customHeight="1" x14ac:dyDescent="0.25">
      <c r="A6" s="18"/>
      <c r="B6" s="150" t="s">
        <v>29</v>
      </c>
      <c r="C6" s="150"/>
      <c r="D6" s="150"/>
      <c r="E6" s="150"/>
      <c r="F6" s="150"/>
      <c r="G6" s="150"/>
      <c r="H6" s="150"/>
      <c r="I6" s="150"/>
      <c r="J6" s="150"/>
      <c r="K6" s="150"/>
      <c r="L6" s="150"/>
      <c r="M6" s="150"/>
      <c r="N6" s="150"/>
      <c r="O6" s="150"/>
      <c r="P6" s="150"/>
      <c r="Q6" s="150"/>
      <c r="R6" s="150"/>
      <c r="S6" s="150"/>
      <c r="T6" s="150"/>
      <c r="U6" s="16"/>
      <c r="V6" s="16"/>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row>
    <row r="7" spans="1:67" ht="15" customHeight="1" x14ac:dyDescent="0.25">
      <c r="A7" s="18"/>
      <c r="B7" s="151" t="s">
        <v>28</v>
      </c>
      <c r="C7" s="610">
        <f ca="1">TODAY()</f>
        <v>45160</v>
      </c>
      <c r="D7" s="16"/>
      <c r="E7" s="151" t="s">
        <v>1</v>
      </c>
      <c r="F7" s="152"/>
      <c r="G7" s="153">
        <v>7.6999999999999999E-2</v>
      </c>
      <c r="H7" s="16"/>
      <c r="I7" s="151" t="s">
        <v>58</v>
      </c>
      <c r="J7" s="152"/>
      <c r="K7" s="154">
        <f>1/(WACC-int_term_rate_finish)</f>
        <v>13.544062470073712</v>
      </c>
      <c r="L7" s="155">
        <f ca="1">F25/G14*100</f>
        <v>5.285963990007672</v>
      </c>
      <c r="M7" s="16"/>
      <c r="N7" s="152" t="s">
        <v>1778</v>
      </c>
      <c r="O7" s="607">
        <f>Fcsts!Z61</f>
        <v>45199</v>
      </c>
      <c r="P7" s="16"/>
      <c r="Q7" s="151" t="s">
        <v>0</v>
      </c>
      <c r="R7" s="16"/>
      <c r="S7" s="158">
        <f>C17</f>
        <v>2019</v>
      </c>
      <c r="T7" s="16"/>
      <c r="U7" s="16"/>
      <c r="V7" s="16"/>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row>
    <row r="8" spans="1:67" ht="15" customHeight="1" x14ac:dyDescent="0.25">
      <c r="A8" s="18"/>
      <c r="B8" s="148" t="s">
        <v>34</v>
      </c>
      <c r="C8" s="16"/>
      <c r="D8" s="16"/>
      <c r="E8" s="151" t="s">
        <v>4</v>
      </c>
      <c r="F8" s="152"/>
      <c r="G8" s="153">
        <f>Fcsts!V63</f>
        <v>0.06</v>
      </c>
      <c r="H8" s="16"/>
      <c r="I8" s="151" t="s">
        <v>30</v>
      </c>
      <c r="J8" s="152"/>
      <c r="K8" s="153">
        <f>Fcsts!AB19</f>
        <v>0.13383309123164119</v>
      </c>
      <c r="L8" s="157"/>
      <c r="M8" s="16"/>
      <c r="N8" s="152" t="s">
        <v>32</v>
      </c>
      <c r="O8" s="158">
        <f>MONTH(Fcsts!Z61)</f>
        <v>9</v>
      </c>
      <c r="P8" s="16"/>
      <c r="Q8" s="151" t="s">
        <v>3</v>
      </c>
      <c r="R8" s="16"/>
      <c r="S8" s="158">
        <f>+year_base+5</f>
        <v>2024</v>
      </c>
      <c r="T8" s="16"/>
      <c r="U8" s="16"/>
      <c r="V8" s="16"/>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row>
    <row r="9" spans="1:67" ht="15" customHeight="1" x14ac:dyDescent="0.25">
      <c r="A9" s="18"/>
      <c r="B9" s="148"/>
      <c r="C9" s="16"/>
      <c r="D9" s="16"/>
      <c r="E9" s="151" t="s">
        <v>8</v>
      </c>
      <c r="F9" s="152"/>
      <c r="G9" s="156">
        <v>12</v>
      </c>
      <c r="H9" s="16"/>
      <c r="I9" s="151" t="s">
        <v>1907</v>
      </c>
      <c r="J9" s="152"/>
      <c r="K9" s="153">
        <v>0.27</v>
      </c>
      <c r="L9" s="157">
        <f>-F19/F18</f>
        <v>0.19237510955302367</v>
      </c>
      <c r="M9" s="16"/>
      <c r="N9" s="16"/>
      <c r="O9" s="16"/>
      <c r="P9" s="16"/>
      <c r="Q9" s="151" t="s">
        <v>7</v>
      </c>
      <c r="R9" s="16"/>
      <c r="S9" s="158">
        <f>S8+G9</f>
        <v>2036</v>
      </c>
      <c r="T9" s="16"/>
      <c r="U9" s="16"/>
      <c r="V9" s="16"/>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row>
    <row r="10" spans="1:67" ht="7.5" customHeight="1" x14ac:dyDescent="0.25">
      <c r="A10" s="18"/>
      <c r="B10" s="148"/>
      <c r="C10" s="16"/>
      <c r="D10" s="16"/>
      <c r="E10" s="16"/>
      <c r="F10" s="16"/>
      <c r="G10" s="16"/>
      <c r="H10" s="16"/>
      <c r="I10" s="16"/>
      <c r="J10" s="149"/>
      <c r="K10" s="16"/>
      <c r="L10" s="16"/>
      <c r="M10" s="16"/>
      <c r="N10" s="16"/>
      <c r="O10" s="16"/>
      <c r="P10" s="16"/>
      <c r="Q10" s="16"/>
      <c r="R10" s="16"/>
      <c r="S10" s="16"/>
      <c r="T10" s="16"/>
      <c r="U10" s="16"/>
      <c r="V10" s="16"/>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row>
    <row r="11" spans="1:67" ht="15" customHeight="1" x14ac:dyDescent="0.25">
      <c r="A11" s="18"/>
      <c r="B11" s="150" t="s">
        <v>33</v>
      </c>
      <c r="C11" s="150"/>
      <c r="D11" s="150"/>
      <c r="E11" s="150"/>
      <c r="F11" s="150"/>
      <c r="G11" s="150"/>
      <c r="H11" s="150"/>
      <c r="I11" s="150"/>
      <c r="J11" s="150"/>
      <c r="K11" s="150"/>
      <c r="L11" s="150"/>
      <c r="M11" s="150"/>
      <c r="N11" s="150"/>
      <c r="O11" s="150"/>
      <c r="P11" s="150"/>
      <c r="Q11" s="150"/>
      <c r="R11" s="150"/>
      <c r="S11" s="150"/>
      <c r="T11" s="150"/>
      <c r="U11" s="16"/>
      <c r="V11" s="16"/>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row>
    <row r="12" spans="1:67" ht="15" customHeight="1" x14ac:dyDescent="0.25">
      <c r="A12" s="18"/>
      <c r="B12" s="151" t="s">
        <v>1905</v>
      </c>
      <c r="C12" s="587">
        <f ca="1">SUM(G33:H33)</f>
        <v>3845.2478133840559</v>
      </c>
      <c r="D12" s="606">
        <f ca="1">C12/$K$13</f>
        <v>2.8738772895247053</v>
      </c>
      <c r="E12" s="151" t="s">
        <v>1904</v>
      </c>
      <c r="F12" s="16"/>
      <c r="G12" s="589">
        <f>Fcsts!F54++Fcsts!F56+Fcsts!F61+Fcsts!F60</f>
        <v>10858</v>
      </c>
      <c r="H12" s="606"/>
      <c r="I12" s="151" t="s">
        <v>2</v>
      </c>
      <c r="J12" s="16"/>
      <c r="K12" s="587">
        <f ca="1">G14</f>
        <v>27033.858019110834</v>
      </c>
      <c r="L12" s="16"/>
      <c r="M12" s="16"/>
      <c r="N12" s="159" t="str">
        <f>Frontend!B21</f>
        <v>Current Price (ZAR)</v>
      </c>
      <c r="O12" s="160">
        <f>Frontend!C21</f>
        <v>14.26</v>
      </c>
      <c r="P12" s="16"/>
      <c r="Q12" s="16"/>
      <c r="R12" s="16"/>
      <c r="S12" s="16"/>
      <c r="T12" s="16"/>
      <c r="U12" s="16"/>
      <c r="V12" s="16"/>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row>
    <row r="13" spans="1:67" ht="15" customHeight="1" x14ac:dyDescent="0.25">
      <c r="A13" s="18"/>
      <c r="B13" s="151" t="s">
        <v>1906</v>
      </c>
      <c r="C13" s="587">
        <f ca="1">SUM($I33:$XFD33)</f>
        <v>16239.402975817975</v>
      </c>
      <c r="D13" s="606">
        <f t="shared" ref="D13:D15" ca="1" si="0">C13/$K$13</f>
        <v>12.137072478189816</v>
      </c>
      <c r="E13" s="151" t="s">
        <v>5</v>
      </c>
      <c r="F13" s="16"/>
      <c r="G13" s="589">
        <f>Fcsts!F73+Fcsts!F74+Fcsts!F85</f>
        <v>5092</v>
      </c>
      <c r="H13" s="606"/>
      <c r="I13" s="151" t="s">
        <v>6</v>
      </c>
      <c r="J13" s="16"/>
      <c r="K13" s="156">
        <f>Fcsts!F32</f>
        <v>1338</v>
      </c>
      <c r="L13" s="16"/>
      <c r="M13" s="16"/>
      <c r="N13" s="16" t="s">
        <v>298</v>
      </c>
      <c r="O13" s="161">
        <f ca="1">K14/O12-1</f>
        <v>0.41687778010715126</v>
      </c>
      <c r="P13" s="16"/>
      <c r="Q13" s="16"/>
      <c r="R13" s="16"/>
      <c r="S13" s="16"/>
      <c r="T13" s="16"/>
      <c r="U13" s="16"/>
      <c r="V13" s="16"/>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row>
    <row r="14" spans="1:67" ht="15" customHeight="1" x14ac:dyDescent="0.25">
      <c r="A14" s="18"/>
      <c r="B14" s="151" t="s">
        <v>1772</v>
      </c>
      <c r="C14" s="587">
        <f ca="1">SUM(38:38)</f>
        <v>12715.207229908805</v>
      </c>
      <c r="D14" s="606">
        <f t="shared" ca="1" si="0"/>
        <v>9.5031444169722015</v>
      </c>
      <c r="E14" s="151" t="s">
        <v>2</v>
      </c>
      <c r="F14" s="16"/>
      <c r="G14" s="587">
        <f ca="1">(C15-G12+G13)</f>
        <v>27033.858019110834</v>
      </c>
      <c r="H14" s="395"/>
      <c r="I14" s="151" t="s">
        <v>9</v>
      </c>
      <c r="J14" s="16"/>
      <c r="K14" s="540">
        <f ca="1">G14/K13</f>
        <v>20.204677144327977</v>
      </c>
      <c r="L14" s="16"/>
      <c r="M14" s="16"/>
      <c r="N14" s="16"/>
      <c r="O14" s="16"/>
      <c r="P14" s="16"/>
      <c r="Q14" s="16"/>
      <c r="R14" s="16"/>
      <c r="S14" s="16"/>
      <c r="T14" s="16"/>
      <c r="U14" s="16"/>
      <c r="V14" s="16"/>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row>
    <row r="15" spans="1:67" ht="15" customHeight="1" x14ac:dyDescent="0.25">
      <c r="A15" s="18"/>
      <c r="B15" s="162" t="s">
        <v>10</v>
      </c>
      <c r="C15" s="588">
        <f ca="1">SUM(C12:C14)</f>
        <v>32799.858019110834</v>
      </c>
      <c r="D15" s="606">
        <f t="shared" ca="1" si="0"/>
        <v>24.514094184686723</v>
      </c>
      <c r="E15" s="162" t="s">
        <v>10</v>
      </c>
      <c r="F15" s="16"/>
      <c r="G15" s="588">
        <f ca="1">SUM(G12:G14)</f>
        <v>42983.858019110834</v>
      </c>
      <c r="H15" s="16"/>
      <c r="I15" s="16"/>
      <c r="J15" s="16"/>
      <c r="K15" s="163"/>
      <c r="L15" s="16"/>
      <c r="M15" s="16"/>
      <c r="N15" s="16"/>
      <c r="O15" s="16"/>
      <c r="P15" s="16"/>
      <c r="Q15" s="16"/>
      <c r="R15" s="16"/>
      <c r="S15" s="16"/>
      <c r="T15" s="16"/>
      <c r="U15" s="16"/>
      <c r="V15" s="16"/>
      <c r="W15" s="18"/>
      <c r="X15" s="18"/>
      <c r="Y15" s="18"/>
      <c r="Z15" s="18"/>
      <c r="AA15" s="18"/>
      <c r="AB15" s="18"/>
      <c r="AC15" s="18"/>
      <c r="AD15" s="18"/>
      <c r="AE15" s="18"/>
      <c r="AF15" s="18"/>
      <c r="AG15" s="18"/>
      <c r="AH15" s="18"/>
      <c r="AI15" s="18"/>
      <c r="AJ15" s="18"/>
      <c r="AK15" s="18"/>
      <c r="AL15" s="18"/>
      <c r="AM15" s="29" t="s">
        <v>1770</v>
      </c>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row>
    <row r="16" spans="1:67" ht="6" customHeight="1" x14ac:dyDescent="0.25">
      <c r="A16" s="18"/>
      <c r="B16" s="148"/>
      <c r="C16" s="16"/>
      <c r="D16" s="16"/>
      <c r="E16" s="16"/>
      <c r="F16" s="16"/>
      <c r="G16" s="16"/>
      <c r="H16" s="16"/>
      <c r="I16" s="16"/>
      <c r="J16" s="149"/>
      <c r="K16" s="16"/>
      <c r="L16" s="16"/>
      <c r="M16" s="16"/>
      <c r="N16" s="16"/>
      <c r="O16" s="16"/>
      <c r="P16" s="16"/>
      <c r="Q16" s="16"/>
      <c r="R16" s="16"/>
      <c r="S16" s="16"/>
      <c r="T16" s="16"/>
      <c r="U16" s="16"/>
      <c r="V16" s="16"/>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row>
    <row r="17" spans="1:67" ht="15" customHeight="1" x14ac:dyDescent="0.25">
      <c r="A17" s="18"/>
      <c r="B17" s="150" t="s">
        <v>35</v>
      </c>
      <c r="C17" s="150">
        <f>'Financials DF'!C22-3</f>
        <v>2019</v>
      </c>
      <c r="D17" s="150">
        <f t="shared" ref="D17:T17" si="1">IF(C17&lt;$S8+$G9,C17+1,"")</f>
        <v>2020</v>
      </c>
      <c r="E17" s="150">
        <f t="shared" si="1"/>
        <v>2021</v>
      </c>
      <c r="F17" s="150">
        <f t="shared" si="1"/>
        <v>2022</v>
      </c>
      <c r="G17" s="586">
        <f t="shared" si="1"/>
        <v>2023</v>
      </c>
      <c r="H17" s="150">
        <f t="shared" si="1"/>
        <v>2024</v>
      </c>
      <c r="I17" s="150">
        <f t="shared" si="1"/>
        <v>2025</v>
      </c>
      <c r="J17" s="150">
        <f t="shared" si="1"/>
        <v>2026</v>
      </c>
      <c r="K17" s="150">
        <f t="shared" si="1"/>
        <v>2027</v>
      </c>
      <c r="L17" s="150">
        <f t="shared" si="1"/>
        <v>2028</v>
      </c>
      <c r="M17" s="150">
        <f t="shared" si="1"/>
        <v>2029</v>
      </c>
      <c r="N17" s="150">
        <f t="shared" si="1"/>
        <v>2030</v>
      </c>
      <c r="O17" s="150">
        <f t="shared" si="1"/>
        <v>2031</v>
      </c>
      <c r="P17" s="150">
        <f t="shared" si="1"/>
        <v>2032</v>
      </c>
      <c r="Q17" s="150">
        <f t="shared" si="1"/>
        <v>2033</v>
      </c>
      <c r="R17" s="150">
        <f t="shared" si="1"/>
        <v>2034</v>
      </c>
      <c r="S17" s="150">
        <f t="shared" si="1"/>
        <v>2035</v>
      </c>
      <c r="T17" s="150">
        <f t="shared" si="1"/>
        <v>2036</v>
      </c>
      <c r="U17" s="16"/>
      <c r="V17" s="16"/>
      <c r="W17" s="18"/>
      <c r="X17" s="18"/>
      <c r="Y17" s="18"/>
      <c r="Z17" s="18"/>
      <c r="AA17" s="18"/>
      <c r="AB17" s="18"/>
      <c r="AC17" s="18"/>
      <c r="AD17" s="18"/>
      <c r="AE17" s="18"/>
      <c r="AF17" s="18"/>
      <c r="AG17" s="18"/>
      <c r="AH17" s="18"/>
      <c r="AI17" s="18"/>
      <c r="AJ17" s="18"/>
      <c r="AK17" s="18"/>
      <c r="AL17" s="18"/>
      <c r="AM17" s="18" t="s">
        <v>1767</v>
      </c>
      <c r="AN17" s="18" t="s">
        <v>1766</v>
      </c>
      <c r="AO17" s="18">
        <f>C17</f>
        <v>2019</v>
      </c>
      <c r="AP17" s="18">
        <f>D17</f>
        <v>2020</v>
      </c>
      <c r="AQ17" s="18">
        <f>E17</f>
        <v>2021</v>
      </c>
      <c r="AR17" s="18">
        <f>F17</f>
        <v>2022</v>
      </c>
      <c r="AS17" s="18"/>
      <c r="AT17" s="18"/>
      <c r="AU17" s="18"/>
      <c r="AV17" s="18" t="str">
        <f>AM17</f>
        <v>Sheet</v>
      </c>
      <c r="AW17" s="18" t="str">
        <f>AN17</f>
        <v>Field</v>
      </c>
      <c r="AX17" s="18">
        <f>G17</f>
        <v>2023</v>
      </c>
      <c r="AY17" s="18">
        <f>H17</f>
        <v>2024</v>
      </c>
      <c r="AZ17" s="18">
        <f>I17</f>
        <v>2025</v>
      </c>
      <c r="BA17" s="18">
        <f t="shared" ref="BA17:BH17" si="2">J17</f>
        <v>2026</v>
      </c>
      <c r="BB17" s="18">
        <f t="shared" si="2"/>
        <v>2027</v>
      </c>
      <c r="BC17" s="18">
        <f t="shared" si="2"/>
        <v>2028</v>
      </c>
      <c r="BD17" s="18">
        <f t="shared" si="2"/>
        <v>2029</v>
      </c>
      <c r="BE17" s="18">
        <f t="shared" si="2"/>
        <v>2030</v>
      </c>
      <c r="BF17" s="18">
        <f t="shared" si="2"/>
        <v>2031</v>
      </c>
      <c r="BG17" s="18">
        <f t="shared" si="2"/>
        <v>2032</v>
      </c>
      <c r="BH17" s="18">
        <f t="shared" si="2"/>
        <v>2033</v>
      </c>
      <c r="BI17" s="18">
        <f t="shared" ref="BI17" si="3">R17</f>
        <v>2034</v>
      </c>
      <c r="BJ17" s="18">
        <f t="shared" ref="BJ17" si="4">S17</f>
        <v>2035</v>
      </c>
      <c r="BK17" s="18">
        <f t="shared" ref="BK17" si="5">T17</f>
        <v>2036</v>
      </c>
      <c r="BL17" s="18"/>
      <c r="BM17" s="18"/>
      <c r="BN17" s="18"/>
      <c r="BO17" s="18"/>
    </row>
    <row r="18" spans="1:67" ht="15" customHeight="1" x14ac:dyDescent="0.25">
      <c r="A18" s="18"/>
      <c r="B18" s="164" t="s">
        <v>11</v>
      </c>
      <c r="C18" s="601">
        <f>VLOOKUP($AN18,'Financials DF'!$A$34:$O$295,AO18,0)</f>
        <v>3640</v>
      </c>
      <c r="D18" s="601">
        <f>VLOOKUP($AN18,'Financials DF'!$A$34:$O$295,AP18,0)</f>
        <v>1567</v>
      </c>
      <c r="E18" s="601">
        <f>VLOOKUP($AN18,'Financials DF'!$A$34:$O$295,AQ18,0)</f>
        <v>2076</v>
      </c>
      <c r="F18" s="601">
        <f>VLOOKUP($AN18,'Financials DF'!$A$34:$O$295,AR18,0)</f>
        <v>2282</v>
      </c>
      <c r="G18" s="729">
        <f>IF(DCF_year &gt; year_last,"",VLOOKUP($AW18,Fcsts!$B$4:$K$157,AX18,0))</f>
        <v>2876.1479600000002</v>
      </c>
      <c r="H18" s="730">
        <f>IF(DCF_year &gt; year_last,"",VLOOKUP($AW18,Fcsts!$B$4:$K$157,AY18,0))</f>
        <v>3229.8540693999967</v>
      </c>
      <c r="I18" s="601" t="str">
        <f>IF(DCF_year &gt; year_last,"",VLOOKUP($AW18,Fcsts!$B$4:$K$157,AZ18,0))</f>
        <v/>
      </c>
      <c r="J18" s="601" t="str">
        <f>IF(DCF_year &gt; year_last,"",VLOOKUP($AW18,Fcsts!$B$4:$K$157,BA18,0))</f>
        <v/>
      </c>
      <c r="K18" s="601" t="str">
        <f>IF(DCF_year &gt; year_last,"",VLOOKUP($AW18,Fcsts!$B$4:$K$157,BB18,0))</f>
        <v/>
      </c>
      <c r="L18" s="601" t="str">
        <f>IF(DCF_year &gt; year_last,"",VLOOKUP($AW18,Fcsts!$B$4:$K$157,BC18,0))</f>
        <v/>
      </c>
      <c r="M18" s="601" t="str">
        <f>IF(DCF_year &gt; year_last,"",VLOOKUP($AW18,Fcsts!$B$4:$K$157,BD18,0))</f>
        <v/>
      </c>
      <c r="N18" s="601" t="str">
        <f>IF(DCF_year &gt; year_last,"",VLOOKUP($AW18,Fcsts!$B$4:$K$157,BE18,0))</f>
        <v/>
      </c>
      <c r="O18" s="601" t="str">
        <f>IF(DCF_year &gt; year_last,"",VLOOKUP($AW18,Fcsts!$B$4:$K$157,BF18,0))</f>
        <v/>
      </c>
      <c r="P18" s="601" t="str">
        <f>IF(DCF_year &gt; year_last,"",VLOOKUP($AW18,Fcsts!$B$4:$K$157,BG18,0))</f>
        <v/>
      </c>
      <c r="Q18" s="601" t="str">
        <f>IF(DCF_year &gt; year_last,"",VLOOKUP($AW18,Fcsts!$B$4:$K$157,BH18,0))</f>
        <v/>
      </c>
      <c r="R18" s="601" t="str">
        <f>IF(DCF_year &gt; year_last,"",VLOOKUP($AW18,Fcsts!$B$4:$K$157,BI18,0))</f>
        <v/>
      </c>
      <c r="S18" s="601" t="str">
        <f>IF(DCF_year &gt; year_last,"",VLOOKUP($AW18,Fcsts!$B$4:$K$157,BJ18,0))</f>
        <v/>
      </c>
      <c r="T18" s="601" t="str">
        <f>IF(DCF_year &gt; year_last,"",VLOOKUP($AW18,Fcsts!$B$4:$K$157,BK18,0))</f>
        <v/>
      </c>
      <c r="U18" s="16"/>
      <c r="V18" s="16"/>
      <c r="W18" s="18"/>
      <c r="X18" s="18"/>
      <c r="Y18" s="18"/>
      <c r="Z18" s="18"/>
      <c r="AA18" s="18"/>
      <c r="AB18" s="18"/>
      <c r="AC18" s="18"/>
      <c r="AD18" s="18"/>
      <c r="AE18" s="18"/>
      <c r="AF18" s="18"/>
      <c r="AG18" s="18"/>
      <c r="AH18" s="18"/>
      <c r="AI18" s="18"/>
      <c r="AJ18" s="18"/>
      <c r="AK18" s="18"/>
      <c r="AL18" s="18" t="str">
        <f>ADDRESS(MATCH(AN18,'Financials DF'!A:A,0),1)</f>
        <v>$A$40</v>
      </c>
      <c r="AM18" s="18" t="s">
        <v>1768</v>
      </c>
      <c r="AN18" s="18" t="s">
        <v>147</v>
      </c>
      <c r="AO18" s="18">
        <f>MATCH(AO$17,'Financials DF'!$A$22:$P$22,0)</f>
        <v>6</v>
      </c>
      <c r="AP18" s="18">
        <f>MATCH(AP$17,'Financials DF'!$A$22:$P$22,0)</f>
        <v>5</v>
      </c>
      <c r="AQ18" s="18">
        <f>MATCH(AQ$17,'Financials DF'!$A$22:$P$22,0)</f>
        <v>4</v>
      </c>
      <c r="AR18" s="18">
        <f>MATCH(AR$17,'Financials DF'!$A$22:$P$22,0)</f>
        <v>3</v>
      </c>
      <c r="AS18" s="18"/>
      <c r="AT18" s="18" t="b" cm="1">
        <f t="array" aca="1" ref="AT18" ca="1">INDIRECT(AU18)=AW18</f>
        <v>1</v>
      </c>
      <c r="AU18" s="18" t="s">
        <v>1782</v>
      </c>
      <c r="AV18" s="18" t="s">
        <v>1769</v>
      </c>
      <c r="AW18" s="18" t="s">
        <v>434</v>
      </c>
      <c r="AX18" s="18">
        <f>MATCH(AX$17,Fcsts!$B$3:$K$3,0)</f>
        <v>4</v>
      </c>
      <c r="AY18" s="18">
        <f>MATCH(AY$17,Fcsts!$B$3:$K$3,0)</f>
        <v>3</v>
      </c>
      <c r="AZ18" s="18">
        <f>MATCH(AZ$17,Fcsts!$B$3:$K$3,0)</f>
        <v>2</v>
      </c>
      <c r="BA18" s="18" t="e">
        <f>MATCH(BA$17,Fcsts!$B$3:$K$3,0)</f>
        <v>#N/A</v>
      </c>
      <c r="BB18" s="18" t="e">
        <f>MATCH(BB$17,Fcsts!$B$3:$K$3,0)</f>
        <v>#N/A</v>
      </c>
      <c r="BC18" s="18" t="e">
        <f>MATCH(BC$17,Fcsts!$B$3:$K$3,0)</f>
        <v>#N/A</v>
      </c>
      <c r="BD18" s="18" t="e">
        <f>MATCH(BD$17,Fcsts!$B$3:$K$3,0)</f>
        <v>#N/A</v>
      </c>
      <c r="BE18" s="18" t="e">
        <f>MATCH(BE$17,Fcsts!$B$3:$K$3,0)</f>
        <v>#N/A</v>
      </c>
      <c r="BF18" s="18" t="e">
        <f>MATCH(BF$17,Fcsts!$B$3:$K$3,0)</f>
        <v>#N/A</v>
      </c>
      <c r="BG18" s="18" t="e">
        <f>MATCH(BG$17,Fcsts!$B$3:$K$3,0)</f>
        <v>#N/A</v>
      </c>
      <c r="BH18" s="18" t="e">
        <f>MATCH(BH$17,Fcsts!$B$3:$K$3,0)</f>
        <v>#N/A</v>
      </c>
      <c r="BI18" s="18" t="e">
        <f>MATCH(BI$17,Fcsts!$B$3:$K$3,0)</f>
        <v>#N/A</v>
      </c>
      <c r="BJ18" s="18" t="e">
        <f>MATCH(BJ$17,Fcsts!$B$3:$K$3,0)</f>
        <v>#N/A</v>
      </c>
      <c r="BK18" s="18" t="e">
        <f>MATCH(BK$17,Fcsts!$B$3:$K$3,0)</f>
        <v>#N/A</v>
      </c>
      <c r="BL18" s="18"/>
      <c r="BM18" s="18"/>
      <c r="BN18" s="18"/>
      <c r="BO18" s="18"/>
    </row>
    <row r="19" spans="1:67" ht="15" customHeight="1" x14ac:dyDescent="0.25">
      <c r="A19" s="18"/>
      <c r="B19" s="164" t="s">
        <v>27</v>
      </c>
      <c r="C19" s="602">
        <f>-VLOOKUP($AN19,'Financials DF'!$A$34:$O$295,AO19,0)</f>
        <v>-967</v>
      </c>
      <c r="D19" s="602">
        <f>-VLOOKUP($AN19,'Financials DF'!$A$34:$O$295,AP19,0)</f>
        <v>-601</v>
      </c>
      <c r="E19" s="602">
        <f>-VLOOKUP($AN19,'Financials DF'!$A$34:$O$295,AQ19,0)</f>
        <v>-618</v>
      </c>
      <c r="F19" s="602">
        <f>-VLOOKUP($AN19,'Financials DF'!$A$34:$O$295,AR19,0)</f>
        <v>-439</v>
      </c>
      <c r="G19" s="731">
        <f>IF(DCF_year &gt; year_last,"",IF(ISNUMBER(G18),G18*-tax_rate,""))</f>
        <v>-776.55994920000012</v>
      </c>
      <c r="H19" s="732">
        <f>IF(DCF_year &gt; year_last,"",IF(ISNUMBER(H18),H18*-tax_rate,""))</f>
        <v>-872.06059873799916</v>
      </c>
      <c r="I19" s="602" t="str">
        <f t="shared" ref="I19:T19" si="6">IF(DCF_year &gt; year_last,"",IF(ISNUMBER(I18),I18*-tax_rate,""))</f>
        <v/>
      </c>
      <c r="J19" s="602" t="str">
        <f t="shared" si="6"/>
        <v/>
      </c>
      <c r="K19" s="602" t="str">
        <f t="shared" si="6"/>
        <v/>
      </c>
      <c r="L19" s="602" t="str">
        <f t="shared" si="6"/>
        <v/>
      </c>
      <c r="M19" s="602" t="str">
        <f t="shared" si="6"/>
        <v/>
      </c>
      <c r="N19" s="602" t="str">
        <f t="shared" si="6"/>
        <v/>
      </c>
      <c r="O19" s="602" t="str">
        <f t="shared" si="6"/>
        <v/>
      </c>
      <c r="P19" s="602" t="str">
        <f t="shared" si="6"/>
        <v/>
      </c>
      <c r="Q19" s="602" t="str">
        <f t="shared" si="6"/>
        <v/>
      </c>
      <c r="R19" s="602" t="str">
        <f t="shared" si="6"/>
        <v/>
      </c>
      <c r="S19" s="602" t="str">
        <f t="shared" si="6"/>
        <v/>
      </c>
      <c r="T19" s="602" t="str">
        <f t="shared" si="6"/>
        <v/>
      </c>
      <c r="U19" s="16"/>
      <c r="V19" s="16"/>
      <c r="W19" s="18"/>
      <c r="X19" s="18"/>
      <c r="Y19" s="18"/>
      <c r="Z19" s="18"/>
      <c r="AA19" s="18"/>
      <c r="AB19" s="18"/>
      <c r="AC19" s="18"/>
      <c r="AD19" s="18"/>
      <c r="AE19" s="18"/>
      <c r="AF19" s="18"/>
      <c r="AG19" s="18"/>
      <c r="AH19" s="18"/>
      <c r="AI19" s="18"/>
      <c r="AJ19" s="18"/>
      <c r="AK19" s="18"/>
      <c r="AL19" s="18" t="str">
        <f>ADDRESS(MATCH(AN19,'Financials DF'!A:A,0),1)</f>
        <v>$A$184</v>
      </c>
      <c r="AM19" s="18" t="s">
        <v>1768</v>
      </c>
      <c r="AN19" s="18" t="s">
        <v>176</v>
      </c>
      <c r="AO19" s="18">
        <f>MATCH(AO$17,'Financials DF'!$A$22:$P$22,0)</f>
        <v>6</v>
      </c>
      <c r="AP19" s="18">
        <f>MATCH(AP$17,'Financials DF'!$A$22:$P$22,0)</f>
        <v>5</v>
      </c>
      <c r="AQ19" s="18">
        <f>MATCH(AQ$17,'Financials DF'!$A$22:$P$22,0)</f>
        <v>4</v>
      </c>
      <c r="AR19" s="18">
        <f>MATCH(AR$17,'Financials DF'!$A$22:$P$22,0)</f>
        <v>3</v>
      </c>
      <c r="AS19" s="18"/>
      <c r="AT19" s="18"/>
      <c r="AU19" s="18"/>
      <c r="AV19" s="18"/>
      <c r="AW19" s="18"/>
      <c r="AX19" s="18"/>
      <c r="AY19" s="18"/>
      <c r="AZ19" s="18"/>
      <c r="BA19" s="18"/>
      <c r="BB19" s="18"/>
      <c r="BC19" s="18"/>
      <c r="BD19" s="18"/>
      <c r="BE19" s="18"/>
      <c r="BF19" s="18"/>
      <c r="BG19" s="18"/>
      <c r="BH19" s="18"/>
      <c r="BI19" s="18"/>
      <c r="BJ19" s="18"/>
      <c r="BK19" s="18"/>
      <c r="BL19" s="18"/>
      <c r="BM19" s="18"/>
      <c r="BN19" s="18"/>
      <c r="BO19" s="18"/>
    </row>
    <row r="20" spans="1:67" ht="15" customHeight="1" x14ac:dyDescent="0.25">
      <c r="A20" s="18"/>
      <c r="B20" s="164" t="s">
        <v>12</v>
      </c>
      <c r="C20" s="601">
        <f>VLOOKUP($AN20,'Financials DF'!$A$34:$O$295,AO20,0)</f>
        <v>748</v>
      </c>
      <c r="D20" s="601">
        <f>VLOOKUP($AN20,'Financials DF'!$A$34:$O$295,AP20,0)</f>
        <v>1165</v>
      </c>
      <c r="E20" s="601">
        <f>VLOOKUP($AN20,'Financials DF'!$A$34:$O$295,AQ20,0)</f>
        <v>1168</v>
      </c>
      <c r="F20" s="601">
        <f>VLOOKUP($AN20,'Financials DF'!$A$34:$O$295,AR20,0)</f>
        <v>1203</v>
      </c>
      <c r="G20" s="729">
        <f t="shared" ref="G20:T20" si="7">IF(DCF_year &gt; year_last,"",IFERROR(F20*(1+int_term_rate_start),""))</f>
        <v>1295.6309999999999</v>
      </c>
      <c r="H20" s="730">
        <f t="shared" si="7"/>
        <v>1395.3945869999998</v>
      </c>
      <c r="I20" s="601" t="str">
        <f t="shared" si="7"/>
        <v/>
      </c>
      <c r="J20" s="601" t="str">
        <f t="shared" si="7"/>
        <v/>
      </c>
      <c r="K20" s="601" t="str">
        <f t="shared" si="7"/>
        <v/>
      </c>
      <c r="L20" s="601" t="str">
        <f t="shared" si="7"/>
        <v/>
      </c>
      <c r="M20" s="601" t="str">
        <f t="shared" si="7"/>
        <v/>
      </c>
      <c r="N20" s="601" t="str">
        <f t="shared" si="7"/>
        <v/>
      </c>
      <c r="O20" s="601" t="str">
        <f t="shared" si="7"/>
        <v/>
      </c>
      <c r="P20" s="601" t="str">
        <f t="shared" si="7"/>
        <v/>
      </c>
      <c r="Q20" s="601" t="str">
        <f t="shared" si="7"/>
        <v/>
      </c>
      <c r="R20" s="601" t="str">
        <f t="shared" si="7"/>
        <v/>
      </c>
      <c r="S20" s="601" t="str">
        <f t="shared" si="7"/>
        <v/>
      </c>
      <c r="T20" s="601" t="str">
        <f t="shared" si="7"/>
        <v/>
      </c>
      <c r="U20" s="16"/>
      <c r="V20" s="16"/>
      <c r="W20" s="18"/>
      <c r="X20" s="18"/>
      <c r="Y20" s="18"/>
      <c r="Z20" s="18"/>
      <c r="AA20" s="18"/>
      <c r="AB20" s="18"/>
      <c r="AC20" s="18"/>
      <c r="AD20" s="18"/>
      <c r="AE20" s="18"/>
      <c r="AF20" s="18"/>
      <c r="AG20" s="18"/>
      <c r="AH20" s="18"/>
      <c r="AI20" s="18"/>
      <c r="AJ20" s="18"/>
      <c r="AK20" s="18"/>
      <c r="AL20" s="18" t="str">
        <f>ADDRESS(MATCH(AN20,'Financials DF'!A:A,0),1)</f>
        <v>$A$164</v>
      </c>
      <c r="AM20" s="18" t="s">
        <v>1768</v>
      </c>
      <c r="AN20" s="18" t="s">
        <v>146</v>
      </c>
      <c r="AO20" s="18">
        <f>MATCH(AO$17,'Financials DF'!$A$22:$P$22,0)</f>
        <v>6</v>
      </c>
      <c r="AP20" s="18">
        <f>MATCH(AP$17,'Financials DF'!$A$22:$P$22,0)</f>
        <v>5</v>
      </c>
      <c r="AQ20" s="18">
        <f>MATCH(AQ$17,'Financials DF'!$A$22:$P$22,0)</f>
        <v>4</v>
      </c>
      <c r="AR20" s="18">
        <f>MATCH(AR$17,'Financials DF'!$A$22:$P$22,0)</f>
        <v>3</v>
      </c>
      <c r="AS20" s="18"/>
      <c r="AT20" s="18"/>
      <c r="AU20" s="18"/>
      <c r="AV20" s="18"/>
      <c r="AW20" s="18"/>
      <c r="AX20" s="18"/>
      <c r="AY20" s="18"/>
      <c r="AZ20" s="18"/>
      <c r="BA20" s="18"/>
      <c r="BB20" s="18"/>
      <c r="BC20" s="18"/>
      <c r="BD20" s="18"/>
      <c r="BE20" s="18"/>
      <c r="BF20" s="18"/>
      <c r="BG20" s="18"/>
      <c r="BH20" s="18"/>
      <c r="BI20" s="18"/>
      <c r="BJ20" s="18"/>
      <c r="BK20" s="18"/>
      <c r="BL20" s="18"/>
      <c r="BM20" s="18"/>
      <c r="BN20" s="18"/>
      <c r="BO20" s="18"/>
    </row>
    <row r="21" spans="1:67" ht="15" customHeight="1" x14ac:dyDescent="0.25">
      <c r="A21" s="18"/>
      <c r="B21" s="164" t="s">
        <v>13</v>
      </c>
      <c r="C21" s="601">
        <f>VLOOKUP($AN21,'Financials DF'!$A$34:$O$295,AO21,0)</f>
        <v>-123</v>
      </c>
      <c r="D21" s="601">
        <f>VLOOKUP($AN21,'Financials DF'!$A$34:$O$295,AP21,0)</f>
        <v>-27</v>
      </c>
      <c r="E21" s="601">
        <f>VLOOKUP($AN21,'Financials DF'!$A$34:$O$295,AQ21,0)</f>
        <v>401</v>
      </c>
      <c r="F21" s="601">
        <f>VLOOKUP($AN21,'Financials DF'!$A$34:$O$295,AR21,0)</f>
        <v>-436</v>
      </c>
      <c r="G21" s="729">
        <v>0</v>
      </c>
      <c r="H21" s="730">
        <f t="shared" ref="H21:T21" si="8">IF(DCF_year &gt; year_last,"",G21*(1+int_term_rate_start))</f>
        <v>0</v>
      </c>
      <c r="I21" s="601" t="str">
        <f t="shared" si="8"/>
        <v/>
      </c>
      <c r="J21" s="601" t="str">
        <f t="shared" si="8"/>
        <v/>
      </c>
      <c r="K21" s="601" t="str">
        <f t="shared" si="8"/>
        <v/>
      </c>
      <c r="L21" s="601" t="str">
        <f t="shared" si="8"/>
        <v/>
      </c>
      <c r="M21" s="601" t="str">
        <f t="shared" si="8"/>
        <v/>
      </c>
      <c r="N21" s="601" t="str">
        <f t="shared" si="8"/>
        <v/>
      </c>
      <c r="O21" s="601" t="str">
        <f t="shared" si="8"/>
        <v/>
      </c>
      <c r="P21" s="601" t="str">
        <f t="shared" si="8"/>
        <v/>
      </c>
      <c r="Q21" s="601" t="str">
        <f t="shared" si="8"/>
        <v/>
      </c>
      <c r="R21" s="601" t="str">
        <f t="shared" si="8"/>
        <v/>
      </c>
      <c r="S21" s="601" t="str">
        <f t="shared" si="8"/>
        <v/>
      </c>
      <c r="T21" s="601" t="str">
        <f t="shared" si="8"/>
        <v/>
      </c>
      <c r="U21" s="16"/>
      <c r="V21" s="16"/>
      <c r="W21" s="18"/>
      <c r="X21" s="18"/>
      <c r="Y21" s="18"/>
      <c r="Z21" s="18"/>
      <c r="AA21" s="18"/>
      <c r="AB21" s="18"/>
      <c r="AC21" s="18"/>
      <c r="AD21" s="18"/>
      <c r="AE21" s="18"/>
      <c r="AF21" s="18"/>
      <c r="AG21" s="18"/>
      <c r="AH21" s="18"/>
      <c r="AI21" s="18"/>
      <c r="AJ21" s="18"/>
      <c r="AK21" s="18"/>
      <c r="AL21" s="18" t="str">
        <f>ADDRESS(MATCH(AN21,'Financials DF'!A:A,0),1)</f>
        <v>$A$165</v>
      </c>
      <c r="AM21" s="18" t="s">
        <v>1768</v>
      </c>
      <c r="AN21" s="18" t="s">
        <v>391</v>
      </c>
      <c r="AO21" s="18">
        <f>MATCH(AO$17,'Financials DF'!$A$22:$P$22,0)</f>
        <v>6</v>
      </c>
      <c r="AP21" s="18">
        <f>MATCH(AP$17,'Financials DF'!$A$22:$P$22,0)</f>
        <v>5</v>
      </c>
      <c r="AQ21" s="18">
        <f>MATCH(AQ$17,'Financials DF'!$A$22:$P$22,0)</f>
        <v>4</v>
      </c>
      <c r="AR21" s="18">
        <f>MATCH(AR$17,'Financials DF'!$A$22:$P$22,0)</f>
        <v>3</v>
      </c>
      <c r="AS21" s="18"/>
      <c r="AT21" s="18"/>
      <c r="AU21" s="18"/>
      <c r="AV21" s="18"/>
      <c r="AW21" s="18"/>
      <c r="AX21" s="18"/>
      <c r="AY21" s="18"/>
      <c r="AZ21" s="18"/>
      <c r="BA21" s="18"/>
      <c r="BB21" s="18"/>
      <c r="BC21" s="18"/>
      <c r="BD21" s="18"/>
      <c r="BE21" s="18"/>
      <c r="BF21" s="18"/>
      <c r="BG21" s="18"/>
      <c r="BH21" s="18"/>
      <c r="BI21" s="18"/>
      <c r="BJ21" s="18"/>
      <c r="BK21" s="18"/>
      <c r="BL21" s="18"/>
      <c r="BM21" s="18"/>
      <c r="BN21" s="18"/>
      <c r="BO21" s="18"/>
    </row>
    <row r="22" spans="1:67" ht="15" customHeight="1" x14ac:dyDescent="0.25">
      <c r="A22" s="18"/>
      <c r="B22" s="164" t="s">
        <v>14</v>
      </c>
      <c r="C22" s="601">
        <f>VLOOKUP($AN22,Fcsts!$B$4:$K$157,AO22,0)</f>
        <v>427</v>
      </c>
      <c r="D22" s="601">
        <f>VLOOKUP($AN22,Fcsts!$B$4:$K$157,AP22,0)</f>
        <v>-1395</v>
      </c>
      <c r="E22" s="601">
        <f>VLOOKUP($AN22,Fcsts!$B$4:$K$157,AQ22,0)</f>
        <v>234</v>
      </c>
      <c r="F22" s="601">
        <f>VLOOKUP($AN22,Fcsts!$B$4:$K$157,AR22,0)</f>
        <v>238</v>
      </c>
      <c r="G22" s="729">
        <v>-100</v>
      </c>
      <c r="H22" s="730">
        <f t="shared" ref="H22:T22" si="9">IF(DCF_year &gt; year_last,"",G22*(1+int_term_rate_start))</f>
        <v>-107.69999999999999</v>
      </c>
      <c r="I22" s="601" t="str">
        <f t="shared" si="9"/>
        <v/>
      </c>
      <c r="J22" s="601" t="str">
        <f t="shared" si="9"/>
        <v/>
      </c>
      <c r="K22" s="601" t="str">
        <f t="shared" si="9"/>
        <v/>
      </c>
      <c r="L22" s="601" t="str">
        <f t="shared" si="9"/>
        <v/>
      </c>
      <c r="M22" s="601" t="str">
        <f t="shared" si="9"/>
        <v/>
      </c>
      <c r="N22" s="601" t="str">
        <f t="shared" si="9"/>
        <v/>
      </c>
      <c r="O22" s="601" t="str">
        <f t="shared" si="9"/>
        <v/>
      </c>
      <c r="P22" s="601" t="str">
        <f t="shared" si="9"/>
        <v/>
      </c>
      <c r="Q22" s="601" t="str">
        <f t="shared" si="9"/>
        <v/>
      </c>
      <c r="R22" s="601" t="str">
        <f t="shared" si="9"/>
        <v/>
      </c>
      <c r="S22" s="601" t="str">
        <f t="shared" si="9"/>
        <v/>
      </c>
      <c r="T22" s="601" t="str">
        <f t="shared" si="9"/>
        <v/>
      </c>
      <c r="U22" s="16"/>
      <c r="V22" s="16"/>
      <c r="W22" s="18"/>
      <c r="X22" s="18"/>
      <c r="Y22" s="18"/>
      <c r="Z22" s="18"/>
      <c r="AA22" s="18"/>
      <c r="AB22" s="18"/>
      <c r="AC22" s="18"/>
      <c r="AD22" s="18"/>
      <c r="AE22" s="18"/>
      <c r="AF22" s="18"/>
      <c r="AG22" s="18"/>
      <c r="AH22" s="18"/>
      <c r="AI22" s="18"/>
      <c r="AJ22" s="18"/>
      <c r="AK22" s="18" t="b" cm="1">
        <f t="array" aca="1" ref="AK22" ca="1">INDIRECT(AL22)=AN22</f>
        <v>0</v>
      </c>
      <c r="AL22" s="18" t="s">
        <v>1779</v>
      </c>
      <c r="AM22" s="585" t="s">
        <v>1769</v>
      </c>
      <c r="AN22" s="585" t="s">
        <v>246</v>
      </c>
      <c r="AO22" s="585">
        <f>MATCH(AO$17,Fcsts!$B$4:$K$4,0)</f>
        <v>8</v>
      </c>
      <c r="AP22" s="585">
        <f>MATCH(AP$17,Fcsts!$B$4:$K$4,0)</f>
        <v>7</v>
      </c>
      <c r="AQ22" s="585">
        <f>MATCH(AQ$17,Fcsts!$B$4:$K$4,0)</f>
        <v>6</v>
      </c>
      <c r="AR22" s="585">
        <f>MATCH(AR$17,Fcsts!$B$4:$K$4,0)</f>
        <v>5</v>
      </c>
      <c r="AS22" s="18"/>
      <c r="AT22" s="18"/>
      <c r="AU22" s="18"/>
      <c r="AV22" s="18"/>
      <c r="AW22" s="18"/>
      <c r="AX22" s="18"/>
      <c r="AY22" s="18"/>
      <c r="AZ22" s="18"/>
      <c r="BA22" s="18"/>
      <c r="BB22" s="18"/>
      <c r="BC22" s="18"/>
      <c r="BD22" s="18"/>
      <c r="BE22" s="18"/>
      <c r="BF22" s="18"/>
      <c r="BG22" s="18"/>
      <c r="BH22" s="18"/>
      <c r="BI22" s="18"/>
      <c r="BJ22" s="18"/>
      <c r="BK22" s="18"/>
      <c r="BL22" s="18"/>
      <c r="BM22" s="18"/>
      <c r="BN22" s="18"/>
      <c r="BO22" s="18"/>
    </row>
    <row r="23" spans="1:67" ht="15" customHeight="1" x14ac:dyDescent="0.25">
      <c r="A23" s="18"/>
      <c r="B23" s="164" t="s">
        <v>36</v>
      </c>
      <c r="C23" s="601">
        <f>VLOOKUP($AN23,Fcsts!$B$4:$K$157,AO23,0)</f>
        <v>-1378</v>
      </c>
      <c r="D23" s="601">
        <f>VLOOKUP($AN23,Fcsts!$B$4:$K$157,AP23,0)</f>
        <v>-961</v>
      </c>
      <c r="E23" s="601">
        <f>VLOOKUP($AN23,Fcsts!$B$4:$K$157,AQ23,0)</f>
        <v>-1132</v>
      </c>
      <c r="F23" s="601">
        <f>VLOOKUP($AN23,Fcsts!$B$4:$K$157,AR23,0)</f>
        <v>-1382</v>
      </c>
      <c r="G23" s="729">
        <v>-1300</v>
      </c>
      <c r="H23" s="730">
        <f t="shared" ref="H23:T23" si="10">IF(DCF_year &gt; year_last,"",G23*(1+int_term_rate_start))</f>
        <v>-1400.1</v>
      </c>
      <c r="I23" s="601" t="str">
        <f t="shared" si="10"/>
        <v/>
      </c>
      <c r="J23" s="601" t="str">
        <f t="shared" si="10"/>
        <v/>
      </c>
      <c r="K23" s="601" t="str">
        <f t="shared" si="10"/>
        <v/>
      </c>
      <c r="L23" s="601" t="str">
        <f t="shared" si="10"/>
        <v/>
      </c>
      <c r="M23" s="601" t="str">
        <f t="shared" si="10"/>
        <v/>
      </c>
      <c r="N23" s="601" t="str">
        <f t="shared" si="10"/>
        <v/>
      </c>
      <c r="O23" s="601" t="str">
        <f t="shared" si="10"/>
        <v/>
      </c>
      <c r="P23" s="601" t="str">
        <f t="shared" si="10"/>
        <v/>
      </c>
      <c r="Q23" s="601" t="str">
        <f t="shared" si="10"/>
        <v/>
      </c>
      <c r="R23" s="601" t="str">
        <f t="shared" si="10"/>
        <v/>
      </c>
      <c r="S23" s="601" t="str">
        <f t="shared" si="10"/>
        <v/>
      </c>
      <c r="T23" s="601" t="str">
        <f t="shared" si="10"/>
        <v/>
      </c>
      <c r="U23" s="16"/>
      <c r="V23" s="16"/>
      <c r="W23" s="18"/>
      <c r="X23" s="18"/>
      <c r="Y23" s="18"/>
      <c r="Z23" s="18"/>
      <c r="AA23" s="18"/>
      <c r="AB23" s="18"/>
      <c r="AC23" s="18"/>
      <c r="AD23" s="18"/>
      <c r="AE23" s="18"/>
      <c r="AF23" s="18"/>
      <c r="AG23" s="18"/>
      <c r="AH23" s="18"/>
      <c r="AI23" s="18"/>
      <c r="AJ23" s="18"/>
      <c r="AK23" s="18" t="b" cm="1">
        <f t="array" aca="1" ref="AK23" ca="1">INDIRECT(AL23)=AN23</f>
        <v>0</v>
      </c>
      <c r="AL23" s="18" t="s">
        <v>1780</v>
      </c>
      <c r="AM23" s="18" t="s">
        <v>1769</v>
      </c>
      <c r="AN23" s="18" t="s">
        <v>54</v>
      </c>
      <c r="AO23" s="18">
        <f>MATCH(AO$17,Fcsts!$B$4:$K$4,0)</f>
        <v>8</v>
      </c>
      <c r="AP23" s="18">
        <f>MATCH(AP$17,Fcsts!$B$4:$K$4,0)</f>
        <v>7</v>
      </c>
      <c r="AQ23" s="18">
        <f>MATCH(AQ$17,Fcsts!$B$4:$K$4,0)</f>
        <v>6</v>
      </c>
      <c r="AR23" s="18">
        <f>MATCH(AR$17,Fcsts!$B$4:$K$4,0)</f>
        <v>5</v>
      </c>
      <c r="AS23" s="18"/>
      <c r="AT23" s="18"/>
      <c r="AU23" s="18"/>
      <c r="AV23" s="18"/>
      <c r="AW23" s="18"/>
      <c r="AX23" s="18"/>
      <c r="AY23" s="18"/>
      <c r="AZ23" s="18"/>
      <c r="BA23" s="18"/>
      <c r="BB23" s="18"/>
      <c r="BC23" s="18"/>
      <c r="BD23" s="18"/>
      <c r="BE23" s="18"/>
      <c r="BF23" s="18"/>
      <c r="BG23" s="18"/>
      <c r="BH23" s="18"/>
      <c r="BI23" s="18"/>
      <c r="BJ23" s="18"/>
      <c r="BK23" s="18"/>
      <c r="BL23" s="18"/>
      <c r="BM23" s="18"/>
      <c r="BN23" s="18"/>
      <c r="BO23" s="18"/>
    </row>
    <row r="24" spans="1:67" ht="15" customHeight="1" x14ac:dyDescent="0.25">
      <c r="A24" s="18"/>
      <c r="B24" s="164" t="s">
        <v>15</v>
      </c>
      <c r="C24" s="601">
        <f>-VLOOKUP($AN24,Fcsts!$B$4:$K$157,AO24,0)</f>
        <v>-31</v>
      </c>
      <c r="D24" s="601">
        <f>-VLOOKUP($AN24,Fcsts!$B$4:$K$157,AP24,0)</f>
        <v>7</v>
      </c>
      <c r="E24" s="601">
        <f>-VLOOKUP($AN24,Fcsts!$B$4:$K$157,AQ24,0)</f>
        <v>9</v>
      </c>
      <c r="F24" s="601">
        <f>-VLOOKUP($AN24,Fcsts!$B$4:$K$157,AR24,0)</f>
        <v>-37</v>
      </c>
      <c r="G24" s="729">
        <f t="shared" ref="G24:T24" si="11">IF(DCF_year &gt; year_last,"",F24*(1+int_term_rate_start))</f>
        <v>-39.848999999999997</v>
      </c>
      <c r="H24" s="730">
        <f t="shared" si="11"/>
        <v>-42.917372999999998</v>
      </c>
      <c r="I24" s="601" t="str">
        <f t="shared" si="11"/>
        <v/>
      </c>
      <c r="J24" s="601" t="str">
        <f t="shared" si="11"/>
        <v/>
      </c>
      <c r="K24" s="601" t="str">
        <f t="shared" si="11"/>
        <v/>
      </c>
      <c r="L24" s="601" t="str">
        <f t="shared" si="11"/>
        <v/>
      </c>
      <c r="M24" s="601" t="str">
        <f t="shared" si="11"/>
        <v/>
      </c>
      <c r="N24" s="601" t="str">
        <f t="shared" si="11"/>
        <v/>
      </c>
      <c r="O24" s="601" t="str">
        <f t="shared" si="11"/>
        <v/>
      </c>
      <c r="P24" s="601" t="str">
        <f t="shared" si="11"/>
        <v/>
      </c>
      <c r="Q24" s="601" t="str">
        <f t="shared" si="11"/>
        <v/>
      </c>
      <c r="R24" s="601" t="str">
        <f t="shared" si="11"/>
        <v/>
      </c>
      <c r="S24" s="601" t="str">
        <f t="shared" si="11"/>
        <v/>
      </c>
      <c r="T24" s="601" t="str">
        <f t="shared" si="11"/>
        <v/>
      </c>
      <c r="U24" s="16"/>
      <c r="V24" s="16"/>
      <c r="W24" s="18"/>
      <c r="X24" s="18"/>
      <c r="Y24" s="18"/>
      <c r="Z24" s="18"/>
      <c r="AA24" s="18"/>
      <c r="AB24" s="18"/>
      <c r="AC24" s="18"/>
      <c r="AD24" s="18"/>
      <c r="AE24" s="18"/>
      <c r="AF24" s="18"/>
      <c r="AG24" s="18"/>
      <c r="AH24" s="18"/>
      <c r="AI24" s="18"/>
      <c r="AJ24" s="18"/>
      <c r="AK24" s="18" t="b" cm="1">
        <f t="array" aca="1" ref="AK24" ca="1">INDIRECT(AL24)=AN24</f>
        <v>1</v>
      </c>
      <c r="AL24" s="18" t="s">
        <v>1781</v>
      </c>
      <c r="AM24" s="18" t="s">
        <v>1769</v>
      </c>
      <c r="AN24" s="18" t="s">
        <v>190</v>
      </c>
      <c r="AO24" s="18">
        <f>MATCH(AO$17,Fcsts!$B$4:$K$4,0)</f>
        <v>8</v>
      </c>
      <c r="AP24" s="18">
        <f>MATCH(AP$17,Fcsts!$B$4:$K$4,0)</f>
        <v>7</v>
      </c>
      <c r="AQ24" s="18">
        <f>MATCH(AQ$17,Fcsts!$B$4:$K$4,0)</f>
        <v>6</v>
      </c>
      <c r="AR24" s="18">
        <f>MATCH(AR$17,Fcsts!$B$4:$K$4,0)</f>
        <v>5</v>
      </c>
      <c r="AS24" s="18"/>
      <c r="AT24" s="18"/>
      <c r="AU24" s="18"/>
      <c r="AV24" s="18"/>
      <c r="AW24" s="18"/>
      <c r="AX24" s="18"/>
      <c r="AY24" s="18"/>
      <c r="AZ24" s="18"/>
      <c r="BA24" s="18"/>
      <c r="BB24" s="18"/>
      <c r="BC24" s="18"/>
      <c r="BD24" s="18"/>
      <c r="BE24" s="18"/>
      <c r="BF24" s="18"/>
      <c r="BG24" s="18"/>
      <c r="BH24" s="18"/>
      <c r="BI24" s="18"/>
      <c r="BJ24" s="18"/>
      <c r="BK24" s="18"/>
      <c r="BL24" s="18"/>
      <c r="BM24" s="18"/>
      <c r="BN24" s="18"/>
      <c r="BO24" s="18"/>
    </row>
    <row r="25" spans="1:67" ht="15" customHeight="1" x14ac:dyDescent="0.25">
      <c r="A25" s="18"/>
      <c r="B25" s="165" t="s">
        <v>16</v>
      </c>
      <c r="C25" s="604">
        <f t="shared" ref="C25:I25" si="12">IF(C17&lt;=$S8,SUM(C18:C24),IF(DCF_year&lt;=year_last+int_term_period,B25*(1+C26),""))</f>
        <v>2316</v>
      </c>
      <c r="D25" s="604">
        <f>IF(D17&lt;=$S8,SUM(D18:D24),IF(DCF_year&lt;=year_last+int_term_period,C25*(1+D26),""))</f>
        <v>-245</v>
      </c>
      <c r="E25" s="604">
        <f t="shared" si="12"/>
        <v>2138</v>
      </c>
      <c r="F25" s="604">
        <f t="shared" si="12"/>
        <v>1429</v>
      </c>
      <c r="G25" s="605">
        <f t="shared" si="12"/>
        <v>1955.3700108</v>
      </c>
      <c r="H25" s="604">
        <f t="shared" si="12"/>
        <v>2202.4706846619974</v>
      </c>
      <c r="I25" s="604">
        <f t="shared" si="12"/>
        <v>2372.060927380971</v>
      </c>
      <c r="J25" s="604">
        <f t="shared" ref="J25:T25" si="13">IF(J17&lt;=$S8,SUM(J18:J24),IF(DCF_year&lt;=year_last+int_term_period,I25*(1+J26),""))</f>
        <v>2551.0437064469897</v>
      </c>
      <c r="K25" s="604">
        <f t="shared" si="13"/>
        <v>2739.5890276598448</v>
      </c>
      <c r="L25" s="604">
        <f t="shared" si="13"/>
        <v>2937.8356518432302</v>
      </c>
      <c r="M25" s="604">
        <f t="shared" si="13"/>
        <v>3145.8878311874009</v>
      </c>
      <c r="N25" s="604">
        <f t="shared" si="13"/>
        <v>3363.8120609478369</v>
      </c>
      <c r="O25" s="604">
        <f t="shared" si="13"/>
        <v>3591.6338778029403</v>
      </c>
      <c r="P25" s="604">
        <f t="shared" si="13"/>
        <v>3829.334738079353</v>
      </c>
      <c r="Q25" s="604">
        <f t="shared" si="13"/>
        <v>4076.849010695209</v>
      </c>
      <c r="R25" s="604">
        <f t="shared" si="13"/>
        <v>4334.0611210063435</v>
      </c>
      <c r="S25" s="604">
        <f t="shared" si="13"/>
        <v>4600.8028827264616</v>
      </c>
      <c r="T25" s="604">
        <f t="shared" si="13"/>
        <v>4876.8510556900492</v>
      </c>
      <c r="U25" s="16"/>
      <c r="V25" s="16"/>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row>
    <row r="26" spans="1:67" ht="15" customHeight="1" x14ac:dyDescent="0.25">
      <c r="A26" s="18"/>
      <c r="B26" s="164" t="s">
        <v>17</v>
      </c>
      <c r="C26" s="590"/>
      <c r="D26" s="590">
        <f t="shared" ref="D26:T26" si="14">IF(DCF_year&lt;=year_last,D25/C25-1,IF(DCF_year&gt;year_last+int_term_period,"",(int_term_rate_start-int_term_rate_finish)*(year_last+int_term_period-DCF_year)/(int_term_period-1)+int_term_rate_finish))</f>
        <v>-1.1057858376511227</v>
      </c>
      <c r="E26" s="590">
        <f t="shared" si="14"/>
        <v>-9.7265306122448987</v>
      </c>
      <c r="F26" s="590">
        <f t="shared" si="14"/>
        <v>-0.33161833489242287</v>
      </c>
      <c r="G26" s="733">
        <f t="shared" si="14"/>
        <v>0.36834850300909738</v>
      </c>
      <c r="H26" s="734">
        <f t="shared" si="14"/>
        <v>0.12637028925328631</v>
      </c>
      <c r="I26" s="590">
        <f t="shared" si="14"/>
        <v>7.6999999999999999E-2</v>
      </c>
      <c r="J26" s="590">
        <f t="shared" si="14"/>
        <v>7.5454545454545455E-2</v>
      </c>
      <c r="K26" s="590">
        <f t="shared" si="14"/>
        <v>7.390909090909091E-2</v>
      </c>
      <c r="L26" s="590">
        <f t="shared" si="14"/>
        <v>7.2363636363636366E-2</v>
      </c>
      <c r="M26" s="590">
        <f t="shared" si="14"/>
        <v>7.0818181818181822E-2</v>
      </c>
      <c r="N26" s="590">
        <f t="shared" si="14"/>
        <v>6.9272727272727264E-2</v>
      </c>
      <c r="O26" s="590">
        <f t="shared" si="14"/>
        <v>6.7727272727272719E-2</v>
      </c>
      <c r="P26" s="590">
        <f t="shared" si="14"/>
        <v>6.6181818181818175E-2</v>
      </c>
      <c r="Q26" s="590">
        <f t="shared" si="14"/>
        <v>6.4636363636363631E-2</v>
      </c>
      <c r="R26" s="590">
        <f t="shared" si="14"/>
        <v>6.3090909090909086E-2</v>
      </c>
      <c r="S26" s="590">
        <f t="shared" si="14"/>
        <v>6.1545454545454542E-2</v>
      </c>
      <c r="T26" s="590">
        <f t="shared" si="14"/>
        <v>0.06</v>
      </c>
      <c r="U26" s="16"/>
      <c r="V26" s="16"/>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row>
    <row r="27" spans="1:67" ht="15" customHeight="1" x14ac:dyDescent="0.25">
      <c r="A27" s="18"/>
      <c r="B27" s="148"/>
      <c r="C27" s="745"/>
      <c r="D27" s="745"/>
      <c r="E27" s="745"/>
      <c r="F27" s="745"/>
      <c r="G27" s="611"/>
      <c r="H27" s="62"/>
      <c r="I27" s="62"/>
      <c r="J27" s="62"/>
      <c r="K27" s="62"/>
      <c r="L27" s="62"/>
      <c r="M27" s="62"/>
      <c r="N27" s="62"/>
      <c r="O27" s="62"/>
      <c r="P27" s="62"/>
      <c r="Q27" s="62"/>
      <c r="R27" s="62"/>
      <c r="S27" s="62"/>
      <c r="T27" s="62"/>
      <c r="U27" s="16"/>
      <c r="V27" s="16"/>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row>
    <row r="28" spans="1:67" ht="15" customHeight="1" x14ac:dyDescent="0.25">
      <c r="A28" s="18"/>
      <c r="B28" s="150" t="s">
        <v>18</v>
      </c>
      <c r="C28" s="592"/>
      <c r="D28" s="592"/>
      <c r="E28" s="592"/>
      <c r="F28" s="592"/>
      <c r="G28" s="593"/>
      <c r="H28" s="592"/>
      <c r="I28" s="592"/>
      <c r="J28" s="592"/>
      <c r="K28" s="592"/>
      <c r="L28" s="592"/>
      <c r="M28" s="592"/>
      <c r="N28" s="592"/>
      <c r="O28" s="592"/>
      <c r="P28" s="592"/>
      <c r="Q28" s="592"/>
      <c r="R28" s="592"/>
      <c r="S28" s="592"/>
      <c r="T28" s="592"/>
      <c r="U28" s="16"/>
      <c r="V28" s="16"/>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row>
    <row r="29" spans="1:67" ht="15" customHeight="1" outlineLevel="1" x14ac:dyDescent="0.25">
      <c r="A29" s="18"/>
      <c r="B29" s="164" t="s">
        <v>19</v>
      </c>
      <c r="C29" s="608">
        <f t="shared" ref="C29:T29" si="15">IF(DCF_year&gt;year_last+int_term_period,"",EOMONTH(DATE(DCF_year,year_end_month,1),0))</f>
        <v>43738</v>
      </c>
      <c r="D29" s="608">
        <f t="shared" si="15"/>
        <v>44104</v>
      </c>
      <c r="E29" s="608">
        <f t="shared" si="15"/>
        <v>44469</v>
      </c>
      <c r="F29" s="608">
        <f t="shared" si="15"/>
        <v>44834</v>
      </c>
      <c r="G29" s="609">
        <f t="shared" si="15"/>
        <v>45199</v>
      </c>
      <c r="H29" s="608">
        <f t="shared" si="15"/>
        <v>45565</v>
      </c>
      <c r="I29" s="608">
        <f t="shared" si="15"/>
        <v>45930</v>
      </c>
      <c r="J29" s="608">
        <f t="shared" si="15"/>
        <v>46295</v>
      </c>
      <c r="K29" s="608">
        <f t="shared" si="15"/>
        <v>46660</v>
      </c>
      <c r="L29" s="608">
        <f t="shared" si="15"/>
        <v>47026</v>
      </c>
      <c r="M29" s="608">
        <f t="shared" si="15"/>
        <v>47391</v>
      </c>
      <c r="N29" s="608">
        <f t="shared" si="15"/>
        <v>47756</v>
      </c>
      <c r="O29" s="608">
        <f t="shared" si="15"/>
        <v>48121</v>
      </c>
      <c r="P29" s="608">
        <f t="shared" si="15"/>
        <v>48487</v>
      </c>
      <c r="Q29" s="608">
        <f t="shared" si="15"/>
        <v>48852</v>
      </c>
      <c r="R29" s="608">
        <f t="shared" si="15"/>
        <v>49217</v>
      </c>
      <c r="S29" s="608">
        <f t="shared" si="15"/>
        <v>49582</v>
      </c>
      <c r="T29" s="608">
        <f t="shared" si="15"/>
        <v>49948</v>
      </c>
      <c r="U29" s="16"/>
      <c r="V29" s="16"/>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row>
    <row r="30" spans="1:67" ht="15" customHeight="1" x14ac:dyDescent="0.25">
      <c r="A30" s="18"/>
      <c r="B30" s="164" t="s">
        <v>20</v>
      </c>
      <c r="C30" s="594">
        <f ca="1">IF(DCF_year&gt;year_last+int_term_period,"",(DCF_year_ends-valuation_date)/365)</f>
        <v>-3.8958904109589043</v>
      </c>
      <c r="D30" s="594">
        <f t="shared" ref="D30:T30" ca="1" si="16">IF(DCF_year&gt;year_last+int_term_period,"",MAX(0,(DCF_year_ends-valuation_date)/365))</f>
        <v>0</v>
      </c>
      <c r="E30" s="594">
        <f t="shared" ca="1" si="16"/>
        <v>0</v>
      </c>
      <c r="F30" s="594">
        <f t="shared" ca="1" si="16"/>
        <v>0</v>
      </c>
      <c r="G30" s="595">
        <f t="shared" ca="1" si="16"/>
        <v>0.10684931506849316</v>
      </c>
      <c r="H30" s="594">
        <f t="shared" ca="1" si="16"/>
        <v>1.1095890410958904</v>
      </c>
      <c r="I30" s="594">
        <f t="shared" ca="1" si="16"/>
        <v>2.1095890410958904</v>
      </c>
      <c r="J30" s="594">
        <f t="shared" ca="1" si="16"/>
        <v>3.1095890410958904</v>
      </c>
      <c r="K30" s="594">
        <f t="shared" ca="1" si="16"/>
        <v>4.1095890410958908</v>
      </c>
      <c r="L30" s="594">
        <f t="shared" ca="1" si="16"/>
        <v>5.1123287671232873</v>
      </c>
      <c r="M30" s="594">
        <f t="shared" ca="1" si="16"/>
        <v>6.1123287671232873</v>
      </c>
      <c r="N30" s="594">
        <f t="shared" ca="1" si="16"/>
        <v>7.1123287671232873</v>
      </c>
      <c r="O30" s="594">
        <f t="shared" ca="1" si="16"/>
        <v>8.1123287671232873</v>
      </c>
      <c r="P30" s="594">
        <f t="shared" ca="1" si="16"/>
        <v>9.1150684931506856</v>
      </c>
      <c r="Q30" s="594">
        <f t="shared" ca="1" si="16"/>
        <v>10.115068493150686</v>
      </c>
      <c r="R30" s="594">
        <f t="shared" ca="1" si="16"/>
        <v>11.115068493150686</v>
      </c>
      <c r="S30" s="594">
        <f t="shared" ca="1" si="16"/>
        <v>12.115068493150686</v>
      </c>
      <c r="T30" s="594">
        <f t="shared" ca="1" si="16"/>
        <v>13.117808219178082</v>
      </c>
      <c r="U30" s="16"/>
      <c r="V30" s="16"/>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row>
    <row r="31" spans="1:67" ht="15" customHeight="1" x14ac:dyDescent="0.25">
      <c r="A31" s="18"/>
      <c r="B31" s="164" t="s">
        <v>21</v>
      </c>
      <c r="C31" s="590">
        <f t="shared" ref="C31:T31" si="17">IF(DCF_year&gt;year_last+int_term_period,"",WACC)</f>
        <v>0.13383309123164119</v>
      </c>
      <c r="D31" s="590">
        <f t="shared" si="17"/>
        <v>0.13383309123164119</v>
      </c>
      <c r="E31" s="590">
        <f t="shared" si="17"/>
        <v>0.13383309123164119</v>
      </c>
      <c r="F31" s="590">
        <f t="shared" si="17"/>
        <v>0.13383309123164119</v>
      </c>
      <c r="G31" s="591">
        <f t="shared" si="17"/>
        <v>0.13383309123164119</v>
      </c>
      <c r="H31" s="590">
        <f t="shared" si="17"/>
        <v>0.13383309123164119</v>
      </c>
      <c r="I31" s="590">
        <f t="shared" si="17"/>
        <v>0.13383309123164119</v>
      </c>
      <c r="J31" s="590">
        <f t="shared" si="17"/>
        <v>0.13383309123164119</v>
      </c>
      <c r="K31" s="590">
        <f t="shared" si="17"/>
        <v>0.13383309123164119</v>
      </c>
      <c r="L31" s="590">
        <f t="shared" si="17"/>
        <v>0.13383309123164119</v>
      </c>
      <c r="M31" s="590">
        <f t="shared" si="17"/>
        <v>0.13383309123164119</v>
      </c>
      <c r="N31" s="590">
        <f t="shared" si="17"/>
        <v>0.13383309123164119</v>
      </c>
      <c r="O31" s="590">
        <f t="shared" si="17"/>
        <v>0.13383309123164119</v>
      </c>
      <c r="P31" s="590">
        <f t="shared" si="17"/>
        <v>0.13383309123164119</v>
      </c>
      <c r="Q31" s="590">
        <f t="shared" si="17"/>
        <v>0.13383309123164119</v>
      </c>
      <c r="R31" s="590">
        <f t="shared" si="17"/>
        <v>0.13383309123164119</v>
      </c>
      <c r="S31" s="590">
        <f t="shared" si="17"/>
        <v>0.13383309123164119</v>
      </c>
      <c r="T31" s="590">
        <f t="shared" si="17"/>
        <v>0.13383309123164119</v>
      </c>
      <c r="U31" s="16"/>
      <c r="V31" s="16"/>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row>
    <row r="32" spans="1:67" ht="15" customHeight="1" x14ac:dyDescent="0.25">
      <c r="A32" s="18"/>
      <c r="B32" s="164" t="s">
        <v>22</v>
      </c>
      <c r="C32" s="596">
        <f t="shared" ref="C32:T32" ca="1" si="18">IF(DCF_year&gt;year_last+int_term_period,"",IF(C30&lt;0,0,1/(1+C31)^C30))</f>
        <v>0</v>
      </c>
      <c r="D32" s="596">
        <f t="shared" ca="1" si="18"/>
        <v>1</v>
      </c>
      <c r="E32" s="596">
        <f t="shared" ca="1" si="18"/>
        <v>1</v>
      </c>
      <c r="F32" s="596">
        <f t="shared" ca="1" si="18"/>
        <v>1</v>
      </c>
      <c r="G32" s="597">
        <f t="shared" ca="1" si="18"/>
        <v>0.98666895380440145</v>
      </c>
      <c r="H32" s="596">
        <f t="shared" ca="1" si="18"/>
        <v>0.86990712015835503</v>
      </c>
      <c r="I32" s="596">
        <f t="shared" ca="1" si="18"/>
        <v>0.76722678751015017</v>
      </c>
      <c r="J32" s="596">
        <f t="shared" ca="1" si="18"/>
        <v>0.67666642775149544</v>
      </c>
      <c r="K32" s="596">
        <f t="shared" ca="1" si="18"/>
        <v>0.59679544809938256</v>
      </c>
      <c r="L32" s="596">
        <f t="shared" ca="1" si="18"/>
        <v>0.52617101975083236</v>
      </c>
      <c r="M32" s="596">
        <f t="shared" ca="1" si="18"/>
        <v>0.46406391189312723</v>
      </c>
      <c r="N32" s="596">
        <f t="shared" ca="1" si="18"/>
        <v>0.4092876768916946</v>
      </c>
      <c r="O32" s="596">
        <f t="shared" ca="1" si="18"/>
        <v>0.36097700804189831</v>
      </c>
      <c r="P32" s="596">
        <f t="shared" ca="1" si="18"/>
        <v>0.31825919757414212</v>
      </c>
      <c r="Q32" s="596">
        <f t="shared" ca="1" si="18"/>
        <v>0.28069316377812609</v>
      </c>
      <c r="R32" s="596">
        <f t="shared" ca="1" si="18"/>
        <v>0.24756127330277461</v>
      </c>
      <c r="S32" s="596">
        <f t="shared" ca="1" si="18"/>
        <v>0.21834013773037608</v>
      </c>
      <c r="T32" s="596">
        <f t="shared" ca="1" si="18"/>
        <v>0.19250189204358317</v>
      </c>
      <c r="U32" s="16"/>
      <c r="V32" s="16"/>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row>
    <row r="33" spans="1:67" ht="15" customHeight="1" x14ac:dyDescent="0.25">
      <c r="A33" s="18"/>
      <c r="B33" s="165" t="s">
        <v>23</v>
      </c>
      <c r="C33" s="604" t="str">
        <f ca="1">IF(DCF_year&gt;year_last+int_term_period,"",IF(C30&lt;0,"n/a",C25*C32))</f>
        <v>n/a</v>
      </c>
      <c r="D33" s="604">
        <f t="shared" ref="D33:T33" ca="1" si="19">IF(DCF_year&gt;year_last+int_term_period,"",D25*D32)</f>
        <v>-245</v>
      </c>
      <c r="E33" s="604">
        <f t="shared" ca="1" si="19"/>
        <v>2138</v>
      </c>
      <c r="F33" s="604">
        <f t="shared" ca="1" si="19"/>
        <v>1429</v>
      </c>
      <c r="G33" s="605">
        <f t="shared" ca="1" si="19"/>
        <v>1929.3028828565373</v>
      </c>
      <c r="H33" s="604">
        <f t="shared" ca="1" si="19"/>
        <v>1915.9449305275186</v>
      </c>
      <c r="I33" s="604">
        <f t="shared" ca="1" si="19"/>
        <v>1819.90868509285</v>
      </c>
      <c r="J33" s="604">
        <f t="shared" ca="1" si="19"/>
        <v>1726.2056318794191</v>
      </c>
      <c r="K33" s="604">
        <f t="shared" ca="1" si="19"/>
        <v>1634.9742613704088</v>
      </c>
      <c r="L33" s="604">
        <f t="shared" ca="1" si="19"/>
        <v>1545.8039807907037</v>
      </c>
      <c r="M33" s="604">
        <f t="shared" ca="1" si="19"/>
        <v>1459.8930133178112</v>
      </c>
      <c r="N33" s="604">
        <f t="shared" ca="1" si="19"/>
        <v>1376.7668239256036</v>
      </c>
      <c r="O33" s="604">
        <f t="shared" ca="1" si="19"/>
        <v>1296.4972511912265</v>
      </c>
      <c r="P33" s="604">
        <f t="shared" ca="1" si="19"/>
        <v>1218.7210009839225</v>
      </c>
      <c r="Q33" s="604">
        <f t="shared" ca="1" si="19"/>
        <v>1144.3436470577617</v>
      </c>
      <c r="R33" s="604">
        <f t="shared" ca="1" si="19"/>
        <v>1072.945689688381</v>
      </c>
      <c r="S33" s="604">
        <f t="shared" ca="1" si="19"/>
        <v>1004.539935084807</v>
      </c>
      <c r="T33" s="604">
        <f t="shared" ca="1" si="19"/>
        <v>938.80305543508052</v>
      </c>
      <c r="U33" s="16"/>
      <c r="V33" s="16"/>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row>
    <row r="34" spans="1:67" ht="15" customHeight="1" x14ac:dyDescent="0.25">
      <c r="A34" s="18"/>
      <c r="B34" s="148"/>
      <c r="C34" s="62"/>
      <c r="D34" s="62"/>
      <c r="E34" s="62"/>
      <c r="F34" s="611"/>
      <c r="G34" s="611"/>
      <c r="H34" s="62"/>
      <c r="I34" s="62"/>
      <c r="J34" s="62"/>
      <c r="K34" s="62"/>
      <c r="L34" s="62"/>
      <c r="M34" s="62"/>
      <c r="N34" s="62"/>
      <c r="O34" s="62"/>
      <c r="P34" s="62"/>
      <c r="Q34" s="62"/>
      <c r="R34" s="62"/>
      <c r="S34" s="62"/>
      <c r="T34" s="62"/>
      <c r="U34" s="16"/>
      <c r="V34" s="16"/>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row>
    <row r="35" spans="1:67" ht="15" customHeight="1" x14ac:dyDescent="0.25">
      <c r="A35" s="18"/>
      <c r="B35" s="150" t="s">
        <v>24</v>
      </c>
      <c r="C35" s="598"/>
      <c r="D35" s="598"/>
      <c r="E35" s="599"/>
      <c r="F35" s="599"/>
      <c r="G35" s="600"/>
      <c r="H35" s="599"/>
      <c r="I35" s="598"/>
      <c r="J35" s="598"/>
      <c r="K35" s="598"/>
      <c r="L35" s="598"/>
      <c r="M35" s="598"/>
      <c r="N35" s="598"/>
      <c r="O35" s="598"/>
      <c r="P35" s="598"/>
      <c r="Q35" s="598"/>
      <c r="R35" s="598"/>
      <c r="S35" s="598"/>
      <c r="T35" s="598"/>
      <c r="U35" s="16"/>
      <c r="V35" s="16"/>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row>
    <row r="36" spans="1:67" ht="15" customHeight="1" x14ac:dyDescent="0.25">
      <c r="A36" s="18"/>
      <c r="B36" s="164" t="s">
        <v>16</v>
      </c>
      <c r="C36" s="602" t="str">
        <f t="shared" ref="C36:T36" si="20">IF(DCF_year=year_last+int_term_period,C25,"")</f>
        <v/>
      </c>
      <c r="D36" s="602" t="str">
        <f t="shared" si="20"/>
        <v/>
      </c>
      <c r="E36" s="602" t="str">
        <f t="shared" si="20"/>
        <v/>
      </c>
      <c r="F36" s="602" t="str">
        <f t="shared" si="20"/>
        <v/>
      </c>
      <c r="G36" s="603" t="str">
        <f t="shared" ref="G36" si="21">IF(DCF_year=year_last+int_term_period,G25,"")</f>
        <v/>
      </c>
      <c r="H36" s="602" t="str">
        <f t="shared" si="20"/>
        <v/>
      </c>
      <c r="I36" s="602" t="str">
        <f t="shared" si="20"/>
        <v/>
      </c>
      <c r="J36" s="602" t="str">
        <f t="shared" si="20"/>
        <v/>
      </c>
      <c r="K36" s="602" t="str">
        <f t="shared" si="20"/>
        <v/>
      </c>
      <c r="L36" s="602" t="str">
        <f t="shared" si="20"/>
        <v/>
      </c>
      <c r="M36" s="602" t="str">
        <f t="shared" si="20"/>
        <v/>
      </c>
      <c r="N36" s="602" t="str">
        <f t="shared" si="20"/>
        <v/>
      </c>
      <c r="O36" s="602" t="str">
        <f t="shared" si="20"/>
        <v/>
      </c>
      <c r="P36" s="602" t="str">
        <f t="shared" si="20"/>
        <v/>
      </c>
      <c r="Q36" s="602" t="str">
        <f t="shared" si="20"/>
        <v/>
      </c>
      <c r="R36" s="602" t="str">
        <f t="shared" si="20"/>
        <v/>
      </c>
      <c r="S36" s="602" t="str">
        <f t="shared" si="20"/>
        <v/>
      </c>
      <c r="T36" s="602">
        <f t="shared" si="20"/>
        <v>4876.8510556900492</v>
      </c>
      <c r="U36" s="16"/>
      <c r="V36" s="16"/>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row>
    <row r="37" spans="1:67" ht="15" customHeight="1" x14ac:dyDescent="0.25">
      <c r="A37" s="18"/>
      <c r="B37" s="164" t="s">
        <v>25</v>
      </c>
      <c r="C37" s="602" t="str">
        <f t="shared" ref="C37:T37" si="22">IF(DCF_year=year_last+int_term_period,C36*$K7,"")</f>
        <v/>
      </c>
      <c r="D37" s="602" t="str">
        <f t="shared" si="22"/>
        <v/>
      </c>
      <c r="E37" s="602" t="str">
        <f t="shared" si="22"/>
        <v/>
      </c>
      <c r="F37" s="602" t="str">
        <f t="shared" si="22"/>
        <v/>
      </c>
      <c r="G37" s="603" t="str">
        <f t="shared" ref="G37" si="23">IF(DCF_year=year_last+int_term_period,G36*$K7,"")</f>
        <v/>
      </c>
      <c r="H37" s="602" t="str">
        <f t="shared" si="22"/>
        <v/>
      </c>
      <c r="I37" s="602" t="str">
        <f t="shared" si="22"/>
        <v/>
      </c>
      <c r="J37" s="602" t="str">
        <f t="shared" si="22"/>
        <v/>
      </c>
      <c r="K37" s="602" t="str">
        <f t="shared" si="22"/>
        <v/>
      </c>
      <c r="L37" s="602" t="str">
        <f t="shared" si="22"/>
        <v/>
      </c>
      <c r="M37" s="602" t="str">
        <f t="shared" si="22"/>
        <v/>
      </c>
      <c r="N37" s="602" t="str">
        <f t="shared" si="22"/>
        <v/>
      </c>
      <c r="O37" s="602" t="str">
        <f t="shared" si="22"/>
        <v/>
      </c>
      <c r="P37" s="602" t="str">
        <f t="shared" si="22"/>
        <v/>
      </c>
      <c r="Q37" s="602" t="str">
        <f t="shared" si="22"/>
        <v/>
      </c>
      <c r="R37" s="602" t="str">
        <f t="shared" si="22"/>
        <v/>
      </c>
      <c r="S37" s="602" t="str">
        <f t="shared" si="22"/>
        <v/>
      </c>
      <c r="T37" s="602">
        <f t="shared" si="22"/>
        <v>66052.375355510958</v>
      </c>
      <c r="U37" s="16"/>
      <c r="V37" s="16"/>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row>
    <row r="38" spans="1:67" ht="15" customHeight="1" x14ac:dyDescent="0.25">
      <c r="A38" s="18"/>
      <c r="B38" s="165" t="s">
        <v>26</v>
      </c>
      <c r="C38" s="604" t="str">
        <f t="shared" ref="C38:T38" si="24">IF(DCF_year=year_last+int_term_period,C37*C32,"")</f>
        <v/>
      </c>
      <c r="D38" s="604" t="str">
        <f t="shared" si="24"/>
        <v/>
      </c>
      <c r="E38" s="604" t="str">
        <f t="shared" si="24"/>
        <v/>
      </c>
      <c r="F38" s="604" t="str">
        <f t="shared" si="24"/>
        <v/>
      </c>
      <c r="G38" s="605" t="str">
        <f t="shared" ref="G38" si="25">IF(DCF_year=year_last+int_term_period,G37*G32,"")</f>
        <v/>
      </c>
      <c r="H38" s="604" t="str">
        <f t="shared" si="24"/>
        <v/>
      </c>
      <c r="I38" s="604" t="str">
        <f t="shared" si="24"/>
        <v/>
      </c>
      <c r="J38" s="604" t="str">
        <f t="shared" si="24"/>
        <v/>
      </c>
      <c r="K38" s="604" t="str">
        <f t="shared" si="24"/>
        <v/>
      </c>
      <c r="L38" s="604" t="str">
        <f t="shared" si="24"/>
        <v/>
      </c>
      <c r="M38" s="604" t="str">
        <f t="shared" si="24"/>
        <v/>
      </c>
      <c r="N38" s="604" t="str">
        <f t="shared" si="24"/>
        <v/>
      </c>
      <c r="O38" s="604" t="str">
        <f t="shared" si="24"/>
        <v/>
      </c>
      <c r="P38" s="604" t="str">
        <f t="shared" si="24"/>
        <v/>
      </c>
      <c r="Q38" s="604" t="str">
        <f t="shared" si="24"/>
        <v/>
      </c>
      <c r="R38" s="604" t="str">
        <f t="shared" si="24"/>
        <v/>
      </c>
      <c r="S38" s="604" t="str">
        <f t="shared" si="24"/>
        <v/>
      </c>
      <c r="T38" s="604">
        <f t="shared" ca="1" si="24"/>
        <v>12715.207229908805</v>
      </c>
      <c r="U38" s="16"/>
      <c r="V38" s="16"/>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row>
    <row r="39" spans="1:67" ht="15" customHeight="1" x14ac:dyDescent="0.25">
      <c r="A39" s="18"/>
      <c r="B39" s="148"/>
      <c r="C39" s="16"/>
      <c r="D39" s="16"/>
      <c r="E39" s="16"/>
      <c r="F39" s="16"/>
      <c r="G39" s="16"/>
      <c r="H39" s="16"/>
      <c r="I39" s="16"/>
      <c r="J39" s="16"/>
      <c r="K39" s="16"/>
      <c r="L39" s="16"/>
      <c r="M39" s="16"/>
      <c r="N39" s="16"/>
      <c r="O39" s="16"/>
      <c r="P39" s="16"/>
      <c r="Q39" s="16"/>
      <c r="R39" s="16"/>
      <c r="S39" s="16"/>
      <c r="T39" s="16"/>
      <c r="U39" s="16"/>
      <c r="V39" s="16"/>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row>
    <row r="40" spans="1:67" ht="15" customHeight="1" x14ac:dyDescent="0.25">
      <c r="A40" s="18"/>
      <c r="B40" s="166" t="s">
        <v>56</v>
      </c>
      <c r="C40" s="167"/>
      <c r="D40" s="167"/>
      <c r="E40" s="167"/>
      <c r="F40" s="167"/>
      <c r="G40" s="167"/>
      <c r="H40" s="168">
        <f ca="1">K14/Fcsts!Z65</f>
        <v>15.921473191761365</v>
      </c>
      <c r="I40" s="16"/>
      <c r="J40" s="16"/>
      <c r="K40" s="16"/>
      <c r="L40" s="16"/>
      <c r="M40" s="16"/>
      <c r="N40" s="16"/>
      <c r="O40" s="16"/>
      <c r="P40" s="16"/>
      <c r="Q40" s="16"/>
      <c r="R40" s="16"/>
      <c r="S40" s="16"/>
      <c r="T40" s="16"/>
      <c r="U40" s="16"/>
      <c r="V40" s="16"/>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row>
    <row r="41" spans="1:67" ht="15" customHeight="1" x14ac:dyDescent="0.25">
      <c r="A41" s="18"/>
      <c r="B41" s="169" t="s">
        <v>57</v>
      </c>
      <c r="C41" s="167"/>
      <c r="D41" s="167"/>
      <c r="E41" s="167"/>
      <c r="F41" s="167"/>
      <c r="G41" s="167"/>
      <c r="H41" s="168">
        <f>O12/Fcsts!F33</f>
        <v>19.609331963001026</v>
      </c>
      <c r="I41" s="16"/>
      <c r="J41" s="16"/>
      <c r="K41" s="16"/>
      <c r="L41" s="16"/>
      <c r="M41" s="16"/>
      <c r="N41" s="16"/>
      <c r="O41" s="16"/>
      <c r="P41" s="16"/>
      <c r="Q41" s="16"/>
      <c r="R41" s="16"/>
      <c r="S41" s="16"/>
      <c r="T41" s="16"/>
      <c r="U41" s="16"/>
      <c r="V41" s="16"/>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row>
    <row r="42" spans="1:67" ht="15" customHeight="1" x14ac:dyDescent="0.25">
      <c r="A42" s="18"/>
      <c r="B42" s="148"/>
      <c r="C42" s="16"/>
      <c r="D42" s="16"/>
      <c r="E42" s="16"/>
      <c r="F42" s="16"/>
      <c r="G42" s="16"/>
      <c r="H42" s="16"/>
      <c r="I42" s="16"/>
      <c r="J42" s="16"/>
      <c r="K42" s="16"/>
      <c r="L42" s="16"/>
      <c r="M42" s="16"/>
      <c r="N42" s="16"/>
      <c r="O42" s="16"/>
      <c r="P42" s="16"/>
      <c r="Q42" s="16"/>
      <c r="R42" s="16"/>
      <c r="S42" s="16"/>
      <c r="T42" s="16"/>
      <c r="U42" s="16"/>
      <c r="V42" s="16"/>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row>
    <row r="43" spans="1:67" ht="15" customHeight="1" x14ac:dyDescent="0.25">
      <c r="A43" s="18"/>
      <c r="B43" s="148" t="s">
        <v>581</v>
      </c>
      <c r="C43" s="171">
        <f>C20/Fcsts!I34</f>
        <v>0.17046490428441202</v>
      </c>
      <c r="D43" s="171">
        <f>D20/Fcsts!H34</f>
        <v>0.42642752562225478</v>
      </c>
      <c r="E43" s="171">
        <f>E20/Fcsts!G34</f>
        <v>0.36004932182490751</v>
      </c>
      <c r="F43" s="171">
        <f>F20/Fcsts!F34</f>
        <v>0.34519368723098998</v>
      </c>
      <c r="G43" s="171">
        <f>G20/Fcsts!E34</f>
        <v>0.31303343590513699</v>
      </c>
      <c r="H43" s="171">
        <f>H20/Fcsts!D34</f>
        <v>0.30603706129911629</v>
      </c>
      <c r="I43" s="170"/>
      <c r="J43" s="16"/>
      <c r="K43" s="16"/>
      <c r="L43" s="16"/>
      <c r="M43" s="16"/>
      <c r="N43" s="16"/>
      <c r="O43" s="16"/>
      <c r="P43" s="16"/>
      <c r="Q43" s="16"/>
      <c r="R43" s="16"/>
      <c r="S43" s="16"/>
      <c r="T43" s="16"/>
      <c r="U43" s="16"/>
      <c r="V43" s="16"/>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row>
    <row r="44" spans="1:67" ht="15" customHeight="1" x14ac:dyDescent="0.25">
      <c r="A44" s="18"/>
      <c r="B44" s="148" t="s">
        <v>303</v>
      </c>
      <c r="C44" s="171">
        <f>C22/Fcsts!I6</f>
        <v>1.9778590949094448E-2</v>
      </c>
      <c r="D44" s="171">
        <f>D22/Fcsts!H6</f>
        <v>-7.4032797325266672E-2</v>
      </c>
      <c r="E44" s="171">
        <f>E22/Fcsts!G6</f>
        <v>1.1037735849056604E-2</v>
      </c>
      <c r="F44" s="171">
        <f>F22/Fcsts!F6</f>
        <v>1.1000184877056757E-2</v>
      </c>
      <c r="G44" s="171">
        <f>G22/Fcsts!E6</f>
        <v>-4.1299599269988283E-3</v>
      </c>
      <c r="H44" s="171">
        <f>H22/Fcsts!D6</f>
        <v>-4.1856088949249063E-3</v>
      </c>
      <c r="I44" s="16"/>
      <c r="J44" s="16"/>
      <c r="K44" s="16"/>
      <c r="L44" s="16"/>
      <c r="M44" s="16"/>
      <c r="N44" s="16"/>
      <c r="O44" s="16"/>
      <c r="P44" s="16"/>
      <c r="Q44" s="16"/>
      <c r="R44" s="16"/>
      <c r="S44" s="16"/>
      <c r="T44" s="16"/>
      <c r="U44" s="16"/>
      <c r="V44" s="16"/>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row>
    <row r="45" spans="1:67" ht="15" customHeight="1" x14ac:dyDescent="0.25">
      <c r="A45" s="18"/>
      <c r="B45" s="148" t="s">
        <v>304</v>
      </c>
      <c r="C45" s="171">
        <f>C23/Fcsts!I6</f>
        <v>-6.3828801704571766E-2</v>
      </c>
      <c r="D45" s="171">
        <f>D23/Fcsts!H6</f>
        <v>-5.1000371490739264E-2</v>
      </c>
      <c r="E45" s="171">
        <f>E23/Fcsts!G6</f>
        <v>-5.3396226415094339E-2</v>
      </c>
      <c r="F45" s="171">
        <f>F23/Fcsts!F6</f>
        <v>-6.3875023109632098E-2</v>
      </c>
      <c r="G45" s="171">
        <f>G23/Fcsts!E6</f>
        <v>-5.3689479050984763E-2</v>
      </c>
      <c r="H45" s="171">
        <f>H23/Fcsts!D6</f>
        <v>-5.4412915634023784E-2</v>
      </c>
      <c r="I45" s="16"/>
      <c r="J45" s="16"/>
      <c r="K45" s="16"/>
      <c r="L45" s="16"/>
      <c r="M45" s="16"/>
      <c r="N45" s="16"/>
      <c r="O45" s="16"/>
      <c r="P45" s="16"/>
      <c r="Q45" s="16"/>
      <c r="R45" s="16"/>
      <c r="S45" s="16"/>
      <c r="T45" s="16"/>
      <c r="U45" s="16"/>
      <c r="V45" s="16"/>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row>
    <row r="46" spans="1:67" ht="15" customHeight="1" x14ac:dyDescent="0.25">
      <c r="A46" s="18"/>
      <c r="B46" s="148" t="s">
        <v>306</v>
      </c>
      <c r="C46" s="171">
        <f t="shared" ref="C46:H46" si="26">C20/C23</f>
        <v>-0.54281567489114657</v>
      </c>
      <c r="D46" s="171">
        <f t="shared" si="26"/>
        <v>-1.2122788761706556</v>
      </c>
      <c r="E46" s="171">
        <f t="shared" si="26"/>
        <v>-1.0318021201413428</v>
      </c>
      <c r="F46" s="171">
        <f t="shared" si="26"/>
        <v>-0.87047756874095517</v>
      </c>
      <c r="G46" s="171">
        <f t="shared" si="26"/>
        <v>-0.99663923076923067</v>
      </c>
      <c r="H46" s="171">
        <f t="shared" si="26"/>
        <v>-0.99663923076923067</v>
      </c>
      <c r="I46" s="16"/>
      <c r="J46" s="16"/>
      <c r="K46" s="16"/>
      <c r="L46" s="16"/>
      <c r="M46" s="16"/>
      <c r="N46" s="16"/>
      <c r="O46" s="16"/>
      <c r="P46" s="16"/>
      <c r="Q46" s="16"/>
      <c r="R46" s="16"/>
      <c r="S46" s="16"/>
      <c r="T46" s="16"/>
      <c r="U46" s="16"/>
      <c r="V46" s="16"/>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row>
    <row r="47" spans="1:67" ht="15" customHeight="1" x14ac:dyDescent="0.25">
      <c r="A47" s="18"/>
      <c r="B47" s="148"/>
      <c r="C47" s="16"/>
      <c r="D47" s="16"/>
      <c r="E47" s="16"/>
      <c r="F47" s="16"/>
      <c r="G47" s="16"/>
      <c r="H47" s="16"/>
      <c r="I47" s="16"/>
      <c r="J47" s="16"/>
      <c r="K47" s="16"/>
      <c r="L47" s="16"/>
      <c r="M47" s="16"/>
      <c r="N47" s="16"/>
      <c r="O47" s="16"/>
      <c r="P47" s="16"/>
      <c r="Q47" s="16"/>
      <c r="R47" s="16"/>
      <c r="S47" s="16"/>
      <c r="T47" s="16"/>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row>
    <row r="48" spans="1:67" x14ac:dyDescent="0.25">
      <c r="A48" s="18"/>
      <c r="B48" s="142"/>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row>
    <row r="49" spans="1:67" ht="13" x14ac:dyDescent="0.3">
      <c r="A49" s="18"/>
      <c r="B49" s="142"/>
      <c r="C49" s="18"/>
      <c r="D49" s="18"/>
      <c r="E49" s="18"/>
      <c r="F49" s="18"/>
      <c r="G49" s="18"/>
      <c r="H49" s="18"/>
      <c r="I49" s="17"/>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row>
    <row r="50" spans="1:67" x14ac:dyDescent="0.25">
      <c r="A50" s="18"/>
      <c r="B50" s="142"/>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row>
    <row r="51" spans="1:67" x14ac:dyDescent="0.25">
      <c r="A51" s="18"/>
      <c r="B51" s="142"/>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row>
    <row r="52" spans="1:67" x14ac:dyDescent="0.25">
      <c r="A52" s="18"/>
      <c r="B52" s="142"/>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row>
    <row r="53" spans="1:67" x14ac:dyDescent="0.25">
      <c r="A53" s="18"/>
      <c r="B53" s="142"/>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row>
    <row r="54" spans="1:67" x14ac:dyDescent="0.25">
      <c r="A54" s="18"/>
      <c r="B54" s="142"/>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row>
    <row r="55" spans="1:67" x14ac:dyDescent="0.25">
      <c r="A55" s="18"/>
      <c r="B55" s="142"/>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row>
    <row r="56" spans="1:67" x14ac:dyDescent="0.25">
      <c r="A56" s="18"/>
      <c r="B56" s="142"/>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row>
    <row r="57" spans="1:67" x14ac:dyDescent="0.25">
      <c r="A57" s="18"/>
      <c r="B57" s="142"/>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row>
    <row r="58" spans="1:67" x14ac:dyDescent="0.25">
      <c r="A58" s="18"/>
      <c r="B58" s="142"/>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row>
    <row r="59" spans="1:67" x14ac:dyDescent="0.25">
      <c r="A59" s="18"/>
      <c r="B59" s="142"/>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row>
    <row r="60" spans="1:67" x14ac:dyDescent="0.25">
      <c r="A60" s="18"/>
      <c r="B60" s="142"/>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row>
  </sheetData>
  <sheetProtection algorithmName="SHA-512" hashValue="Ztt8kxUIDwMXzhR/bxEZiO33EkXcf/mVOn+0E5gfydePIo8la9MOfr5jdadJCNtuIDsKUldhMlNYXALt2k5Cxg==" saltValue="/kRLdyXPHU7YleJ1Yh6xOQ==" spinCount="100000" sheet="1" objects="1" scenarios="1" formatCells="0" formatColumns="0" formatRows="0"/>
  <phoneticPr fontId="0" type="noConversion"/>
  <conditionalFormatting sqref="G18:T24">
    <cfRule type="cellIs" dxfId="20" priority="4" operator="equal">
      <formula>""</formula>
    </cfRule>
  </conditionalFormatting>
  <conditionalFormatting sqref="C18:T25">
    <cfRule type="expression" dxfId="19" priority="1">
      <formula>_xlfn.ISFORMULA(C18)=FALSE</formula>
    </cfRule>
  </conditionalFormatting>
  <pageMargins left="0.39370078740157483" right="0.39370078740157483" top="0.39370078740157483" bottom="0.39370078740157483" header="0.51181102362204722" footer="0.19685039370078741"/>
  <pageSetup paperSize="9" scale="7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25028-D669-400E-A215-F20711ABBB54}">
  <sheetPr codeName="Sheet7">
    <tabColor rgb="FFFF0000"/>
  </sheetPr>
  <dimension ref="A1:Z60"/>
  <sheetViews>
    <sheetView zoomScaleNormal="100" workbookViewId="0">
      <selection activeCell="L34" sqref="L34"/>
    </sheetView>
  </sheetViews>
  <sheetFormatPr defaultColWidth="9.33203125" defaultRowHeight="13" x14ac:dyDescent="0.3"/>
  <cols>
    <col min="1" max="1" width="3.109375" customWidth="1"/>
    <col min="2" max="2" width="31.44140625" bestFit="1" customWidth="1"/>
    <col min="3" max="3" width="31.44140625" customWidth="1"/>
    <col min="4" max="4" width="19.77734375" bestFit="1" customWidth="1"/>
    <col min="5" max="5" width="15" customWidth="1"/>
    <col min="6" max="6" width="22.109375" bestFit="1" customWidth="1"/>
    <col min="7" max="7" width="15.44140625" customWidth="1"/>
    <col min="8" max="10" width="10.77734375" customWidth="1"/>
    <col min="11" max="11" width="9.109375" customWidth="1"/>
    <col min="12" max="12" width="15.109375" bestFit="1" customWidth="1"/>
    <col min="13" max="13" width="12.77734375" bestFit="1" customWidth="1"/>
    <col min="14" max="14" width="10.44140625" bestFit="1" customWidth="1"/>
    <col min="15" max="15" width="9.109375" customWidth="1"/>
  </cols>
  <sheetData>
    <row r="1" spans="1:26" s="516" customFormat="1" ht="13.5" customHeight="1" x14ac:dyDescent="0.25">
      <c r="A1" s="542"/>
      <c r="B1" s="542"/>
      <c r="C1" s="542"/>
      <c r="D1" s="542"/>
      <c r="E1" s="542"/>
      <c r="F1" s="542"/>
      <c r="G1" s="542"/>
      <c r="H1" s="542"/>
      <c r="I1" s="542"/>
      <c r="J1" s="542"/>
      <c r="K1" s="542"/>
      <c r="L1" s="542"/>
      <c r="M1" s="542"/>
      <c r="N1" s="542"/>
      <c r="O1" s="542"/>
      <c r="P1" s="18"/>
      <c r="Q1" s="18"/>
      <c r="R1" s="18"/>
      <c r="S1" s="18"/>
      <c r="T1" s="18"/>
      <c r="U1" s="18"/>
      <c r="V1" s="18"/>
      <c r="W1" s="18"/>
      <c r="X1" s="18"/>
      <c r="Y1" s="18"/>
      <c r="Z1" s="18"/>
    </row>
    <row r="2" spans="1:26" s="537" customFormat="1" ht="30" customHeight="1" x14ac:dyDescent="0.3">
      <c r="A2" s="543"/>
      <c r="B2" s="543"/>
      <c r="C2" s="543"/>
      <c r="D2" s="544" t="s">
        <v>55</v>
      </c>
      <c r="E2" s="544"/>
      <c r="F2" s="545" t="str">
        <f>Frontend!$C$7</f>
        <v>NTC SJ Equity</v>
      </c>
      <c r="G2" s="546"/>
      <c r="H2" s="543"/>
      <c r="I2" s="543"/>
      <c r="J2" s="543"/>
      <c r="K2" s="543"/>
      <c r="L2" s="543"/>
      <c r="M2" s="543"/>
      <c r="N2" s="543"/>
      <c r="O2" s="543"/>
      <c r="P2" s="16"/>
      <c r="Q2" s="16"/>
      <c r="R2" s="16"/>
      <c r="S2" s="16"/>
      <c r="T2" s="16"/>
      <c r="U2" s="16"/>
      <c r="V2" s="16"/>
      <c r="W2" s="16"/>
      <c r="X2" s="16"/>
      <c r="Y2" s="16"/>
      <c r="Z2" s="16"/>
    </row>
    <row r="3" spans="1:26" ht="13.5" customHeight="1" x14ac:dyDescent="0.3">
      <c r="A3" s="542"/>
      <c r="B3" s="542"/>
      <c r="C3" s="542"/>
      <c r="D3" s="542"/>
      <c r="E3" s="542"/>
      <c r="F3" s="542"/>
      <c r="G3" s="542"/>
      <c r="H3" s="542"/>
      <c r="I3" s="542"/>
      <c r="J3" s="542"/>
      <c r="K3" s="542"/>
      <c r="L3" s="542"/>
      <c r="M3" s="542"/>
      <c r="N3" s="542"/>
      <c r="O3" s="542"/>
      <c r="P3" s="17"/>
      <c r="Q3" s="17"/>
      <c r="R3" s="17"/>
      <c r="S3" s="17"/>
      <c r="T3" s="17"/>
      <c r="U3" s="17"/>
      <c r="V3" s="17"/>
      <c r="W3" s="17"/>
      <c r="X3" s="17"/>
      <c r="Y3" s="17"/>
      <c r="Z3" s="17"/>
    </row>
    <row r="4" spans="1:26" ht="13.5" customHeight="1" x14ac:dyDescent="0.3">
      <c r="A4" s="542"/>
      <c r="B4" s="547" t="s">
        <v>1715</v>
      </c>
      <c r="C4" s="547"/>
      <c r="D4" s="547"/>
      <c r="E4" s="547"/>
      <c r="F4" s="547"/>
      <c r="G4" s="547"/>
      <c r="H4" s="547"/>
      <c r="I4" s="547"/>
      <c r="J4" s="547"/>
      <c r="K4" s="547"/>
      <c r="L4" s="547"/>
      <c r="M4" s="547"/>
      <c r="N4" s="547"/>
      <c r="O4" s="547"/>
      <c r="P4" s="17"/>
      <c r="Q4" s="17"/>
      <c r="R4" s="17"/>
      <c r="S4" s="17"/>
      <c r="T4" s="17"/>
      <c r="U4" s="17"/>
      <c r="V4" s="17"/>
      <c r="W4" s="17"/>
      <c r="X4" s="17"/>
      <c r="Y4" s="17"/>
      <c r="Z4" s="17"/>
    </row>
    <row r="5" spans="1:26" ht="4.5" customHeight="1" x14ac:dyDescent="0.3">
      <c r="A5" s="542"/>
      <c r="B5" s="542"/>
      <c r="C5" s="542"/>
      <c r="D5" s="542"/>
      <c r="E5" s="542"/>
      <c r="F5" s="542"/>
      <c r="G5" s="542"/>
      <c r="H5" s="542"/>
      <c r="I5" s="542"/>
      <c r="J5" s="542"/>
      <c r="K5" s="542"/>
      <c r="L5" s="542"/>
      <c r="M5" s="542"/>
      <c r="N5" s="542"/>
      <c r="O5" s="542"/>
      <c r="P5" s="17"/>
      <c r="Q5" s="17"/>
      <c r="R5" s="17"/>
      <c r="S5" s="17"/>
      <c r="T5" s="17"/>
      <c r="U5" s="17"/>
      <c r="V5" s="17"/>
      <c r="W5" s="17"/>
      <c r="X5" s="17"/>
      <c r="Y5" s="17"/>
      <c r="Z5" s="17"/>
    </row>
    <row r="6" spans="1:26" ht="26" x14ac:dyDescent="0.3">
      <c r="A6" s="542"/>
      <c r="B6" s="553"/>
      <c r="C6" s="554" t="s">
        <v>307</v>
      </c>
      <c r="D6" s="554" t="s">
        <v>657</v>
      </c>
      <c r="E6" s="554" t="s">
        <v>1716</v>
      </c>
      <c r="F6" s="554" t="s">
        <v>464</v>
      </c>
      <c r="G6" s="554" t="s">
        <v>1717</v>
      </c>
      <c r="H6" s="555" t="s">
        <v>1718</v>
      </c>
      <c r="I6" s="555" t="s">
        <v>1719</v>
      </c>
      <c r="J6" s="555" t="s">
        <v>1720</v>
      </c>
      <c r="K6" s="555"/>
      <c r="L6" s="554" t="s">
        <v>1721</v>
      </c>
      <c r="M6" s="554" t="s">
        <v>1722</v>
      </c>
      <c r="N6" s="554" t="s">
        <v>1723</v>
      </c>
      <c r="O6" s="555"/>
      <c r="P6" s="17"/>
      <c r="Q6" s="17"/>
      <c r="R6" s="17"/>
      <c r="S6" s="17"/>
      <c r="T6" s="17"/>
      <c r="U6" s="17"/>
      <c r="V6" s="17"/>
      <c r="W6" s="17"/>
      <c r="X6" s="17"/>
      <c r="Y6" s="17"/>
      <c r="Z6" s="17"/>
    </row>
    <row r="7" spans="1:26" x14ac:dyDescent="0.3">
      <c r="A7" s="542"/>
      <c r="B7" s="556" t="s">
        <v>1724</v>
      </c>
      <c r="C7" s="556"/>
      <c r="D7" s="557"/>
      <c r="E7" s="558"/>
      <c r="F7" s="559"/>
      <c r="G7" s="559"/>
      <c r="H7" s="560"/>
      <c r="I7" s="560"/>
      <c r="J7" s="560"/>
      <c r="K7" s="557"/>
      <c r="L7" s="561">
        <f>SUM(L8:L18)</f>
        <v>104611.94317121079</v>
      </c>
      <c r="M7" s="562">
        <f>SUM(M8:M18)</f>
        <v>80.289340384408604</v>
      </c>
      <c r="N7" s="563">
        <f>L7/L$31</f>
        <v>0.82773421250640211</v>
      </c>
      <c r="O7" s="557"/>
      <c r="P7" s="17"/>
      <c r="Q7" s="17"/>
      <c r="R7" s="17"/>
      <c r="S7" s="17"/>
      <c r="T7" s="17"/>
      <c r="U7" s="17"/>
      <c r="V7" s="17"/>
      <c r="W7" s="17"/>
      <c r="X7" s="17"/>
      <c r="Y7" s="17"/>
      <c r="Z7" s="17"/>
    </row>
    <row r="8" spans="1:26" x14ac:dyDescent="0.3">
      <c r="A8" s="542"/>
      <c r="B8" s="564">
        <v>1</v>
      </c>
      <c r="C8" s="548" t="s">
        <v>1735</v>
      </c>
      <c r="D8" s="548" t="s">
        <v>1725</v>
      </c>
      <c r="E8" s="548">
        <v>0.33300000000000002</v>
      </c>
      <c r="F8" s="549">
        <v>300000</v>
      </c>
      <c r="G8" s="559"/>
      <c r="H8" s="560"/>
      <c r="I8" s="560"/>
      <c r="J8" s="560"/>
      <c r="K8" s="557"/>
      <c r="L8" s="565">
        <f>E8*F8</f>
        <v>99900</v>
      </c>
      <c r="M8" s="566">
        <f>L8/Fcsts!E$32</f>
        <v>76.67293868421109</v>
      </c>
      <c r="N8" s="567">
        <f>L8/L$31</f>
        <v>0.79045131294479232</v>
      </c>
      <c r="O8" s="557"/>
      <c r="P8" s="17"/>
      <c r="Q8" s="17"/>
      <c r="R8" s="17"/>
      <c r="S8" s="17"/>
      <c r="T8" s="17"/>
      <c r="U8" s="17"/>
      <c r="V8" s="17"/>
      <c r="W8" s="17"/>
      <c r="X8" s="17"/>
      <c r="Y8" s="17"/>
      <c r="Z8" s="17"/>
    </row>
    <row r="9" spans="1:26" x14ac:dyDescent="0.3">
      <c r="A9" s="542"/>
      <c r="B9" s="564">
        <f>+B8+1</f>
        <v>2</v>
      </c>
      <c r="C9" s="548" t="s">
        <v>1736</v>
      </c>
      <c r="D9" s="548" t="s">
        <v>1725</v>
      </c>
      <c r="E9" s="548">
        <v>8.6699999999999999E-2</v>
      </c>
      <c r="F9" s="549">
        <v>11252.266121634999</v>
      </c>
      <c r="G9" s="559"/>
      <c r="H9" s="560"/>
      <c r="I9" s="560"/>
      <c r="J9" s="560"/>
      <c r="K9" s="557"/>
      <c r="L9" s="565">
        <f>E9*F9</f>
        <v>975.57147274575436</v>
      </c>
      <c r="M9" s="566">
        <f>L9/Fcsts!E$32</f>
        <v>0.74874806518419157</v>
      </c>
      <c r="N9" s="567">
        <f>L9/L$31</f>
        <v>7.7191366516853469E-3</v>
      </c>
      <c r="O9" s="557"/>
      <c r="P9" s="17"/>
      <c r="Q9" s="17"/>
      <c r="R9" s="17"/>
      <c r="S9" s="17"/>
      <c r="T9" s="17"/>
      <c r="U9" s="17"/>
      <c r="V9" s="17"/>
      <c r="W9" s="17"/>
      <c r="X9" s="17"/>
      <c r="Y9" s="17"/>
      <c r="Z9" s="17"/>
    </row>
    <row r="10" spans="1:26" x14ac:dyDescent="0.3">
      <c r="A10" s="542"/>
      <c r="B10" s="564">
        <f t="shared" ref="B10:B17" si="0">+B9+1</f>
        <v>3</v>
      </c>
      <c r="C10" s="548" t="s">
        <v>1737</v>
      </c>
      <c r="D10" s="548" t="s">
        <v>1725</v>
      </c>
      <c r="E10" s="548">
        <v>0.19989999999999999</v>
      </c>
      <c r="F10" s="549">
        <v>9888.7116867842851</v>
      </c>
      <c r="G10" s="559"/>
      <c r="H10" s="560"/>
      <c r="I10" s="560"/>
      <c r="J10" s="560"/>
      <c r="K10" s="557"/>
      <c r="L10" s="565">
        <f>E10*F10</f>
        <v>1976.7534661881784</v>
      </c>
      <c r="M10" s="566">
        <f>L10/Fcsts!E$32</f>
        <v>1.5171521251936733</v>
      </c>
      <c r="N10" s="567">
        <f>L10/L$31</f>
        <v>1.5640914641807956E-2</v>
      </c>
      <c r="O10" s="557"/>
      <c r="P10" s="17"/>
      <c r="Q10" s="17"/>
      <c r="R10" s="17"/>
      <c r="S10" s="17"/>
      <c r="T10" s="17"/>
      <c r="U10" s="17"/>
      <c r="V10" s="17"/>
      <c r="W10" s="17"/>
      <c r="X10" s="17"/>
      <c r="Y10" s="17"/>
      <c r="Z10" s="17"/>
    </row>
    <row r="11" spans="1:26" x14ac:dyDescent="0.3">
      <c r="A11" s="542"/>
      <c r="B11" s="564">
        <f t="shared" si="0"/>
        <v>4</v>
      </c>
      <c r="C11" s="548" t="s">
        <v>1738</v>
      </c>
      <c r="D11" s="548" t="s">
        <v>1725</v>
      </c>
      <c r="E11" s="548">
        <v>0.499</v>
      </c>
      <c r="F11" s="549">
        <v>3526.2890426389863</v>
      </c>
      <c r="G11" s="559"/>
      <c r="H11" s="560"/>
      <c r="I11" s="560"/>
      <c r="J11" s="560"/>
      <c r="K11" s="557"/>
      <c r="L11" s="565">
        <f>E11*F11</f>
        <v>1759.6182322768541</v>
      </c>
      <c r="M11" s="566">
        <f>L11/Fcsts!E$32</f>
        <v>1.3505015098196511</v>
      </c>
      <c r="N11" s="567">
        <f>L11/L$31</f>
        <v>1.3922848268116454E-2</v>
      </c>
      <c r="O11" s="557"/>
      <c r="P11" s="17"/>
      <c r="Q11" s="17"/>
      <c r="R11" s="17"/>
      <c r="S11" s="17"/>
      <c r="T11" s="17"/>
      <c r="U11" s="17"/>
      <c r="V11" s="17"/>
      <c r="W11" s="17"/>
      <c r="X11" s="17"/>
      <c r="Y11" s="17"/>
      <c r="Z11" s="17"/>
    </row>
    <row r="12" spans="1:26" x14ac:dyDescent="0.3">
      <c r="A12" s="542"/>
      <c r="B12" s="564">
        <f t="shared" si="0"/>
        <v>5</v>
      </c>
      <c r="C12" s="548" t="s">
        <v>1739</v>
      </c>
      <c r="D12" s="548" t="s">
        <v>1725</v>
      </c>
      <c r="E12" s="548">
        <v>0.499</v>
      </c>
      <c r="F12" s="549">
        <v>3526.2890426389863</v>
      </c>
      <c r="G12" s="559"/>
      <c r="H12" s="560"/>
      <c r="I12" s="560"/>
      <c r="J12" s="560"/>
      <c r="K12" s="557"/>
      <c r="L12" s="565"/>
      <c r="M12" s="566"/>
      <c r="N12" s="567"/>
      <c r="O12" s="557"/>
      <c r="P12" s="17"/>
      <c r="Q12" s="17"/>
      <c r="R12" s="17"/>
      <c r="S12" s="17"/>
      <c r="T12" s="17"/>
      <c r="U12" s="17"/>
      <c r="V12" s="17"/>
      <c r="W12" s="17"/>
      <c r="X12" s="17"/>
      <c r="Y12" s="17"/>
      <c r="Z12" s="17"/>
    </row>
    <row r="13" spans="1:26" x14ac:dyDescent="0.3">
      <c r="A13" s="542"/>
      <c r="B13" s="564">
        <f t="shared" si="0"/>
        <v>6</v>
      </c>
      <c r="C13" s="548" t="s">
        <v>1753</v>
      </c>
      <c r="D13" s="548" t="s">
        <v>1725</v>
      </c>
      <c r="E13" s="548">
        <v>0.499</v>
      </c>
      <c r="F13" s="549">
        <v>3526.2890426389863</v>
      </c>
      <c r="G13" s="559"/>
      <c r="H13" s="560"/>
      <c r="I13" s="560"/>
      <c r="J13" s="560"/>
      <c r="K13" s="557"/>
      <c r="L13" s="565"/>
      <c r="M13" s="566"/>
      <c r="N13" s="567"/>
      <c r="O13" s="557"/>
      <c r="P13" s="17"/>
      <c r="Q13" s="17"/>
      <c r="R13" s="17"/>
      <c r="S13" s="17"/>
      <c r="T13" s="17"/>
      <c r="U13" s="17"/>
      <c r="V13" s="17"/>
      <c r="W13" s="17"/>
      <c r="X13" s="17"/>
      <c r="Y13" s="17"/>
      <c r="Z13" s="17"/>
    </row>
    <row r="14" spans="1:26" x14ac:dyDescent="0.3">
      <c r="A14" s="542"/>
      <c r="B14" s="564">
        <f t="shared" si="0"/>
        <v>7</v>
      </c>
      <c r="C14" s="548" t="s">
        <v>1754</v>
      </c>
      <c r="D14" s="548" t="s">
        <v>1725</v>
      </c>
      <c r="E14" s="548">
        <v>0.499</v>
      </c>
      <c r="F14" s="549">
        <v>3526.2890426389863</v>
      </c>
      <c r="G14" s="559"/>
      <c r="H14" s="560"/>
      <c r="I14" s="560"/>
      <c r="J14" s="560"/>
      <c r="K14" s="557"/>
      <c r="L14" s="565"/>
      <c r="M14" s="566"/>
      <c r="N14" s="567"/>
      <c r="O14" s="557"/>
      <c r="P14" s="17"/>
      <c r="Q14" s="17"/>
      <c r="R14" s="17"/>
      <c r="S14" s="17"/>
      <c r="T14" s="17"/>
      <c r="U14" s="17"/>
      <c r="V14" s="17"/>
      <c r="W14" s="17"/>
      <c r="X14" s="17"/>
      <c r="Y14" s="17"/>
      <c r="Z14" s="17"/>
    </row>
    <row r="15" spans="1:26" x14ac:dyDescent="0.3">
      <c r="A15" s="542"/>
      <c r="B15" s="564">
        <f t="shared" si="0"/>
        <v>8</v>
      </c>
      <c r="C15" s="548" t="s">
        <v>1755</v>
      </c>
      <c r="D15" s="548" t="s">
        <v>1725</v>
      </c>
      <c r="E15" s="548">
        <v>0.499</v>
      </c>
      <c r="F15" s="549">
        <v>3526.2890426389863</v>
      </c>
      <c r="G15" s="559"/>
      <c r="H15" s="560"/>
      <c r="I15" s="560"/>
      <c r="J15" s="560"/>
      <c r="K15" s="557"/>
      <c r="L15" s="565"/>
      <c r="M15" s="566"/>
      <c r="N15" s="567"/>
      <c r="O15" s="557"/>
      <c r="P15" s="17"/>
      <c r="Q15" s="17"/>
      <c r="R15" s="17"/>
      <c r="S15" s="17"/>
      <c r="T15" s="17"/>
      <c r="U15" s="17"/>
      <c r="V15" s="17"/>
      <c r="W15" s="17"/>
      <c r="X15" s="17"/>
      <c r="Y15" s="17"/>
      <c r="Z15" s="17"/>
    </row>
    <row r="16" spans="1:26" x14ac:dyDescent="0.3">
      <c r="A16" s="542"/>
      <c r="B16" s="564">
        <f t="shared" si="0"/>
        <v>9</v>
      </c>
      <c r="C16" s="548" t="s">
        <v>1756</v>
      </c>
      <c r="D16" s="548" t="s">
        <v>1725</v>
      </c>
      <c r="E16" s="548">
        <v>0.499</v>
      </c>
      <c r="F16" s="549">
        <v>3526.2890426389863</v>
      </c>
      <c r="G16" s="559"/>
      <c r="H16" s="560"/>
      <c r="I16" s="560"/>
      <c r="J16" s="560"/>
      <c r="K16" s="557"/>
      <c r="L16" s="565"/>
      <c r="M16" s="566"/>
      <c r="N16" s="567"/>
      <c r="O16" s="557"/>
      <c r="P16" s="17"/>
      <c r="Q16" s="17"/>
      <c r="R16" s="17"/>
      <c r="S16" s="17"/>
      <c r="T16" s="17"/>
      <c r="U16" s="17"/>
      <c r="V16" s="17"/>
      <c r="W16" s="17"/>
      <c r="X16" s="17"/>
      <c r="Y16" s="17"/>
      <c r="Z16" s="17"/>
    </row>
    <row r="17" spans="1:26" x14ac:dyDescent="0.3">
      <c r="A17" s="542"/>
      <c r="B17" s="564">
        <f t="shared" si="0"/>
        <v>10</v>
      </c>
      <c r="C17" s="548" t="s">
        <v>1757</v>
      </c>
      <c r="D17" s="548" t="s">
        <v>1725</v>
      </c>
      <c r="E17" s="548">
        <v>0.499</v>
      </c>
      <c r="F17" s="549">
        <v>3526.2890426389863</v>
      </c>
      <c r="G17" s="559"/>
      <c r="H17" s="560"/>
      <c r="I17" s="560"/>
      <c r="J17" s="560"/>
      <c r="K17" s="557"/>
      <c r="L17" s="565"/>
      <c r="M17" s="566"/>
      <c r="N17" s="567"/>
      <c r="O17" s="557"/>
      <c r="P17" s="17"/>
      <c r="Q17" s="17"/>
      <c r="R17" s="17"/>
      <c r="S17" s="17"/>
      <c r="T17" s="17"/>
      <c r="U17" s="17"/>
      <c r="V17" s="17"/>
      <c r="W17" s="17"/>
      <c r="X17" s="17"/>
      <c r="Y17" s="17"/>
      <c r="Z17" s="17"/>
    </row>
    <row r="18" spans="1:26" x14ac:dyDescent="0.3">
      <c r="A18" s="542"/>
      <c r="B18" s="557"/>
      <c r="C18" s="557"/>
      <c r="D18" s="557"/>
      <c r="E18" s="558"/>
      <c r="F18" s="559"/>
      <c r="G18" s="559"/>
      <c r="H18" s="560"/>
      <c r="I18" s="560"/>
      <c r="J18" s="560"/>
      <c r="K18" s="557"/>
      <c r="L18" s="568"/>
      <c r="M18" s="569"/>
      <c r="N18" s="570"/>
      <c r="O18" s="557"/>
      <c r="P18" s="17"/>
      <c r="Q18" s="17"/>
      <c r="R18" s="17"/>
      <c r="S18" s="17"/>
      <c r="T18" s="17"/>
      <c r="U18" s="17"/>
      <c r="V18" s="17"/>
      <c r="W18" s="17"/>
      <c r="X18" s="17"/>
      <c r="Y18" s="17"/>
      <c r="Z18" s="17"/>
    </row>
    <row r="19" spans="1:26" x14ac:dyDescent="0.3">
      <c r="A19" s="542"/>
      <c r="B19" s="556" t="s">
        <v>1726</v>
      </c>
      <c r="C19" s="557"/>
      <c r="D19" s="557"/>
      <c r="E19" s="558"/>
      <c r="F19" s="559"/>
      <c r="G19" s="559"/>
      <c r="H19" s="560"/>
      <c r="I19" s="560"/>
      <c r="J19" s="560"/>
      <c r="K19" s="557"/>
      <c r="L19" s="571">
        <f>SUM(L20:L30)</f>
        <v>21771.552388846983</v>
      </c>
      <c r="M19" s="571">
        <f>SUM(M20:M30)</f>
        <v>16.709598612313858</v>
      </c>
      <c r="N19" s="563">
        <f>L19/L$31</f>
        <v>0.17226578749359786</v>
      </c>
      <c r="O19" s="557"/>
      <c r="P19" s="17"/>
      <c r="Q19" s="17"/>
      <c r="R19" s="17"/>
      <c r="S19" s="17"/>
      <c r="T19" s="17"/>
      <c r="U19" s="17"/>
      <c r="V19" s="17"/>
      <c r="W19" s="17"/>
      <c r="X19" s="17"/>
      <c r="Y19" s="17"/>
      <c r="Z19" s="17"/>
    </row>
    <row r="20" spans="1:26" x14ac:dyDescent="0.3">
      <c r="A20" s="542"/>
      <c r="B20" s="564">
        <v>1</v>
      </c>
      <c r="C20" s="548" t="s">
        <v>1740</v>
      </c>
      <c r="D20" s="548" t="s">
        <v>657</v>
      </c>
      <c r="E20" s="548"/>
      <c r="F20" s="549"/>
      <c r="G20" s="572">
        <v>870.86209555387927</v>
      </c>
      <c r="H20" s="573">
        <v>40</v>
      </c>
      <c r="I20" s="573">
        <v>25</v>
      </c>
      <c r="J20" s="573">
        <v>15</v>
      </c>
      <c r="K20" s="557"/>
      <c r="L20" s="565">
        <f>I20*G20</f>
        <v>21771.552388846983</v>
      </c>
      <c r="M20" s="566">
        <f>L20/Fcsts!E$32</f>
        <v>16.709598612313858</v>
      </c>
      <c r="N20" s="567">
        <f>L20/L$31</f>
        <v>0.17226578749359786</v>
      </c>
      <c r="O20" s="557"/>
      <c r="P20" s="17"/>
      <c r="Q20" s="17"/>
      <c r="R20" s="17"/>
      <c r="S20" s="17"/>
      <c r="T20" s="17"/>
      <c r="U20" s="17"/>
      <c r="V20" s="17"/>
      <c r="W20" s="17"/>
      <c r="X20" s="17"/>
      <c r="Y20" s="17"/>
      <c r="Z20" s="17"/>
    </row>
    <row r="21" spans="1:26" x14ac:dyDescent="0.3">
      <c r="A21" s="542"/>
      <c r="B21" s="564">
        <f>+B20+1</f>
        <v>2</v>
      </c>
      <c r="C21" s="548" t="s">
        <v>1741</v>
      </c>
      <c r="D21" s="548"/>
      <c r="E21" s="548"/>
      <c r="F21" s="549"/>
      <c r="G21" s="572"/>
      <c r="H21" s="573"/>
      <c r="I21" s="573"/>
      <c r="J21" s="573"/>
      <c r="K21" s="557"/>
      <c r="L21" s="565"/>
      <c r="M21" s="566"/>
      <c r="N21" s="567"/>
      <c r="O21" s="557"/>
      <c r="P21" s="17"/>
      <c r="Q21" s="17"/>
      <c r="R21" s="17"/>
      <c r="S21" s="17"/>
      <c r="T21" s="17"/>
      <c r="U21" s="17"/>
      <c r="V21" s="17"/>
      <c r="W21" s="17"/>
      <c r="X21" s="17"/>
      <c r="Y21" s="17"/>
      <c r="Z21" s="17"/>
    </row>
    <row r="22" spans="1:26" x14ac:dyDescent="0.3">
      <c r="A22" s="542"/>
      <c r="B22" s="564">
        <f t="shared" ref="B22:B29" si="1">+B21+1</f>
        <v>3</v>
      </c>
      <c r="C22" s="548" t="s">
        <v>1742</v>
      </c>
      <c r="D22" s="548"/>
      <c r="E22" s="548"/>
      <c r="F22" s="549"/>
      <c r="G22" s="572"/>
      <c r="H22" s="573"/>
      <c r="I22" s="573"/>
      <c r="J22" s="573"/>
      <c r="K22" s="557"/>
      <c r="L22" s="565"/>
      <c r="M22" s="566"/>
      <c r="N22" s="567"/>
      <c r="O22" s="557"/>
      <c r="P22" s="17"/>
      <c r="Q22" s="17"/>
      <c r="R22" s="17"/>
      <c r="S22" s="17"/>
      <c r="T22" s="17"/>
      <c r="U22" s="17"/>
      <c r="V22" s="17"/>
      <c r="W22" s="17"/>
      <c r="X22" s="17"/>
      <c r="Y22" s="17"/>
      <c r="Z22" s="17"/>
    </row>
    <row r="23" spans="1:26" x14ac:dyDescent="0.3">
      <c r="A23" s="542"/>
      <c r="B23" s="564">
        <f t="shared" si="1"/>
        <v>4</v>
      </c>
      <c r="C23" s="548" t="s">
        <v>1743</v>
      </c>
      <c r="D23" s="548"/>
      <c r="E23" s="548"/>
      <c r="F23" s="549"/>
      <c r="G23" s="572"/>
      <c r="H23" s="573"/>
      <c r="I23" s="573"/>
      <c r="J23" s="573"/>
      <c r="K23" s="557"/>
      <c r="L23" s="565"/>
      <c r="M23" s="566"/>
      <c r="N23" s="567"/>
      <c r="O23" s="557"/>
      <c r="P23" s="17"/>
      <c r="Q23" s="17"/>
      <c r="R23" s="17"/>
      <c r="S23" s="17"/>
      <c r="T23" s="17"/>
      <c r="U23" s="17"/>
      <c r="V23" s="17"/>
      <c r="W23" s="17"/>
      <c r="X23" s="17"/>
      <c r="Y23" s="17"/>
      <c r="Z23" s="17"/>
    </row>
    <row r="24" spans="1:26" x14ac:dyDescent="0.3">
      <c r="A24" s="542"/>
      <c r="B24" s="564">
        <f t="shared" si="1"/>
        <v>5</v>
      </c>
      <c r="C24" s="548" t="s">
        <v>1744</v>
      </c>
      <c r="D24" s="548"/>
      <c r="E24" s="548"/>
      <c r="F24" s="549"/>
      <c r="G24" s="572"/>
      <c r="H24" s="573"/>
      <c r="I24" s="573"/>
      <c r="J24" s="573"/>
      <c r="K24" s="557"/>
      <c r="L24" s="565"/>
      <c r="M24" s="566"/>
      <c r="N24" s="567"/>
      <c r="O24" s="557"/>
      <c r="P24" s="17"/>
      <c r="Q24" s="17"/>
      <c r="R24" s="17"/>
      <c r="S24" s="17"/>
      <c r="T24" s="17"/>
      <c r="U24" s="17"/>
      <c r="V24" s="17"/>
      <c r="W24" s="17"/>
      <c r="X24" s="17"/>
      <c r="Y24" s="17"/>
      <c r="Z24" s="17"/>
    </row>
    <row r="25" spans="1:26" x14ac:dyDescent="0.3">
      <c r="A25" s="542"/>
      <c r="B25" s="564">
        <f t="shared" si="1"/>
        <v>6</v>
      </c>
      <c r="C25" s="548" t="s">
        <v>1758</v>
      </c>
      <c r="D25" s="548"/>
      <c r="E25" s="548"/>
      <c r="F25" s="549"/>
      <c r="G25" s="572"/>
      <c r="H25" s="573"/>
      <c r="I25" s="573"/>
      <c r="J25" s="573"/>
      <c r="K25" s="557"/>
      <c r="L25" s="565"/>
      <c r="M25" s="566"/>
      <c r="N25" s="567"/>
      <c r="O25" s="557"/>
      <c r="P25" s="17"/>
      <c r="Q25" s="17"/>
      <c r="R25" s="17"/>
      <c r="S25" s="17"/>
      <c r="T25" s="17"/>
      <c r="U25" s="17"/>
      <c r="V25" s="17"/>
      <c r="W25" s="17"/>
      <c r="X25" s="17"/>
      <c r="Y25" s="17"/>
      <c r="Z25" s="17"/>
    </row>
    <row r="26" spans="1:26" x14ac:dyDescent="0.3">
      <c r="A26" s="542"/>
      <c r="B26" s="564">
        <f t="shared" si="1"/>
        <v>7</v>
      </c>
      <c r="C26" s="548" t="s">
        <v>1759</v>
      </c>
      <c r="D26" s="548"/>
      <c r="E26" s="548"/>
      <c r="F26" s="549"/>
      <c r="G26" s="572"/>
      <c r="H26" s="573"/>
      <c r="I26" s="573"/>
      <c r="J26" s="573"/>
      <c r="K26" s="557"/>
      <c r="L26" s="565"/>
      <c r="M26" s="566"/>
      <c r="N26" s="567"/>
      <c r="O26" s="557"/>
      <c r="P26" s="17"/>
      <c r="Q26" s="17"/>
      <c r="R26" s="17"/>
      <c r="S26" s="17"/>
      <c r="T26" s="17"/>
      <c r="U26" s="17"/>
      <c r="V26" s="17"/>
      <c r="W26" s="17"/>
      <c r="X26" s="17"/>
      <c r="Y26" s="17"/>
      <c r="Z26" s="17"/>
    </row>
    <row r="27" spans="1:26" x14ac:dyDescent="0.3">
      <c r="A27" s="542"/>
      <c r="B27" s="564">
        <f t="shared" si="1"/>
        <v>8</v>
      </c>
      <c r="C27" s="548" t="s">
        <v>1760</v>
      </c>
      <c r="D27" s="548"/>
      <c r="E27" s="548"/>
      <c r="F27" s="549"/>
      <c r="G27" s="572"/>
      <c r="H27" s="573"/>
      <c r="I27" s="573"/>
      <c r="J27" s="573"/>
      <c r="K27" s="557"/>
      <c r="L27" s="565"/>
      <c r="M27" s="566"/>
      <c r="N27" s="567"/>
      <c r="O27" s="557"/>
      <c r="P27" s="17"/>
      <c r="Q27" s="17"/>
      <c r="R27" s="17"/>
      <c r="S27" s="17"/>
      <c r="T27" s="17"/>
      <c r="U27" s="17"/>
      <c r="V27" s="17"/>
      <c r="W27" s="17"/>
      <c r="X27" s="17"/>
      <c r="Y27" s="17"/>
      <c r="Z27" s="17"/>
    </row>
    <row r="28" spans="1:26" x14ac:dyDescent="0.3">
      <c r="A28" s="542"/>
      <c r="B28" s="564">
        <f t="shared" si="1"/>
        <v>9</v>
      </c>
      <c r="C28" s="548" t="s">
        <v>1761</v>
      </c>
      <c r="D28" s="548"/>
      <c r="E28" s="548"/>
      <c r="F28" s="549"/>
      <c r="G28" s="572"/>
      <c r="H28" s="573"/>
      <c r="I28" s="573"/>
      <c r="J28" s="573"/>
      <c r="K28" s="557"/>
      <c r="L28" s="565"/>
      <c r="M28" s="566"/>
      <c r="N28" s="567"/>
      <c r="O28" s="557"/>
      <c r="P28" s="17"/>
      <c r="Q28" s="17"/>
      <c r="R28" s="17"/>
      <c r="S28" s="17"/>
      <c r="T28" s="17"/>
      <c r="U28" s="17"/>
      <c r="V28" s="17"/>
      <c r="W28" s="17"/>
      <c r="X28" s="17"/>
      <c r="Y28" s="17"/>
      <c r="Z28" s="17"/>
    </row>
    <row r="29" spans="1:26" x14ac:dyDescent="0.3">
      <c r="A29" s="542"/>
      <c r="B29" s="564">
        <f t="shared" si="1"/>
        <v>10</v>
      </c>
      <c r="C29" s="548" t="s">
        <v>1762</v>
      </c>
      <c r="D29" s="548"/>
      <c r="E29" s="548"/>
      <c r="F29" s="549"/>
      <c r="G29" s="572"/>
      <c r="H29" s="573"/>
      <c r="I29" s="573"/>
      <c r="J29" s="573"/>
      <c r="K29" s="557"/>
      <c r="L29" s="565"/>
      <c r="M29" s="566"/>
      <c r="N29" s="567"/>
      <c r="O29" s="557"/>
      <c r="P29" s="17"/>
      <c r="Q29" s="17"/>
      <c r="R29" s="17"/>
      <c r="S29" s="17"/>
      <c r="T29" s="17"/>
      <c r="U29" s="17"/>
      <c r="V29" s="17"/>
      <c r="W29" s="17"/>
      <c r="X29" s="17"/>
      <c r="Y29" s="17"/>
      <c r="Z29" s="17"/>
    </row>
    <row r="30" spans="1:26" x14ac:dyDescent="0.3">
      <c r="A30" s="542"/>
      <c r="B30" s="557"/>
      <c r="C30" s="557"/>
      <c r="D30" s="557"/>
      <c r="E30" s="558"/>
      <c r="F30" s="559"/>
      <c r="G30" s="559"/>
      <c r="H30" s="560"/>
      <c r="I30" s="560"/>
      <c r="J30" s="560"/>
      <c r="K30" s="557"/>
      <c r="L30" s="568"/>
      <c r="M30" s="569"/>
      <c r="N30" s="570"/>
      <c r="O30" s="557"/>
      <c r="P30" s="17"/>
      <c r="Q30" s="17"/>
      <c r="R30" s="17"/>
      <c r="S30" s="17"/>
      <c r="T30" s="17"/>
      <c r="U30" s="17"/>
      <c r="V30" s="17"/>
      <c r="W30" s="17"/>
      <c r="X30" s="17"/>
      <c r="Y30" s="17"/>
      <c r="Z30" s="17"/>
    </row>
    <row r="31" spans="1:26" x14ac:dyDescent="0.3">
      <c r="A31" s="542"/>
      <c r="B31" s="556" t="s">
        <v>1727</v>
      </c>
      <c r="C31" s="556"/>
      <c r="D31" s="557"/>
      <c r="E31" s="558"/>
      <c r="F31" s="559"/>
      <c r="G31" s="559"/>
      <c r="H31" s="560"/>
      <c r="I31" s="560"/>
      <c r="J31" s="560"/>
      <c r="K31" s="557"/>
      <c r="L31" s="574">
        <f>SUM(L7,L19)</f>
        <v>126383.49556005778</v>
      </c>
      <c r="M31" s="574">
        <f>SUM(M7,M19)</f>
        <v>96.998938996722458</v>
      </c>
      <c r="N31" s="575">
        <f>SUM(N7,N19)</f>
        <v>1</v>
      </c>
      <c r="O31" s="574"/>
      <c r="P31" s="17"/>
      <c r="Q31" s="17"/>
      <c r="R31" s="17"/>
      <c r="S31" s="17"/>
      <c r="T31" s="17"/>
      <c r="U31" s="17"/>
      <c r="V31" s="17"/>
      <c r="W31" s="17"/>
      <c r="X31" s="17"/>
      <c r="Y31" s="17"/>
      <c r="Z31" s="17"/>
    </row>
    <row r="32" spans="1:26" x14ac:dyDescent="0.3">
      <c r="A32" s="542"/>
      <c r="B32" s="557" t="s">
        <v>1728</v>
      </c>
      <c r="C32" s="557"/>
      <c r="D32" s="557" t="s">
        <v>556</v>
      </c>
      <c r="E32" s="558"/>
      <c r="F32" s="559"/>
      <c r="G32" s="559"/>
      <c r="H32" s="560"/>
      <c r="I32" s="560"/>
      <c r="J32" s="560"/>
      <c r="K32" s="557"/>
      <c r="L32" s="557"/>
      <c r="M32" s="576">
        <f>L32/$L$36</f>
        <v>0</v>
      </c>
      <c r="N32" s="557"/>
      <c r="O32" s="557"/>
      <c r="P32" s="17"/>
      <c r="Q32" s="17"/>
      <c r="R32" s="17"/>
      <c r="S32" s="17"/>
      <c r="T32" s="17"/>
      <c r="U32" s="17"/>
      <c r="V32" s="17"/>
      <c r="W32" s="17"/>
      <c r="X32" s="17"/>
      <c r="Y32" s="17"/>
      <c r="Z32" s="17"/>
    </row>
    <row r="33" spans="1:26" x14ac:dyDescent="0.3">
      <c r="A33" s="542"/>
      <c r="B33" s="556" t="s">
        <v>1729</v>
      </c>
      <c r="C33" s="556"/>
      <c r="D33" s="557"/>
      <c r="E33" s="558"/>
      <c r="F33" s="559"/>
      <c r="G33" s="559"/>
      <c r="H33" s="560"/>
      <c r="I33" s="560"/>
      <c r="J33" s="560"/>
      <c r="K33" s="557"/>
      <c r="L33" s="571">
        <f>L31+L32</f>
        <v>126383.49556005778</v>
      </c>
      <c r="M33" s="571">
        <f>M31+M32</f>
        <v>96.998938996722458</v>
      </c>
      <c r="N33" s="557"/>
      <c r="O33" s="557"/>
      <c r="P33" s="17"/>
      <c r="Q33" s="17"/>
      <c r="R33" s="17"/>
      <c r="S33" s="17"/>
      <c r="T33" s="17"/>
      <c r="U33" s="17"/>
      <c r="V33" s="17"/>
      <c r="W33" s="17"/>
      <c r="X33" s="17"/>
      <c r="Y33" s="17"/>
      <c r="Z33" s="17"/>
    </row>
    <row r="34" spans="1:26" x14ac:dyDescent="0.3">
      <c r="A34" s="542"/>
      <c r="B34" s="557" t="s">
        <v>1730</v>
      </c>
      <c r="C34" s="556"/>
      <c r="D34" s="557"/>
      <c r="E34" s="558"/>
      <c r="F34" s="559"/>
      <c r="G34" s="559"/>
      <c r="H34" s="560"/>
      <c r="I34" s="560"/>
      <c r="J34" s="560"/>
      <c r="K34" s="557"/>
      <c r="L34" s="559">
        <f>(Fcsts!F54+Fcsts!F60-Fcsts!F85)*_xll.BDP("CNYUSD Curncy","PX_LAST")</f>
        <v>667.66796999999997</v>
      </c>
      <c r="M34" s="576">
        <f>L34/Fcsts!E$32</f>
        <v>0.51243308633855544</v>
      </c>
      <c r="N34" s="557"/>
      <c r="O34" s="557"/>
      <c r="P34" s="17"/>
      <c r="Q34" s="17"/>
      <c r="R34" s="17"/>
      <c r="S34" s="17"/>
      <c r="T34" s="17"/>
      <c r="U34" s="17"/>
      <c r="V34" s="17"/>
      <c r="W34" s="17"/>
      <c r="X34" s="17"/>
      <c r="Y34" s="17"/>
      <c r="Z34" s="17"/>
    </row>
    <row r="35" spans="1:26" x14ac:dyDescent="0.3">
      <c r="A35" s="542"/>
      <c r="B35" s="557" t="s">
        <v>1731</v>
      </c>
      <c r="C35" s="556"/>
      <c r="D35" s="557"/>
      <c r="E35" s="558"/>
      <c r="F35" s="559"/>
      <c r="G35" s="559"/>
      <c r="H35" s="560"/>
      <c r="I35" s="560"/>
      <c r="J35" s="560"/>
      <c r="K35" s="557"/>
      <c r="L35" s="550">
        <v>0.1</v>
      </c>
      <c r="M35" s="557"/>
      <c r="N35" s="557"/>
      <c r="O35" s="557"/>
      <c r="P35" s="17"/>
      <c r="Q35" s="17"/>
      <c r="R35" s="17"/>
      <c r="S35" s="17"/>
      <c r="T35" s="17"/>
      <c r="U35" s="17"/>
      <c r="V35" s="17"/>
      <c r="W35" s="17"/>
      <c r="X35" s="17"/>
      <c r="Y35" s="17"/>
      <c r="Z35" s="17"/>
    </row>
    <row r="36" spans="1:26" ht="13.5" thickBot="1" x14ac:dyDescent="0.35">
      <c r="A36" s="542"/>
      <c r="B36" s="577" t="s">
        <v>1732</v>
      </c>
      <c r="C36" s="556"/>
      <c r="D36" s="557"/>
      <c r="E36" s="558"/>
      <c r="F36" s="559"/>
      <c r="G36" s="559"/>
      <c r="H36" s="560"/>
      <c r="I36" s="560"/>
      <c r="J36" s="560"/>
      <c r="K36" s="557"/>
      <c r="L36" s="578">
        <f>(L33-L34)*(1-$L$35)</f>
        <v>113144.24483105201</v>
      </c>
      <c r="M36" s="579">
        <f>(M33-M34)*(1-$L$35)</f>
        <v>86.837855319345508</v>
      </c>
      <c r="N36" s="580">
        <f>L36/Fcsts!E$32</f>
        <v>86.837855319345536</v>
      </c>
      <c r="O36" s="557"/>
      <c r="P36" s="17"/>
      <c r="Q36" s="17"/>
      <c r="R36" s="17"/>
      <c r="S36" s="17"/>
      <c r="T36" s="17"/>
      <c r="U36" s="17"/>
      <c r="V36" s="17"/>
      <c r="W36" s="17"/>
      <c r="X36" s="17"/>
      <c r="Y36" s="17"/>
      <c r="Z36" s="17"/>
    </row>
    <row r="37" spans="1:26" x14ac:dyDescent="0.3">
      <c r="A37" s="542"/>
      <c r="B37" s="557"/>
      <c r="C37" s="556"/>
      <c r="D37" s="557"/>
      <c r="E37" s="558"/>
      <c r="F37" s="559"/>
      <c r="G37" s="559"/>
      <c r="H37" s="560"/>
      <c r="I37" s="560"/>
      <c r="J37" s="560"/>
      <c r="K37" s="557"/>
      <c r="L37" s="559"/>
      <c r="M37" s="557"/>
      <c r="N37" s="557"/>
      <c r="O37" s="557"/>
      <c r="P37" s="17"/>
      <c r="Q37" s="17"/>
      <c r="R37" s="17"/>
      <c r="S37" s="17"/>
      <c r="T37" s="17"/>
      <c r="U37" s="17"/>
      <c r="V37" s="17"/>
      <c r="W37" s="17"/>
      <c r="X37" s="17"/>
      <c r="Y37" s="17"/>
      <c r="Z37" s="17"/>
    </row>
    <row r="38" spans="1:26" x14ac:dyDescent="0.3">
      <c r="A38" s="542"/>
      <c r="B38" s="557" t="s">
        <v>1733</v>
      </c>
      <c r="C38" s="556"/>
      <c r="D38" s="557"/>
      <c r="E38" s="558"/>
      <c r="F38" s="559"/>
      <c r="G38" s="559"/>
      <c r="H38" s="560"/>
      <c r="I38" s="560"/>
      <c r="J38" s="560"/>
      <c r="K38" s="557"/>
      <c r="L38" s="559"/>
      <c r="M38" s="581">
        <f>Frontend!C20</f>
        <v>14.26</v>
      </c>
      <c r="N38" s="557"/>
      <c r="O38" s="557"/>
      <c r="P38" s="17"/>
      <c r="Q38" s="17"/>
      <c r="R38" s="17"/>
      <c r="S38" s="17"/>
      <c r="T38" s="17"/>
      <c r="U38" s="17"/>
      <c r="V38" s="17"/>
      <c r="W38" s="17"/>
      <c r="X38" s="17"/>
      <c r="Y38" s="17"/>
      <c r="Z38" s="17"/>
    </row>
    <row r="39" spans="1:26" x14ac:dyDescent="0.3">
      <c r="A39" s="542"/>
      <c r="B39" s="557" t="s">
        <v>1734</v>
      </c>
      <c r="C39" s="557"/>
      <c r="D39" s="557"/>
      <c r="E39" s="558"/>
      <c r="F39" s="559"/>
      <c r="G39" s="559"/>
      <c r="H39" s="560"/>
      <c r="I39" s="560"/>
      <c r="J39" s="560"/>
      <c r="K39" s="557"/>
      <c r="L39" s="559"/>
      <c r="M39" s="582">
        <f>M36/M38-1</f>
        <v>5.0896111724646218</v>
      </c>
      <c r="N39" s="557"/>
      <c r="O39" s="557"/>
      <c r="P39" s="17"/>
      <c r="Q39" s="17"/>
      <c r="R39" s="17"/>
      <c r="S39" s="17"/>
      <c r="T39" s="17"/>
      <c r="U39" s="17"/>
      <c r="V39" s="17"/>
      <c r="W39" s="17"/>
      <c r="X39" s="17"/>
      <c r="Y39" s="17"/>
      <c r="Z39" s="17"/>
    </row>
    <row r="40" spans="1:26" x14ac:dyDescent="0.3">
      <c r="A40" s="542"/>
      <c r="B40" s="557"/>
      <c r="C40" s="557"/>
      <c r="D40" s="557"/>
      <c r="E40" s="558"/>
      <c r="F40" s="559"/>
      <c r="G40" s="559"/>
      <c r="H40" s="560"/>
      <c r="I40" s="560"/>
      <c r="J40" s="560"/>
      <c r="K40" s="557"/>
      <c r="L40" s="559"/>
      <c r="M40" s="583"/>
      <c r="N40" s="557"/>
      <c r="O40" s="557"/>
      <c r="P40" s="17"/>
      <c r="Q40" s="17"/>
      <c r="R40" s="17"/>
      <c r="S40" s="17"/>
      <c r="T40" s="17"/>
      <c r="U40" s="17"/>
      <c r="V40" s="17"/>
      <c r="W40" s="17"/>
      <c r="X40" s="17"/>
      <c r="Y40" s="17"/>
      <c r="Z40" s="17"/>
    </row>
    <row r="41" spans="1:26" x14ac:dyDescent="0.3">
      <c r="A41" s="542"/>
      <c r="B41" s="557"/>
      <c r="C41" s="557"/>
      <c r="D41" s="557"/>
      <c r="E41" s="558"/>
      <c r="F41" s="559"/>
      <c r="G41" s="559"/>
      <c r="H41" s="560"/>
      <c r="I41" s="560"/>
      <c r="J41" s="560"/>
      <c r="K41" s="557"/>
      <c r="L41" s="559"/>
      <c r="M41" s="584"/>
      <c r="N41" s="557"/>
      <c r="O41" s="557"/>
      <c r="P41" s="17"/>
      <c r="Q41" s="17"/>
      <c r="R41" s="17"/>
      <c r="S41" s="17"/>
      <c r="T41" s="17"/>
      <c r="U41" s="17"/>
      <c r="V41" s="17"/>
      <c r="W41" s="17"/>
      <c r="X41" s="17"/>
      <c r="Y41" s="17"/>
      <c r="Z41" s="17"/>
    </row>
    <row r="42" spans="1:26" x14ac:dyDescent="0.3">
      <c r="A42" s="542"/>
      <c r="B42" s="557"/>
      <c r="C42" s="557"/>
      <c r="D42" s="557"/>
      <c r="E42" s="558"/>
      <c r="F42" s="559"/>
      <c r="G42" s="559"/>
      <c r="H42" s="560"/>
      <c r="I42" s="560"/>
      <c r="J42" s="560"/>
      <c r="K42" s="557"/>
      <c r="L42" s="559"/>
      <c r="M42" s="557"/>
      <c r="N42" s="557"/>
      <c r="O42" s="557"/>
      <c r="P42" s="17"/>
      <c r="Q42" s="17"/>
      <c r="R42" s="17"/>
      <c r="S42" s="17"/>
      <c r="T42" s="17"/>
      <c r="U42" s="17"/>
      <c r="V42" s="17"/>
      <c r="W42" s="17"/>
      <c r="X42" s="17"/>
      <c r="Y42" s="17"/>
      <c r="Z42" s="17"/>
    </row>
    <row r="43" spans="1:26" x14ac:dyDescent="0.3">
      <c r="A43" s="542"/>
      <c r="B43" s="557"/>
      <c r="C43" s="557"/>
      <c r="D43" s="557"/>
      <c r="E43" s="558"/>
      <c r="F43" s="559"/>
      <c r="G43" s="559"/>
      <c r="H43" s="557"/>
      <c r="I43" s="557"/>
      <c r="J43" s="557"/>
      <c r="K43" s="557"/>
      <c r="L43" s="557"/>
      <c r="M43" s="557"/>
      <c r="N43" s="557"/>
      <c r="O43" s="557"/>
      <c r="P43" s="17"/>
      <c r="Q43" s="17"/>
      <c r="R43" s="17"/>
      <c r="S43" s="17"/>
      <c r="T43" s="17"/>
      <c r="U43" s="17"/>
      <c r="V43" s="17"/>
      <c r="W43" s="17"/>
      <c r="X43" s="17"/>
      <c r="Y43" s="17"/>
      <c r="Z43" s="17"/>
    </row>
    <row r="44" spans="1:26" x14ac:dyDescent="0.3">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spans="1:26" x14ac:dyDescent="0.3">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spans="1:26" x14ac:dyDescent="0.3">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spans="1:26" x14ac:dyDescent="0.3">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spans="1:26" x14ac:dyDescent="0.3">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spans="1:26" x14ac:dyDescent="0.3">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spans="1:26" x14ac:dyDescent="0.3">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spans="1:26" x14ac:dyDescent="0.3">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spans="1:26" x14ac:dyDescent="0.3">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spans="1:26" x14ac:dyDescent="0.3">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spans="1:26" x14ac:dyDescent="0.3">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spans="1:26" x14ac:dyDescent="0.3">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spans="1:26" x14ac:dyDescent="0.3">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spans="1:26" x14ac:dyDescent="0.3">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spans="1:26" x14ac:dyDescent="0.3">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spans="1:26" x14ac:dyDescent="0.3">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spans="1:26" x14ac:dyDescent="0.3">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sheetData>
  <sheetProtection algorithmName="SHA-512" hashValue="esWFCUxJ3K6ejzm8pHnn1pMdEhMshBMoq4utolo4nRHL2N4yIR5P+h4D5oTw7FOAYZNPo8/qmnDUkV5e9OrsHQ==" saltValue="EUuV7R9PkTYe1ZcYMbUZuA==" spinCount="100000" sheet="1" objects="1" scenarios="1" formatCells="0" formatColumns="0" formatRows="0"/>
  <phoneticPr fontId="55"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24577-B378-4C50-87FC-EB9BF917C5CF}">
  <sheetPr>
    <tabColor rgb="FFFF0000"/>
  </sheetPr>
  <dimension ref="A1:H37"/>
  <sheetViews>
    <sheetView showGridLines="0" topLeftCell="A7" workbookViewId="0">
      <selection activeCell="D30" sqref="D30"/>
    </sheetView>
  </sheetViews>
  <sheetFormatPr defaultColWidth="9.33203125" defaultRowHeight="13" x14ac:dyDescent="0.3"/>
  <cols>
    <col min="1" max="2" width="20.77734375" style="735" customWidth="1"/>
    <col min="3" max="3" width="20.44140625" style="735" bestFit="1" customWidth="1"/>
    <col min="4" max="4" width="32.33203125" style="735" bestFit="1" customWidth="1"/>
    <col min="5" max="5" width="25.44140625" style="735" bestFit="1" customWidth="1"/>
    <col min="6" max="6" width="30.109375" style="735" bestFit="1" customWidth="1"/>
    <col min="7" max="7" width="20.77734375" style="735" customWidth="1"/>
    <col min="8" max="8" width="18.6640625" style="735" bestFit="1" customWidth="1"/>
    <col min="9" max="9" width="20.77734375" style="735" customWidth="1"/>
    <col min="10" max="16384" width="9.33203125" style="735"/>
  </cols>
  <sheetData>
    <row r="1" spans="1:8" ht="27.75" customHeight="1" x14ac:dyDescent="0.3">
      <c r="A1" s="742" t="s">
        <v>1863</v>
      </c>
      <c r="B1" s="743"/>
      <c r="C1" s="742" t="s">
        <v>1868</v>
      </c>
      <c r="D1" s="742" t="s">
        <v>1869</v>
      </c>
      <c r="E1" s="742" t="s">
        <v>1870</v>
      </c>
      <c r="F1" s="742" t="s">
        <v>1871</v>
      </c>
      <c r="G1" s="742"/>
      <c r="H1" s="742" t="s">
        <v>1872</v>
      </c>
    </row>
    <row r="2" spans="1:8" x14ac:dyDescent="0.3">
      <c r="A2" s="735" t="s">
        <v>1864</v>
      </c>
      <c r="F2" s="736" t="e">
        <f>E2/D2-1</f>
        <v>#DIV/0!</v>
      </c>
    </row>
    <row r="3" spans="1:8" x14ac:dyDescent="0.3">
      <c r="A3" s="735" t="s">
        <v>1865</v>
      </c>
      <c r="F3" s="736" t="e">
        <f t="shared" ref="F3:F11" si="0">E3/D3-1</f>
        <v>#DIV/0!</v>
      </c>
    </row>
    <row r="4" spans="1:8" x14ac:dyDescent="0.3">
      <c r="A4" s="735" t="s">
        <v>1866</v>
      </c>
      <c r="F4" s="736" t="e">
        <f t="shared" si="0"/>
        <v>#DIV/0!</v>
      </c>
    </row>
    <row r="5" spans="1:8" x14ac:dyDescent="0.3">
      <c r="A5" s="735" t="s">
        <v>1867</v>
      </c>
      <c r="F5" s="736" t="e">
        <f t="shared" si="0"/>
        <v>#DIV/0!</v>
      </c>
    </row>
    <row r="6" spans="1:8" x14ac:dyDescent="0.3">
      <c r="A6" s="735" t="s">
        <v>1873</v>
      </c>
      <c r="F6" s="736" t="e">
        <f t="shared" si="0"/>
        <v>#DIV/0!</v>
      </c>
    </row>
    <row r="7" spans="1:8" x14ac:dyDescent="0.3">
      <c r="A7" s="735" t="s">
        <v>1874</v>
      </c>
      <c r="F7" s="736" t="e">
        <f t="shared" si="0"/>
        <v>#DIV/0!</v>
      </c>
    </row>
    <row r="8" spans="1:8" x14ac:dyDescent="0.3">
      <c r="A8" s="735" t="s">
        <v>1875</v>
      </c>
      <c r="F8" s="736" t="e">
        <f t="shared" si="0"/>
        <v>#DIV/0!</v>
      </c>
    </row>
    <row r="9" spans="1:8" x14ac:dyDescent="0.3">
      <c r="A9" s="735" t="s">
        <v>1876</v>
      </c>
      <c r="F9" s="736" t="e">
        <f t="shared" si="0"/>
        <v>#DIV/0!</v>
      </c>
    </row>
    <row r="10" spans="1:8" x14ac:dyDescent="0.3">
      <c r="A10" s="735" t="s">
        <v>1877</v>
      </c>
      <c r="F10" s="736" t="e">
        <f t="shared" si="0"/>
        <v>#DIV/0!</v>
      </c>
    </row>
    <row r="11" spans="1:8" x14ac:dyDescent="0.3">
      <c r="A11" s="735" t="s">
        <v>1878</v>
      </c>
      <c r="F11" s="736" t="e">
        <f t="shared" si="0"/>
        <v>#DIV/0!</v>
      </c>
    </row>
    <row r="13" spans="1:8" ht="13.5" thickBot="1" x14ac:dyDescent="0.35">
      <c r="A13" s="737" t="s">
        <v>1879</v>
      </c>
      <c r="B13" s="737"/>
      <c r="C13" s="737">
        <f>SUM(C2:C11)</f>
        <v>0</v>
      </c>
      <c r="D13" s="739" t="s">
        <v>1897</v>
      </c>
      <c r="E13" s="739" t="s">
        <v>1897</v>
      </c>
      <c r="F13" s="739" t="s">
        <v>1897</v>
      </c>
      <c r="G13" s="737"/>
      <c r="H13" s="737">
        <f>SUM(H2:H11)</f>
        <v>0</v>
      </c>
    </row>
    <row r="15" spans="1:8" ht="22.5" customHeight="1" x14ac:dyDescent="0.3">
      <c r="A15" s="741" t="s">
        <v>1891</v>
      </c>
      <c r="B15" s="741"/>
    </row>
    <row r="16" spans="1:8" x14ac:dyDescent="0.3">
      <c r="A16" s="735" t="s">
        <v>472</v>
      </c>
      <c r="B16" s="736">
        <f>Fcsts!O16</f>
        <v>0.32</v>
      </c>
    </row>
    <row r="17" spans="1:8" x14ac:dyDescent="0.3">
      <c r="A17" s="735" t="s">
        <v>1892</v>
      </c>
      <c r="B17" s="738"/>
    </row>
    <row r="18" spans="1:8" x14ac:dyDescent="0.3">
      <c r="A18" s="735" t="s">
        <v>1895</v>
      </c>
      <c r="B18" s="735">
        <f>AVERAGE(Fcsts!C104:J104)</f>
        <v>1154.877259005375</v>
      </c>
    </row>
    <row r="19" spans="1:8" x14ac:dyDescent="0.3">
      <c r="A19" s="735" t="s">
        <v>1896</v>
      </c>
      <c r="B19" s="735">
        <f>AVERAGE(Fcsts!C12:J12)</f>
        <v>788.72607728312505</v>
      </c>
    </row>
    <row r="20" spans="1:8" x14ac:dyDescent="0.3">
      <c r="A20" s="735" t="s">
        <v>1898</v>
      </c>
    </row>
    <row r="21" spans="1:8" x14ac:dyDescent="0.3">
      <c r="A21" s="735" t="s">
        <v>1899</v>
      </c>
    </row>
    <row r="22" spans="1:8" x14ac:dyDescent="0.3">
      <c r="A22" s="735" t="s">
        <v>317</v>
      </c>
    </row>
    <row r="23" spans="1:8" x14ac:dyDescent="0.3">
      <c r="A23" s="735" t="s">
        <v>1893</v>
      </c>
    </row>
    <row r="24" spans="1:8" x14ac:dyDescent="0.3">
      <c r="A24" s="735" t="s">
        <v>1894</v>
      </c>
    </row>
    <row r="26" spans="1:8" ht="19.5" customHeight="1" x14ac:dyDescent="0.3">
      <c r="A26" s="741" t="s">
        <v>1881</v>
      </c>
      <c r="B26" s="741"/>
      <c r="D26" s="744" t="s">
        <v>1900</v>
      </c>
      <c r="E26" s="740"/>
      <c r="F26" s="740"/>
      <c r="G26" s="740"/>
      <c r="H26" s="740" t="e">
        <f>B37*(1+B21)/(B20-B21)</f>
        <v>#VALUE!</v>
      </c>
    </row>
    <row r="27" spans="1:8" x14ac:dyDescent="0.3">
      <c r="A27" s="735" t="s">
        <v>1883</v>
      </c>
      <c r="B27" s="735">
        <f>H13*(1-B16)</f>
        <v>0</v>
      </c>
      <c r="D27" s="740"/>
      <c r="E27" s="740"/>
      <c r="F27" s="740"/>
      <c r="G27" s="740"/>
      <c r="H27" s="740"/>
    </row>
    <row r="28" spans="1:8" x14ac:dyDescent="0.3">
      <c r="A28" s="735" t="s">
        <v>1882</v>
      </c>
      <c r="B28" s="735">
        <f>B18*B16</f>
        <v>369.56072288171998</v>
      </c>
      <c r="D28" s="740" t="s">
        <v>1901</v>
      </c>
      <c r="E28" s="740"/>
      <c r="F28" s="740"/>
      <c r="G28" s="740"/>
      <c r="H28" s="740" t="e">
        <f>H26/B22</f>
        <v>#VALUE!</v>
      </c>
    </row>
    <row r="29" spans="1:8" x14ac:dyDescent="0.3">
      <c r="A29" s="735" t="s">
        <v>1884</v>
      </c>
      <c r="B29" s="735" t="e">
        <f>AVERAGE(Fcsts!C154:I154)</f>
        <v>#VALUE!</v>
      </c>
      <c r="D29" s="740" t="s">
        <v>1902</v>
      </c>
      <c r="E29" s="740"/>
      <c r="F29" s="740"/>
      <c r="G29" s="740"/>
      <c r="H29" s="740"/>
    </row>
    <row r="30" spans="1:8" x14ac:dyDescent="0.3">
      <c r="A30" s="735" t="s">
        <v>1885</v>
      </c>
      <c r="B30" s="735">
        <f>AVERAGE(Fcsts!C109:J109)</f>
        <v>-1293.09922659375</v>
      </c>
      <c r="D30" s="740" t="s">
        <v>1903</v>
      </c>
      <c r="E30" s="740"/>
      <c r="F30" s="740"/>
      <c r="G30" s="740"/>
      <c r="H30" s="740" t="e">
        <f>H28/H29-1</f>
        <v>#VALUE!</v>
      </c>
    </row>
    <row r="31" spans="1:8" ht="13.5" thickBot="1" x14ac:dyDescent="0.35">
      <c r="A31" s="737" t="s">
        <v>1886</v>
      </c>
      <c r="B31" s="737" t="e">
        <f>SUM(B27:B30)</f>
        <v>#VALUE!</v>
      </c>
    </row>
    <row r="33" spans="1:2" ht="19.5" customHeight="1" x14ac:dyDescent="0.3">
      <c r="A33" s="741" t="s">
        <v>1887</v>
      </c>
      <c r="B33" s="741"/>
    </row>
    <row r="34" spans="1:2" x14ac:dyDescent="0.3">
      <c r="A34" s="735" t="s">
        <v>1880</v>
      </c>
      <c r="B34" s="735" t="e">
        <f>B31</f>
        <v>#VALUE!</v>
      </c>
    </row>
    <row r="35" spans="1:2" x14ac:dyDescent="0.3">
      <c r="A35" s="735" t="s">
        <v>1888</v>
      </c>
      <c r="B35" s="735">
        <f>B19*(1-B16)</f>
        <v>536.33373255252502</v>
      </c>
    </row>
    <row r="36" spans="1:2" x14ac:dyDescent="0.3">
      <c r="A36" s="735" t="s">
        <v>1889</v>
      </c>
      <c r="B36" s="735">
        <f>(Fcsts!E54+Fcsts!E60)-(Fcsts!F54+Fcsts!F60)</f>
        <v>105.66550000000007</v>
      </c>
    </row>
    <row r="37" spans="1:2" ht="13.5" thickBot="1" x14ac:dyDescent="0.35">
      <c r="A37" s="737" t="s">
        <v>1890</v>
      </c>
      <c r="B37" s="737" t="e">
        <f>SUM(B34:B36)</f>
        <v>#VALUE!</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8DA55-9297-451E-B26B-842089217DB3}">
  <sheetPr codeName="Sheet18"/>
  <dimension ref="A1:Z100"/>
  <sheetViews>
    <sheetView zoomScaleNormal="100" workbookViewId="0">
      <pane xSplit="2" ySplit="6" topLeftCell="C67" activePane="bottomRight" state="frozen"/>
      <selection pane="topRight" activeCell="D1" sqref="D1"/>
      <selection pane="bottomLeft" activeCell="A8" sqref="A8"/>
      <selection pane="bottomRight" activeCell="E75" sqref="E75"/>
    </sheetView>
  </sheetViews>
  <sheetFormatPr defaultColWidth="9.33203125" defaultRowHeight="13" x14ac:dyDescent="0.3"/>
  <cols>
    <col min="1" max="1" width="8.77734375" bestFit="1" customWidth="1"/>
    <col min="2" max="2" width="42.33203125" bestFit="1" customWidth="1"/>
    <col min="3" max="5" width="11.6640625" bestFit="1" customWidth="1"/>
    <col min="6" max="6" width="11.77734375" bestFit="1" customWidth="1"/>
    <col min="7" max="16" width="11.6640625" bestFit="1" customWidth="1"/>
  </cols>
  <sheetData>
    <row r="1" spans="1:26" ht="21" customHeight="1" x14ac:dyDescent="0.3">
      <c r="A1" s="17"/>
      <c r="B1" s="17"/>
      <c r="C1" s="17"/>
      <c r="D1" s="17"/>
      <c r="E1" s="17"/>
      <c r="F1" s="17"/>
      <c r="G1" s="17"/>
      <c r="H1" s="17"/>
      <c r="I1" s="17"/>
      <c r="J1" s="17"/>
      <c r="K1" s="17"/>
      <c r="L1" s="17"/>
      <c r="M1" s="17"/>
      <c r="N1" s="17"/>
      <c r="O1" s="17"/>
      <c r="P1" s="17"/>
      <c r="Q1" s="17"/>
      <c r="R1" s="17"/>
      <c r="S1" s="17"/>
      <c r="T1" s="17"/>
      <c r="U1" s="17"/>
      <c r="V1" s="17"/>
      <c r="W1" s="17"/>
      <c r="X1" s="17"/>
      <c r="Y1" s="17"/>
      <c r="Z1" s="17"/>
    </row>
    <row r="2" spans="1:26" ht="21" customHeight="1" x14ac:dyDescent="0.3">
      <c r="A2" s="17"/>
      <c r="B2" s="17"/>
      <c r="C2" s="17"/>
      <c r="D2" s="17"/>
      <c r="E2" s="17"/>
      <c r="F2" s="17"/>
      <c r="G2" s="17"/>
      <c r="H2" s="17"/>
      <c r="I2" s="17"/>
      <c r="J2" s="17"/>
      <c r="K2" s="17"/>
      <c r="L2" s="17"/>
      <c r="M2" s="17"/>
      <c r="N2" s="17"/>
      <c r="O2" s="17"/>
      <c r="P2" s="17"/>
      <c r="Q2" s="17"/>
      <c r="R2" s="17"/>
      <c r="S2" s="17"/>
      <c r="T2" s="17"/>
      <c r="U2" s="17"/>
      <c r="V2" s="17"/>
      <c r="W2" s="17"/>
      <c r="X2" s="17"/>
      <c r="Y2" s="17"/>
      <c r="Z2" s="17"/>
    </row>
    <row r="3" spans="1:26" ht="13.5" thickBot="1" x14ac:dyDescent="0.35">
      <c r="A3" s="442"/>
      <c r="B3" s="442"/>
      <c r="C3" s="442" t="s">
        <v>840</v>
      </c>
      <c r="D3" s="442" t="s">
        <v>841</v>
      </c>
      <c r="E3" s="442" t="s">
        <v>842</v>
      </c>
      <c r="F3" s="442" t="s">
        <v>843</v>
      </c>
      <c r="G3" s="442" t="s">
        <v>844</v>
      </c>
      <c r="H3" s="442" t="s">
        <v>845</v>
      </c>
      <c r="I3" s="442" t="s">
        <v>846</v>
      </c>
      <c r="J3" s="442" t="s">
        <v>847</v>
      </c>
      <c r="K3" s="442" t="s">
        <v>848</v>
      </c>
      <c r="L3" s="442" t="s">
        <v>849</v>
      </c>
      <c r="M3" s="442" t="s">
        <v>850</v>
      </c>
      <c r="N3" s="442" t="s">
        <v>851</v>
      </c>
      <c r="O3" s="442" t="s">
        <v>852</v>
      </c>
      <c r="P3" s="442" t="s">
        <v>853</v>
      </c>
      <c r="Q3" s="442"/>
      <c r="R3" s="17"/>
      <c r="S3" s="17"/>
      <c r="T3" s="17"/>
      <c r="U3" s="17"/>
      <c r="V3" s="17"/>
      <c r="W3" s="17"/>
      <c r="X3" s="17"/>
      <c r="Y3" s="17"/>
      <c r="Z3" s="17"/>
    </row>
    <row r="4" spans="1:26" ht="15" customHeight="1" x14ac:dyDescent="0.3">
      <c r="A4" s="443" t="str">
        <f>'Financials DF'!A22</f>
        <v>YEAR</v>
      </c>
      <c r="B4" s="444" t="str">
        <f>'Financials DF'!B22</f>
        <v>Year</v>
      </c>
      <c r="C4" s="445" t="s">
        <v>840</v>
      </c>
      <c r="D4" s="445" t="s">
        <v>841</v>
      </c>
      <c r="E4" s="445" t="s">
        <v>842</v>
      </c>
      <c r="F4" s="446">
        <f>'Financials DF'!C91</f>
        <v>2022</v>
      </c>
      <c r="G4" s="445">
        <f>'Financials DF'!D91</f>
        <v>2021</v>
      </c>
      <c r="H4" s="445">
        <f>'Financials DF'!E91</f>
        <v>2020</v>
      </c>
      <c r="I4" s="445">
        <f>'Financials DF'!F91</f>
        <v>2019</v>
      </c>
      <c r="J4" s="445">
        <f>'Financials DF'!G91</f>
        <v>2018</v>
      </c>
      <c r="K4" s="445">
        <f>'Financials DF'!H91</f>
        <v>2017</v>
      </c>
      <c r="L4" s="445">
        <f>'Financials DF'!I91</f>
        <v>2016</v>
      </c>
      <c r="M4" s="445">
        <f>'Financials DF'!J91</f>
        <v>2015</v>
      </c>
      <c r="N4" s="445">
        <f>'Financials DF'!K91</f>
        <v>2014</v>
      </c>
      <c r="O4" s="445">
        <f>'Financials DF'!L91</f>
        <v>2013</v>
      </c>
      <c r="P4" s="447">
        <f>'Financials DF'!M91</f>
        <v>2012</v>
      </c>
      <c r="Q4" s="17"/>
      <c r="R4" s="17"/>
      <c r="S4" s="17"/>
      <c r="T4" s="17"/>
      <c r="U4" s="17"/>
      <c r="V4" s="17"/>
      <c r="W4" s="17"/>
      <c r="X4" s="17"/>
      <c r="Y4" s="17"/>
      <c r="Z4" s="17"/>
    </row>
    <row r="5" spans="1:26" ht="15" customHeight="1" x14ac:dyDescent="0.3">
      <c r="A5" s="448" t="str">
        <f>'Financials DF'!A8</f>
        <v>CODE</v>
      </c>
      <c r="B5" s="449" t="str">
        <f>'Financials DF'!B8</f>
        <v>NTC</v>
      </c>
      <c r="C5" s="450"/>
      <c r="D5" s="450"/>
      <c r="E5" s="450"/>
      <c r="F5" s="451"/>
      <c r="G5" s="450"/>
      <c r="H5" s="450"/>
      <c r="I5" s="450"/>
      <c r="J5" s="450"/>
      <c r="K5" s="450"/>
      <c r="L5" s="450"/>
      <c r="M5" s="450"/>
      <c r="N5" s="450"/>
      <c r="O5" s="450"/>
      <c r="P5" s="452"/>
      <c r="Q5" s="17"/>
      <c r="R5" s="17"/>
      <c r="S5" s="17"/>
      <c r="T5" s="17"/>
      <c r="U5" s="17"/>
      <c r="V5" s="17"/>
      <c r="W5" s="17"/>
      <c r="X5" s="17"/>
      <c r="Y5" s="17"/>
      <c r="Z5" s="17"/>
    </row>
    <row r="6" spans="1:26" ht="15" customHeight="1" x14ac:dyDescent="0.3">
      <c r="A6" s="448" t="str">
        <f>'Financials DF'!A9</f>
        <v>NAME</v>
      </c>
      <c r="B6" s="449" t="str">
        <f>'Financials DF'!B9</f>
        <v>NETCARE LTD</v>
      </c>
      <c r="C6" s="450"/>
      <c r="D6" s="450"/>
      <c r="E6" s="450"/>
      <c r="F6" s="451"/>
      <c r="G6" s="450"/>
      <c r="H6" s="450"/>
      <c r="I6" s="450"/>
      <c r="J6" s="450"/>
      <c r="K6" s="450"/>
      <c r="L6" s="450"/>
      <c r="M6" s="450"/>
      <c r="N6" s="450"/>
      <c r="O6" s="450"/>
      <c r="P6" s="452"/>
      <c r="Q6" s="17"/>
      <c r="R6" s="17"/>
      <c r="S6" s="17"/>
      <c r="T6" s="17"/>
      <c r="U6" s="17"/>
      <c r="V6" s="17"/>
      <c r="W6" s="17"/>
      <c r="X6" s="17"/>
      <c r="Y6" s="17"/>
      <c r="Z6" s="17"/>
    </row>
    <row r="7" spans="1:26" ht="15" customHeight="1" thickBot="1" x14ac:dyDescent="0.35">
      <c r="A7" s="453" t="str">
        <f>'Financials DF'!A10</f>
        <v>TICKER</v>
      </c>
      <c r="B7" s="454" t="str">
        <f>'Financials DF'!B10</f>
        <v>NTC SJ Equity</v>
      </c>
      <c r="C7" s="455"/>
      <c r="D7" s="455"/>
      <c r="E7" s="455"/>
      <c r="F7" s="456"/>
      <c r="G7" s="455"/>
      <c r="H7" s="455"/>
      <c r="I7" s="455"/>
      <c r="J7" s="455"/>
      <c r="K7" s="455"/>
      <c r="L7" s="455"/>
      <c r="M7" s="455"/>
      <c r="N7" s="455"/>
      <c r="O7" s="455"/>
      <c r="P7" s="457"/>
      <c r="Q7" s="17"/>
      <c r="R7" s="17"/>
      <c r="S7" s="17"/>
      <c r="T7" s="17"/>
      <c r="U7" s="17"/>
      <c r="V7" s="17"/>
      <c r="W7" s="17"/>
      <c r="X7" s="17"/>
      <c r="Y7" s="17"/>
      <c r="Z7" s="17"/>
    </row>
    <row r="8" spans="1:26" ht="15" customHeight="1" x14ac:dyDescent="0.3">
      <c r="A8" s="17"/>
      <c r="B8" s="17"/>
      <c r="C8" s="17"/>
      <c r="D8" s="17"/>
      <c r="E8" s="17"/>
      <c r="F8" s="17"/>
      <c r="G8" s="17"/>
      <c r="H8" s="17"/>
      <c r="I8" s="17"/>
      <c r="J8" s="17"/>
      <c r="K8" s="17"/>
      <c r="L8" s="17"/>
      <c r="M8" s="17"/>
      <c r="N8" s="17"/>
      <c r="O8" s="17"/>
      <c r="P8" s="17"/>
      <c r="Q8" s="17"/>
      <c r="R8" s="17"/>
      <c r="S8" s="17"/>
      <c r="T8" s="17"/>
      <c r="U8" s="17"/>
      <c r="V8" s="17"/>
      <c r="W8" s="17"/>
      <c r="X8" s="17"/>
      <c r="Y8" s="17"/>
      <c r="Z8" s="17"/>
    </row>
    <row r="9" spans="1:26" ht="15" customHeight="1" x14ac:dyDescent="0.3">
      <c r="A9" s="17"/>
      <c r="B9" s="17"/>
      <c r="C9" s="17"/>
      <c r="D9" s="17"/>
      <c r="E9" s="17"/>
      <c r="F9" s="17"/>
      <c r="G9" s="17"/>
      <c r="H9" s="17"/>
      <c r="I9" s="17"/>
      <c r="J9" s="17"/>
      <c r="K9" s="17"/>
      <c r="L9" s="17"/>
      <c r="M9" s="17"/>
      <c r="N9" s="17"/>
      <c r="O9" s="17"/>
      <c r="P9" s="17"/>
      <c r="Q9" s="17"/>
      <c r="R9" s="17"/>
      <c r="S9" s="17"/>
      <c r="T9" s="17"/>
      <c r="U9" s="17"/>
      <c r="V9" s="17"/>
      <c r="W9" s="17"/>
      <c r="X9" s="17"/>
      <c r="Y9" s="17"/>
      <c r="Z9" s="17"/>
    </row>
    <row r="10" spans="1:26" ht="15" customHeight="1" x14ac:dyDescent="0.3">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row>
    <row r="11" spans="1:26" ht="15" customHeight="1" x14ac:dyDescent="0.3">
      <c r="A11" s="17"/>
      <c r="B11" s="458" t="s">
        <v>717</v>
      </c>
      <c r="C11" s="459"/>
      <c r="D11" s="459"/>
      <c r="E11" s="459"/>
      <c r="F11" s="460"/>
      <c r="G11" s="461"/>
      <c r="H11" s="461"/>
      <c r="I11" s="461"/>
      <c r="J11" s="461"/>
      <c r="K11" s="461"/>
      <c r="L11" s="461"/>
      <c r="M11" s="461"/>
      <c r="N11" s="461"/>
      <c r="O11" s="461"/>
      <c r="P11" s="462"/>
      <c r="Q11" s="17"/>
      <c r="R11" s="17"/>
      <c r="S11" s="17"/>
      <c r="T11" s="17"/>
      <c r="U11" s="17"/>
      <c r="V11" s="17"/>
      <c r="W11" s="17"/>
      <c r="X11" s="17"/>
      <c r="Y11" s="17"/>
      <c r="Z11" s="17"/>
    </row>
    <row r="12" spans="1:26" ht="15" customHeight="1" x14ac:dyDescent="0.3">
      <c r="A12" s="17"/>
      <c r="B12" s="463"/>
      <c r="C12" s="464"/>
      <c r="D12" s="464"/>
      <c r="E12" s="464"/>
      <c r="F12" s="465"/>
      <c r="G12" s="464"/>
      <c r="H12" s="464"/>
      <c r="I12" s="464"/>
      <c r="J12" s="464"/>
      <c r="K12" s="464"/>
      <c r="L12" s="464"/>
      <c r="M12" s="464"/>
      <c r="N12" s="464"/>
      <c r="O12" s="464"/>
      <c r="P12" s="466"/>
      <c r="Q12" s="17"/>
      <c r="R12" s="17"/>
      <c r="S12" s="17"/>
      <c r="T12" s="17"/>
      <c r="U12" s="17"/>
      <c r="V12" s="17"/>
      <c r="W12" s="17"/>
      <c r="X12" s="17"/>
      <c r="Y12" s="17"/>
      <c r="Z12" s="17"/>
    </row>
    <row r="13" spans="1:26" ht="15" customHeight="1" x14ac:dyDescent="0.3">
      <c r="A13" s="17"/>
      <c r="B13" s="465" t="s">
        <v>200</v>
      </c>
      <c r="C13" s="467">
        <f>Fcsts!C8/Fcsts!C6</f>
        <v>0.49799999999999994</v>
      </c>
      <c r="D13" s="467">
        <f>Fcsts!D8/Fcsts!D6</f>
        <v>0.498</v>
      </c>
      <c r="E13" s="467">
        <f>Fcsts!E8/Fcsts!E6</f>
        <v>0.496</v>
      </c>
      <c r="F13" s="468">
        <f>'Financials DF'!C65/100</f>
        <v>0.48770000000000002</v>
      </c>
      <c r="G13" s="467">
        <f>'Financials DF'!D65/100</f>
        <v>0.49299999999999999</v>
      </c>
      <c r="H13" s="467">
        <f>'Financials DF'!E65/100</f>
        <v>0.47939999999999999</v>
      </c>
      <c r="I13" s="467">
        <f>'Financials DF'!F65/100</f>
        <v>0.50659999999999994</v>
      </c>
      <c r="J13" s="467">
        <f>'Financials DF'!G65/100</f>
        <v>0.49969999999999998</v>
      </c>
      <c r="K13" s="467">
        <f>'Financials DF'!H65/100</f>
        <v>0.49459999999999998</v>
      </c>
      <c r="L13" s="467">
        <f>'Financials DF'!I65/100</f>
        <v>0.43609999999999999</v>
      </c>
      <c r="M13" s="467">
        <f>'Financials DF'!J65/100</f>
        <v>0.43790000000000001</v>
      </c>
      <c r="N13" s="467">
        <f>'Financials DF'!K65/100</f>
        <v>0.42649999999999999</v>
      </c>
      <c r="O13" s="467">
        <f>'Financials DF'!L65/100</f>
        <v>0.43149999999999999</v>
      </c>
      <c r="P13" s="469">
        <f>'Financials DF'!M65/100</f>
        <v>0.42130000000000001</v>
      </c>
      <c r="Q13" s="17"/>
      <c r="R13" s="17"/>
      <c r="S13" s="17"/>
      <c r="T13" s="17"/>
      <c r="U13" s="17"/>
      <c r="V13" s="17"/>
      <c r="W13" s="17"/>
      <c r="X13" s="17"/>
      <c r="Y13" s="17"/>
      <c r="Z13" s="17"/>
    </row>
    <row r="14" spans="1:26" ht="15" customHeight="1" x14ac:dyDescent="0.3">
      <c r="A14" s="17"/>
      <c r="B14" s="465" t="s">
        <v>201</v>
      </c>
      <c r="C14" s="467">
        <f>Fcsts!C11/Fcsts!C6</f>
        <v>0.12487985177308156</v>
      </c>
      <c r="D14" s="467">
        <f>Fcsts!D11/Fcsts!D6</f>
        <v>0.12552373186805973</v>
      </c>
      <c r="E14" s="467">
        <f>Fcsts!E11/Fcsts!E6</f>
        <v>0.11878375818919429</v>
      </c>
      <c r="F14" s="468">
        <f>'Financials DF'!C66/100</f>
        <v>0.10550000000000001</v>
      </c>
      <c r="G14" s="467">
        <f>'Financials DF'!D66/100</f>
        <v>9.7899999999999987E-2</v>
      </c>
      <c r="H14" s="467">
        <f>'Financials DF'!E66/100</f>
        <v>8.3199999999999996E-2</v>
      </c>
      <c r="I14" s="467">
        <f>'Financials DF'!F66/100</f>
        <v>0.1686</v>
      </c>
      <c r="J14" s="467">
        <f>'Financials DF'!G66/100</f>
        <v>9.3699999999999992E-2</v>
      </c>
      <c r="K14" s="467">
        <f>'Financials DF'!H66/100</f>
        <v>0.18489999999999998</v>
      </c>
      <c r="L14" s="467">
        <f>'Financials DF'!I66/100</f>
        <v>0.10970000000000001</v>
      </c>
      <c r="M14" s="467">
        <f>'Financials DF'!J66/100</f>
        <v>0.1106</v>
      </c>
      <c r="N14" s="467">
        <f>'Financials DF'!K66/100</f>
        <v>0.1024</v>
      </c>
      <c r="O14" s="467">
        <f>'Financials DF'!L66/100</f>
        <v>0.22839999999999999</v>
      </c>
      <c r="P14" s="469">
        <f>'Financials DF'!M66/100</f>
        <v>-0.27649999999999997</v>
      </c>
      <c r="Q14" s="17"/>
      <c r="R14" s="17"/>
      <c r="S14" s="17"/>
      <c r="T14" s="17"/>
      <c r="U14" s="17"/>
      <c r="V14" s="17"/>
      <c r="W14" s="17"/>
      <c r="X14" s="17"/>
      <c r="Y14" s="17"/>
      <c r="Z14" s="17"/>
    </row>
    <row r="15" spans="1:26" ht="15" customHeight="1" x14ac:dyDescent="0.3">
      <c r="A15" s="17"/>
      <c r="B15" s="465" t="s">
        <v>63</v>
      </c>
      <c r="C15" s="467">
        <f>Fcsts!C20/Fcsts!C6</f>
        <v>6.4064820968852992E-2</v>
      </c>
      <c r="D15" s="467">
        <f>Fcsts!D20/Fcsts!D6</f>
        <v>6.340651363290313E-2</v>
      </c>
      <c r="E15" s="467">
        <f>Fcsts!E20/Fcsts!E6</f>
        <v>5.7065377360633475E-2</v>
      </c>
      <c r="F15" s="468">
        <f>'Financials DF'!C67/100</f>
        <v>4.6799999999999994E-2</v>
      </c>
      <c r="G15" s="467">
        <f>'Financials DF'!D67/100</f>
        <v>3.6299999999999999E-2</v>
      </c>
      <c r="H15" s="467">
        <f>'Financials DF'!E67/100</f>
        <v>2.3700000000000002E-2</v>
      </c>
      <c r="I15" s="467">
        <f>'Financials DF'!F67/100</f>
        <v>0.1133</v>
      </c>
      <c r="J15" s="467">
        <f>'Financials DF'!G67/100</f>
        <v>0.23850000000000002</v>
      </c>
      <c r="K15" s="467">
        <f>'Financials DF'!H67/100</f>
        <v>-2.58E-2</v>
      </c>
      <c r="L15" s="467">
        <f>'Financials DF'!I67/100</f>
        <v>4.5499999999999999E-2</v>
      </c>
      <c r="M15" s="467">
        <f>'Financials DF'!J67/100</f>
        <v>7.2999999999999995E-2</v>
      </c>
      <c r="N15" s="467">
        <f>'Financials DF'!K67/100</f>
        <v>6.7699999999999996E-2</v>
      </c>
      <c r="O15" s="467">
        <f>'Financials DF'!L67/100</f>
        <v>0.18590000000000001</v>
      </c>
      <c r="P15" s="469">
        <f>'Financials DF'!M67/100</f>
        <v>-0.16639999999999999</v>
      </c>
      <c r="Q15" s="17"/>
      <c r="R15" s="17"/>
      <c r="S15" s="17"/>
      <c r="T15" s="17"/>
      <c r="U15" s="17"/>
      <c r="V15" s="17"/>
      <c r="W15" s="17"/>
      <c r="X15" s="17"/>
      <c r="Y15" s="17"/>
      <c r="Z15" s="17"/>
    </row>
    <row r="16" spans="1:26" ht="15" customHeight="1" x14ac:dyDescent="0.3">
      <c r="A16" s="17"/>
      <c r="B16" s="465" t="s">
        <v>685</v>
      </c>
      <c r="C16" s="467">
        <f>Fcsts!C39/Fcsts!D39-1</f>
        <v>0.10935600752511765</v>
      </c>
      <c r="D16" s="467">
        <f>Fcsts!D39/Fcsts!E39-1</f>
        <v>0.33109408469535673</v>
      </c>
      <c r="E16" s="467">
        <f>Fcsts!E39/Fcsts!F39-1</f>
        <v>8.0120991078531656E-2</v>
      </c>
      <c r="F16" s="468" t="e">
        <f>'Financials DF'!C69/'Financials DF'!D69-1</f>
        <v>#VALUE!</v>
      </c>
      <c r="G16" s="467" t="e">
        <f>'Financials DF'!D69/'Financials DF'!E69-1</f>
        <v>#VALUE!</v>
      </c>
      <c r="H16" s="467" t="e">
        <f>'Financials DF'!E69/'Financials DF'!F69-1</f>
        <v>#VALUE!</v>
      </c>
      <c r="I16" s="467">
        <f>'Financials DF'!F69/'Financials DF'!G69-1</f>
        <v>6.7307692307692291E-2</v>
      </c>
      <c r="J16" s="467">
        <f>'Financials DF'!G69/'Financials DF'!H69-1</f>
        <v>9.473684210526323E-2</v>
      </c>
      <c r="K16" s="467">
        <f>'Financials DF'!H69/'Financials DF'!I69-1</f>
        <v>0</v>
      </c>
      <c r="L16" s="467">
        <f>'Financials DF'!I69/'Financials DF'!J69-1</f>
        <v>3.2608695652173836E-2</v>
      </c>
      <c r="M16" s="467">
        <f>'Financials DF'!J69/'Financials DF'!K69-1</f>
        <v>0.14999999999999991</v>
      </c>
      <c r="N16" s="467">
        <f>'Financials DF'!K69/'Financials DF'!L69-1</f>
        <v>0.18518518518518512</v>
      </c>
      <c r="O16" s="467">
        <f>'Financials DF'!L69/'Financials DF'!M69-1</f>
        <v>0.20535714285714279</v>
      </c>
      <c r="P16" s="469"/>
      <c r="Q16" s="17"/>
      <c r="R16" s="17"/>
      <c r="S16" s="17"/>
      <c r="T16" s="17"/>
      <c r="U16" s="17"/>
      <c r="V16" s="17"/>
      <c r="W16" s="17"/>
      <c r="X16" s="17"/>
      <c r="Y16" s="17"/>
      <c r="Z16" s="17"/>
    </row>
    <row r="17" spans="1:26" ht="15" customHeight="1" x14ac:dyDescent="0.3">
      <c r="A17" s="17"/>
      <c r="B17" s="465" t="s">
        <v>684</v>
      </c>
      <c r="C17" s="470">
        <f>Fcsts!C11/Fcsts!C12</f>
        <v>4.0721407834817569</v>
      </c>
      <c r="D17" s="470">
        <f>Fcsts!D11/Fcsts!D12</f>
        <v>3.8887289151253661</v>
      </c>
      <c r="E17" s="470">
        <f>Fcsts!E11/Fcsts!E12</f>
        <v>3.407052161124251</v>
      </c>
      <c r="F17" s="471">
        <f>'Financials DF'!C40/'Financials DF'!C41</f>
        <v>2.7593712212817412</v>
      </c>
      <c r="G17" s="470">
        <f>'Financials DF'!D40/'Financials DF'!D41</f>
        <v>2.4597156398104265</v>
      </c>
      <c r="H17" s="470">
        <f>'Financials DF'!E40/'Financials DF'!E41</f>
        <v>1.6006128702757916</v>
      </c>
      <c r="I17" s="470">
        <f>'Financials DF'!F40/'Financials DF'!F41</f>
        <v>6.0465116279069768</v>
      </c>
      <c r="J17" s="470">
        <f>'Financials DF'!G40/'Financials DF'!G41</f>
        <v>3.5437956204379564</v>
      </c>
      <c r="K17" s="470">
        <f>'Financials DF'!H40/'Financials DF'!H41</f>
        <v>7.8533333333333335</v>
      </c>
      <c r="L17" s="470">
        <f>'Financials DF'!I40/'Financials DF'!I41</f>
        <v>6.1179941002949851</v>
      </c>
      <c r="M17" s="470">
        <f>'Financials DF'!J40/'Financials DF'!J41</f>
        <v>6.2237061769616027</v>
      </c>
      <c r="N17" s="470">
        <f>'Financials DF'!K40/'Financials DF'!K41</f>
        <v>5.7677304964539005</v>
      </c>
      <c r="O17" s="470">
        <f>'Financials DF'!L40/'Financials DF'!L41</f>
        <v>8.2944297082228111</v>
      </c>
      <c r="P17" s="472">
        <f>'Financials DF'!M40/'Financials DF'!M41</f>
        <v>-3.4927245358755643</v>
      </c>
      <c r="Q17" s="17"/>
      <c r="R17" s="17"/>
      <c r="S17" s="17"/>
      <c r="T17" s="17"/>
      <c r="U17" s="17"/>
      <c r="V17" s="17"/>
      <c r="W17" s="17"/>
      <c r="X17" s="17"/>
      <c r="Y17" s="17"/>
      <c r="Z17" s="17"/>
    </row>
    <row r="18" spans="1:26" ht="15" customHeight="1" x14ac:dyDescent="0.3">
      <c r="A18" s="17"/>
      <c r="B18" s="465" t="s">
        <v>749</v>
      </c>
      <c r="C18" s="470">
        <f>(C13/D13-1)/(Fcsts!C91/Fcsts!D91-1)</f>
        <v>-7.2351782122674257E-15</v>
      </c>
      <c r="D18" s="470">
        <f>(D13/E13-1)/(Fcsts!D91/Fcsts!E91-1)</f>
        <v>0.57597513495538932</v>
      </c>
      <c r="E18" s="470">
        <f>(E13/F13-1)/(Fcsts!E91/Fcsts!F91-1)</f>
        <v>0.38530705760516415</v>
      </c>
      <c r="F18" s="471">
        <f>(F13/G13-1)/('Financials DF'!C104/'Financials DF'!D104-1)</f>
        <v>-0.42440484190062711</v>
      </c>
      <c r="G18" s="470">
        <f>(G13/H13-1)/('Financials DF'!D104/'Financials DF'!E104-1)</f>
        <v>-2.2786377708978418</v>
      </c>
      <c r="H18" s="470">
        <f>(H13/I13-1)/('Financials DF'!E104/'Financials DF'!F104-1)</f>
        <v>-0.2538747312250208</v>
      </c>
      <c r="I18" s="470">
        <f>(I13/J13-1)/('Financials DF'!F104/'Financials DF'!G104-1)</f>
        <v>0.32725794646337469</v>
      </c>
      <c r="J18" s="470">
        <f>(J13/K13-1)/('Financials DF'!G104/'Financials DF'!H104-1)</f>
        <v>-3.8322716645963158E-2</v>
      </c>
      <c r="K18" s="470">
        <f>(K13/L13-1)/('Financials DF'!H104/'Financials DF'!I104-1)</f>
        <v>-1.6147259316638092</v>
      </c>
      <c r="L18" s="470">
        <f>(L13/M13-1)/('Financials DF'!I104/'Financials DF'!J104-1)</f>
        <v>0.12950820230884935</v>
      </c>
      <c r="M18" s="470">
        <f>(M13/N13-1)/('Financials DF'!J104/'Financials DF'!K104-1)</f>
        <v>0.14435492184328555</v>
      </c>
      <c r="N18" s="470">
        <f>(N13/O13-1)/('Financials DF'!K104/'Financials DF'!L104-1)</f>
        <v>-9.4834945052056474E-2</v>
      </c>
      <c r="O18" s="470">
        <f>(O13/P13-1)/('Financials DF'!L104/'Financials DF'!M104-1)</f>
        <v>-5.244679845917255E-2</v>
      </c>
      <c r="P18" s="472"/>
      <c r="Q18" s="17"/>
      <c r="R18" s="17"/>
      <c r="S18" s="17"/>
      <c r="T18" s="17"/>
      <c r="U18" s="17"/>
      <c r="V18" s="17"/>
      <c r="W18" s="17"/>
      <c r="X18" s="17"/>
      <c r="Y18" s="17"/>
      <c r="Z18" s="17"/>
    </row>
    <row r="19" spans="1:26" ht="15" customHeight="1" x14ac:dyDescent="0.3">
      <c r="A19" s="17"/>
      <c r="B19" s="465" t="s">
        <v>736</v>
      </c>
      <c r="C19" s="467">
        <f>Fcsts!C34/Fcsts!C8</f>
        <v>0.35403993799410166</v>
      </c>
      <c r="D19" s="467">
        <f>Fcsts!D34/Fcsts!D8</f>
        <v>0.35582512458592264</v>
      </c>
      <c r="E19" s="467">
        <f>Fcsts!E34/Fcsts!E8</f>
        <v>0.34463133607960572</v>
      </c>
      <c r="F19" s="468">
        <f>'Financials DF'!C64/'Financials DF'!C37</f>
        <v>0.33030044545540704</v>
      </c>
      <c r="G19" s="467">
        <f>'Financials DF'!D64/'Financials DF'!D37</f>
        <v>0.310371220818982</v>
      </c>
      <c r="H19" s="467">
        <f>'Financials DF'!E64/'Financials DF'!E37</f>
        <v>0.30244658474482455</v>
      </c>
      <c r="I19" s="467">
        <f>'Financials DF'!F64/'Financials DF'!F37</f>
        <v>0.40124359912216534</v>
      </c>
      <c r="J19" s="467">
        <f>'Financials DF'!G64/'Financials DF'!G37</f>
        <v>0.28049840625905537</v>
      </c>
      <c r="K19" s="467">
        <f>'Financials DF'!H64/'Financials DF'!H37</f>
        <v>0.51126626467788006</v>
      </c>
      <c r="L19" s="467">
        <f>'Financials DF'!I64/'Financials DF'!I37</f>
        <v>0.33602280999757339</v>
      </c>
      <c r="M19" s="467">
        <f>'Financials DF'!J64/'Financials DF'!J37</f>
        <v>0.33739754792386373</v>
      </c>
      <c r="N19" s="467">
        <f>'Financials DF'!K64/'Financials DF'!K37</f>
        <v>0.32487459427559751</v>
      </c>
      <c r="O19" s="467">
        <f>'Financials DF'!L64/'Financials DF'!L37</f>
        <v>0.62155070255628919</v>
      </c>
      <c r="P19" s="469">
        <f>'Financials DF'!M64/'Financials DF'!M37</f>
        <v>-0.52936739888752715</v>
      </c>
      <c r="Q19" s="17"/>
      <c r="R19" s="17"/>
      <c r="S19" s="17"/>
      <c r="T19" s="17"/>
      <c r="U19" s="17"/>
      <c r="V19" s="17"/>
      <c r="W19" s="17"/>
      <c r="X19" s="17"/>
      <c r="Y19" s="17"/>
      <c r="Z19" s="17"/>
    </row>
    <row r="20" spans="1:26" ht="15" customHeight="1" x14ac:dyDescent="0.3">
      <c r="A20" s="17"/>
      <c r="B20" s="465" t="s">
        <v>581</v>
      </c>
      <c r="C20" s="467">
        <f>Fcsts!C104/Fcsts!C34</f>
        <v>0.29171054546789987</v>
      </c>
      <c r="D20" s="467">
        <f>Fcsts!D104/Fcsts!D34</f>
        <v>0.29163044128666454</v>
      </c>
      <c r="E20" s="467">
        <f>Fcsts!E104/Fcsts!E34</f>
        <v>0.30510270432681008</v>
      </c>
      <c r="F20" s="468">
        <f>'Financials DF'!C164/'Financials DF'!C64</f>
        <v>0.34519368723098998</v>
      </c>
      <c r="G20" s="467">
        <f>'Financials DF'!D164/'Financials DF'!D64</f>
        <v>0.36004932182490751</v>
      </c>
      <c r="H20" s="467">
        <f>'Financials DF'!E164/'Financials DF'!E64</f>
        <v>0.42642752562225478</v>
      </c>
      <c r="I20" s="467">
        <f>'Financials DF'!F164/'Financials DF'!F64</f>
        <v>0.17046490428441202</v>
      </c>
      <c r="J20" s="467">
        <f>'Financials DF'!G164/'Financials DF'!G64</f>
        <v>0.33126721763085398</v>
      </c>
      <c r="K20" s="467">
        <f>'Financials DF'!H164/'Financials DF'!H64</f>
        <v>0.26877715704531346</v>
      </c>
      <c r="L20" s="467">
        <f>'Financials DF'!I164/'Financials DF'!I64</f>
        <v>0.25112836252031051</v>
      </c>
      <c r="M20" s="467">
        <f>'Financials DF'!J164/'Financials DF'!J64</f>
        <v>0.25155591246737602</v>
      </c>
      <c r="N20" s="467">
        <f>'Financials DF'!K164/'Financials DF'!K64</f>
        <v>0.26135331516802907</v>
      </c>
      <c r="O20" s="467">
        <f>'Financials DF'!L164/'Financials DF'!L64</f>
        <v>0.14830450769440284</v>
      </c>
      <c r="P20" s="469">
        <f>'Financials DF'!M164/'Financials DF'!M64</f>
        <v>-0.23971504897595725</v>
      </c>
      <c r="Q20" s="17"/>
      <c r="R20" s="17"/>
      <c r="S20" s="17"/>
      <c r="T20" s="17"/>
      <c r="U20" s="17"/>
      <c r="V20" s="17"/>
      <c r="W20" s="17"/>
      <c r="X20" s="17"/>
      <c r="Y20" s="17"/>
      <c r="Z20" s="17"/>
    </row>
    <row r="21" spans="1:26" ht="15" customHeight="1" x14ac:dyDescent="0.3">
      <c r="A21" s="17"/>
      <c r="B21" s="465" t="s">
        <v>727</v>
      </c>
      <c r="C21" s="467">
        <f>Fcsts!C10/Fcsts!C6</f>
        <v>0.39312014822691838</v>
      </c>
      <c r="D21" s="467">
        <f>Fcsts!D10/Fcsts!D6</f>
        <v>0.39247626813194031</v>
      </c>
      <c r="E21" s="467">
        <f>Fcsts!E10/Fcsts!E6</f>
        <v>0.39721624181080567</v>
      </c>
      <c r="F21" s="468">
        <f>'Financials DF'!C39/'Financials DF'!C35</f>
        <v>0.40229247550378999</v>
      </c>
      <c r="G21" s="467">
        <f>'Financials DF'!D39/'Financials DF'!D35</f>
        <v>0.41066037735849059</v>
      </c>
      <c r="H21" s="467">
        <f>'Financials DF'!E39/'Financials DF'!E35</f>
        <v>0.41670646924587379</v>
      </c>
      <c r="I21" s="467">
        <f>'Financials DF'!F39/'Financials DF'!F35</f>
        <v>0.35860855065079439</v>
      </c>
      <c r="J21" s="467">
        <f>'Financials DF'!G39/'Financials DF'!G35</f>
        <v>0.43066080996283246</v>
      </c>
      <c r="K21" s="467">
        <f>'Financials DF'!H39/'Financials DF'!H35</f>
        <v>0.3337344354923093</v>
      </c>
      <c r="L21" s="467">
        <f>'Financials DF'!I39/'Financials DF'!I35</f>
        <v>0.33847497089639117</v>
      </c>
      <c r="M21" s="467">
        <f>'Financials DF'!J39/'Financials DF'!J35</f>
        <v>0.34211385007860934</v>
      </c>
      <c r="N21" s="467">
        <f>'Financials DF'!K39/'Financials DF'!K35</f>
        <v>0.33517918384041784</v>
      </c>
      <c r="O21" s="467">
        <f>'Financials DF'!L39/'Financials DF'!L35</f>
        <v>0.21422832517712365</v>
      </c>
      <c r="P21" s="469">
        <f>'Financials DF'!M39/'Financials DF'!M35</f>
        <v>0.70930324938428535</v>
      </c>
      <c r="Q21" s="17"/>
      <c r="R21" s="17"/>
      <c r="S21" s="17"/>
      <c r="T21" s="17"/>
      <c r="U21" s="17"/>
      <c r="V21" s="17"/>
      <c r="W21" s="17"/>
      <c r="X21" s="17"/>
      <c r="Y21" s="17"/>
      <c r="Z21" s="17"/>
    </row>
    <row r="22" spans="1:26" ht="15" customHeight="1" x14ac:dyDescent="0.3">
      <c r="A22" s="17"/>
      <c r="B22" s="473" t="s">
        <v>708</v>
      </c>
      <c r="C22" s="474">
        <f>Fcsts!C10/Fcsts!C79</f>
        <v>15.724805929076734</v>
      </c>
      <c r="D22" s="474">
        <f>Fcsts!D10/Fcsts!D79</f>
        <v>15.69905072527761</v>
      </c>
      <c r="E22" s="474">
        <f>Fcsts!E10/Fcsts!E79</f>
        <v>15.888649672432228</v>
      </c>
      <c r="F22" s="475">
        <f>'Financials DF'!C39/'Financials DF'!C95</f>
        <v>15.487544483985765</v>
      </c>
      <c r="G22" s="474">
        <f>'Financials DF'!D39/'Financials DF'!D95</f>
        <v>13.603125</v>
      </c>
      <c r="H22" s="474">
        <f>'Financials DF'!E39/'Financials DF'!E95</f>
        <v>6.5107794361525704</v>
      </c>
      <c r="I22" s="474">
        <f>'Financials DF'!F39/'Financials DF'!F95</f>
        <v>13.726950354609929</v>
      </c>
      <c r="J22" s="474">
        <f>'Financials DF'!G39/'Financials DF'!G95</f>
        <v>15.147707979626485</v>
      </c>
      <c r="K22" s="474">
        <f>'Financials DF'!H39/'Financials DF'!H95</f>
        <v>6.4827235772357721</v>
      </c>
      <c r="L22" s="474">
        <f>'Financials DF'!I39/'Financials DF'!I95</f>
        <v>12.554465161923455</v>
      </c>
      <c r="M22" s="474">
        <f>'Financials DF'!J39/'Financials DF'!J95</f>
        <v>10.418247515808492</v>
      </c>
      <c r="N22" s="474">
        <f>'Financials DF'!K39/'Financials DF'!K95</f>
        <v>10.793313069908814</v>
      </c>
      <c r="O22" s="474">
        <f>'Financials DF'!L39/'Financials DF'!L95</f>
        <v>6.432017543859649</v>
      </c>
      <c r="P22" s="476">
        <f>'Financials DF'!M39/'Financials DF'!M95</f>
        <v>21.855569155446755</v>
      </c>
      <c r="Q22" s="17"/>
      <c r="R22" s="17"/>
      <c r="S22" s="17"/>
      <c r="T22" s="17"/>
      <c r="U22" s="17"/>
      <c r="V22" s="17"/>
      <c r="W22" s="17"/>
      <c r="X22" s="17"/>
      <c r="Y22" s="17"/>
      <c r="Z22" s="17"/>
    </row>
    <row r="23" spans="1:26" ht="15" customHeight="1" x14ac:dyDescent="0.3">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spans="1:26" ht="15" customHeight="1" x14ac:dyDescent="0.3">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row>
    <row r="25" spans="1:26" ht="15" customHeight="1" x14ac:dyDescent="0.3">
      <c r="A25" s="17"/>
      <c r="B25" s="477" t="s">
        <v>696</v>
      </c>
      <c r="C25" s="478"/>
      <c r="D25" s="478"/>
      <c r="E25" s="478"/>
      <c r="F25" s="479"/>
      <c r="G25" s="478"/>
      <c r="H25" s="478"/>
      <c r="I25" s="478"/>
      <c r="J25" s="478"/>
      <c r="K25" s="478"/>
      <c r="L25" s="478"/>
      <c r="M25" s="478"/>
      <c r="N25" s="478"/>
      <c r="O25" s="478"/>
      <c r="P25" s="480"/>
      <c r="Q25" s="17"/>
      <c r="R25" s="17"/>
      <c r="S25" s="17"/>
      <c r="T25" s="17"/>
      <c r="U25" s="17"/>
      <c r="V25" s="17"/>
      <c r="W25" s="17"/>
      <c r="X25" s="17"/>
      <c r="Y25" s="17"/>
      <c r="Z25" s="17"/>
    </row>
    <row r="26" spans="1:26" ht="15" customHeight="1" x14ac:dyDescent="0.3">
      <c r="A26" s="17"/>
      <c r="B26" s="481" t="s">
        <v>66</v>
      </c>
      <c r="C26" s="484">
        <f>Fcsts!C25/AVERAGE(Fcsts!C53:D53)</f>
        <v>0.15656555046806728</v>
      </c>
      <c r="D26" s="484">
        <f>Fcsts!D25/AVERAGE(Fcsts!D53:E53)</f>
        <v>0.14708814773688084</v>
      </c>
      <c r="E26" s="484">
        <f>Fcsts!E25/AVERAGE(Fcsts!E53:F53)</f>
        <v>0.12555704207142485</v>
      </c>
      <c r="F26" s="483">
        <f>'Financials DF'!C206/100</f>
        <v>9.6600000000000005E-2</v>
      </c>
      <c r="G26" s="484">
        <f>'Financials DF'!D206/100</f>
        <v>7.6600000000000001E-2</v>
      </c>
      <c r="H26" s="484">
        <f>'Financials DF'!E206/100</f>
        <v>4.2000000000000003E-2</v>
      </c>
      <c r="I26" s="484">
        <f>'Financials DF'!F206/100</f>
        <v>0.24850000000000003</v>
      </c>
      <c r="J26" s="484">
        <f>'Financials DF'!G206/100</f>
        <v>0.54270000000000007</v>
      </c>
      <c r="K26" s="484">
        <f>'Financials DF'!H206/100</f>
        <v>-5.9500000000000004E-2</v>
      </c>
      <c r="L26" s="484">
        <f>'Financials DF'!I206/100</f>
        <v>0.16269999999999998</v>
      </c>
      <c r="M26" s="484">
        <f>'Financials DF'!J206/100</f>
        <v>0.2545</v>
      </c>
      <c r="N26" s="484">
        <f>'Financials DF'!K206/100</f>
        <v>0.2666</v>
      </c>
      <c r="O26" s="484">
        <f>'Financials DF'!L206/100</f>
        <v>1.236</v>
      </c>
      <c r="P26" s="485">
        <f>'Financials DF'!M206/100</f>
        <v>-1.3756999999999999</v>
      </c>
      <c r="Q26" s="17"/>
      <c r="R26" s="17"/>
      <c r="S26" s="17"/>
      <c r="T26" s="17"/>
      <c r="U26" s="17"/>
      <c r="V26" s="17"/>
      <c r="W26" s="17"/>
      <c r="X26" s="17"/>
      <c r="Y26" s="17"/>
      <c r="Z26" s="17"/>
    </row>
    <row r="27" spans="1:26" ht="15" customHeight="1" x14ac:dyDescent="0.3">
      <c r="A27" s="17"/>
      <c r="B27" s="481" t="s">
        <v>686</v>
      </c>
      <c r="C27" s="484">
        <f>Fcsts!C25/AVERAGE(Fcsts!C91:D91)</f>
        <v>6.2674457080595436E-2</v>
      </c>
      <c r="D27" s="484">
        <f>Fcsts!D25/AVERAGE(Fcsts!D91:E91)</f>
        <v>5.9271032269046772E-2</v>
      </c>
      <c r="E27" s="484">
        <f>Fcsts!E25/AVERAGE(Fcsts!E91:F91)</f>
        <v>5.1461206429013549E-2</v>
      </c>
      <c r="F27" s="483">
        <f>'Financials DF'!C55/AVERAGE('Financials DF'!C104:D104)</f>
        <v>3.7501686226898694E-2</v>
      </c>
      <c r="G27" s="484">
        <f>'Financials DF'!D55/AVERAGE('Financials DF'!D104:E104)</f>
        <v>3.7548337050324836E-2</v>
      </c>
      <c r="H27" s="484">
        <f>'Financials DF'!E55/AVERAGE('Financials DF'!E104:F104)</f>
        <v>1.4982579868662766E-2</v>
      </c>
      <c r="I27" s="484">
        <f>'Financials DF'!F55/AVERAGE('Financials DF'!F104:G104)</f>
        <v>0.11619760264995353</v>
      </c>
      <c r="J27" s="484">
        <f>'Financials DF'!G55/AVERAGE('Financials DF'!G104:H104)</f>
        <v>5.3842992190711057E-2</v>
      </c>
      <c r="K27" s="484">
        <f>'Financials DF'!H55/AVERAGE('Financials DF'!H104:I104)</f>
        <v>0.24706062513824845</v>
      </c>
      <c r="L27" s="484">
        <f>'Financials DF'!I55/AVERAGE('Financials DF'!I104:J104)</f>
        <v>8.6517016189849652E-2</v>
      </c>
      <c r="M27" s="484">
        <f>'Financials DF'!J55/AVERAGE('Financials DF'!J104:K104)</f>
        <v>8.6134530069714457E-2</v>
      </c>
      <c r="N27" s="484">
        <f>'Financials DF'!K55/AVERAGE('Financials DF'!K104:L104)</f>
        <v>8.9338743196437406E-2</v>
      </c>
      <c r="O27" s="484">
        <f>'Financials DF'!L55/AVERAGE('Financials DF'!L104:M104)</f>
        <v>5.3744524474496541E-2</v>
      </c>
      <c r="P27" s="485">
        <f>'Financials DF'!M55/AVERAGE('Financials DF'!M104:U104)</f>
        <v>0.13821174980778797</v>
      </c>
      <c r="Q27" s="17"/>
      <c r="R27" s="17"/>
      <c r="S27" s="17"/>
      <c r="T27" s="17"/>
      <c r="U27" s="17"/>
      <c r="V27" s="17"/>
      <c r="W27" s="17"/>
      <c r="X27" s="17"/>
      <c r="Y27" s="17"/>
      <c r="Z27" s="17"/>
    </row>
    <row r="28" spans="1:26" ht="15" customHeight="1" x14ac:dyDescent="0.3">
      <c r="A28" s="17"/>
      <c r="B28" s="481" t="s">
        <v>726</v>
      </c>
      <c r="C28" s="484">
        <f>Fcsts!C20/(Fcsts!C72+Fcsts!C86-Fcsts!C85)</f>
        <v>7.8832382492529607E-2</v>
      </c>
      <c r="D28" s="484">
        <f>Fcsts!D20/(Fcsts!D72+Fcsts!D86-Fcsts!D85)</f>
        <v>7.4503975678887197E-2</v>
      </c>
      <c r="E28" s="484">
        <f>Fcsts!E20/(Fcsts!E72+Fcsts!E86-Fcsts!E85)</f>
        <v>6.3767821343623673E-2</v>
      </c>
      <c r="F28" s="483">
        <f>'Financials DF'!C50/('Financials DF'!C101+'Financials DF'!C97-'Financials DF'!C92)</f>
        <v>4.7832656530361693E-2</v>
      </c>
      <c r="G28" s="484">
        <f>'Financials DF'!D50/('Financials DF'!D101+'Financials DF'!D97-'Financials DF'!D92)</f>
        <v>3.7232497337077564E-2</v>
      </c>
      <c r="H28" s="484">
        <f>'Financials DF'!E50/('Financials DF'!E101+'Financials DF'!E97-'Financials DF'!E92)</f>
        <v>2.121788772597526E-2</v>
      </c>
      <c r="I28" s="484">
        <f>'Financials DF'!F50/('Financials DF'!F101+'Financials DF'!F97-'Financials DF'!F92)</f>
        <v>0.14981938406906264</v>
      </c>
      <c r="J28" s="484">
        <f>'Financials DF'!G50/('Financials DF'!G101+'Financials DF'!G97-'Financials DF'!G92)</f>
        <v>0.30923317683881063</v>
      </c>
      <c r="K28" s="484">
        <f>'Financials DF'!H50/('Financials DF'!H101+'Financials DF'!H97-'Financials DF'!H92)</f>
        <v>-2.5235462735462736E-2</v>
      </c>
      <c r="L28" s="484">
        <f>'Financials DF'!I50/('Financials DF'!I101+'Financials DF'!I97-'Financials DF'!I92)</f>
        <v>8.3910963584887241E-2</v>
      </c>
      <c r="M28" s="484">
        <f>'Financials DF'!J50/('Financials DF'!J101+'Financials DF'!J97-'Financials DF'!J92)</f>
        <v>0.12293321344722513</v>
      </c>
      <c r="N28" s="484">
        <f>'Financials DF'!K50/('Financials DF'!K101+'Financials DF'!K97-'Financials DF'!K92)</f>
        <v>0.12510168506682162</v>
      </c>
      <c r="O28" s="484">
        <f>'Financials DF'!L50/('Financials DF'!L101+'Financials DF'!L97-'Financials DF'!L92)</f>
        <v>0.33064882769370657</v>
      </c>
      <c r="P28" s="485">
        <f>'Financials DF'!M50/('Financials DF'!M101+'Financials DF'!M97-'Financials DF'!M92)</f>
        <v>-0.13079180716872738</v>
      </c>
      <c r="Q28" s="17"/>
      <c r="R28" s="17"/>
      <c r="S28" s="17"/>
      <c r="T28" s="17"/>
      <c r="U28" s="17"/>
      <c r="V28" s="17"/>
      <c r="W28" s="17"/>
      <c r="X28" s="17"/>
      <c r="Y28" s="17"/>
      <c r="Z28" s="17"/>
    </row>
    <row r="29" spans="1:26" ht="15" customHeight="1" x14ac:dyDescent="0.3">
      <c r="A29" s="17"/>
      <c r="B29" s="481" t="s">
        <v>99</v>
      </c>
      <c r="C29" s="484">
        <f>Fcsts!C11*(1-0.28)/(Fcsts!C53+Fcsts!C58)</f>
        <v>0.11542792244469104</v>
      </c>
      <c r="D29" s="484">
        <f>Fcsts!D11*(1-0.28)/(Fcsts!D53+Fcsts!D58)</f>
        <v>0.10988291478967988</v>
      </c>
      <c r="E29" s="484">
        <f>Fcsts!E11*(1-0.28)/(Fcsts!E53+Fcsts!E58)</f>
        <v>9.8093304136627979E-2</v>
      </c>
      <c r="F29" s="483">
        <f>'Financials DF'!C217/100</f>
        <v>8.6199999999999999E-2</v>
      </c>
      <c r="G29" s="484">
        <f>'Financials DF'!D217/100</f>
        <v>8.0100000000000005E-2</v>
      </c>
      <c r="H29" s="484">
        <f>'Financials DF'!E217/100</f>
        <v>6.7799999999999999E-2</v>
      </c>
      <c r="I29" s="484">
        <f>'Financials DF'!F217/100</f>
        <v>0.1802</v>
      </c>
      <c r="J29" s="484">
        <f>'Financials DF'!G217/100</f>
        <v>8.6199999999999999E-2</v>
      </c>
      <c r="K29" s="484">
        <f>'Financials DF'!H217/100</f>
        <v>0.1507</v>
      </c>
      <c r="L29" s="484">
        <f>'Financials DF'!I217/100</f>
        <v>0.12839999999999999</v>
      </c>
      <c r="M29" s="484">
        <f>'Financials DF'!J217/100</f>
        <v>0.15029999999999999</v>
      </c>
      <c r="N29" s="484">
        <f>'Financials DF'!K217/100</f>
        <v>0.153</v>
      </c>
      <c r="O29" s="484">
        <f>'Financials DF'!L217/100</f>
        <v>0.25559999999999999</v>
      </c>
      <c r="P29" s="485">
        <f>'Financials DF'!M217/100</f>
        <v>-0.17449999999999999</v>
      </c>
      <c r="Q29" s="17"/>
      <c r="R29" s="17"/>
      <c r="S29" s="17"/>
      <c r="T29" s="17"/>
      <c r="U29" s="17"/>
      <c r="V29" s="17"/>
      <c r="W29" s="17"/>
      <c r="X29" s="17"/>
      <c r="Y29" s="17"/>
      <c r="Z29" s="17"/>
    </row>
    <row r="30" spans="1:26" ht="15" customHeight="1" x14ac:dyDescent="0.3">
      <c r="A30" s="17"/>
      <c r="B30" s="481" t="s">
        <v>695</v>
      </c>
      <c r="C30" s="484">
        <f>Fcsts!C11/(Fcsts!C91-Fcsts!C64)</f>
        <v>0.16031473228197762</v>
      </c>
      <c r="D30" s="484">
        <f>Fcsts!D11/(Fcsts!D91-Fcsts!D64)</f>
        <v>0.15261171091081907</v>
      </c>
      <c r="E30" s="484">
        <f>Fcsts!E11/(Fcsts!E91-Fcsts!E64)</f>
        <v>0.13624157710593179</v>
      </c>
      <c r="F30" s="483">
        <f>'Financials DF'!C40/('Financials DF'!C104-'Financials DF'!C114)</f>
        <v>0.10872361713278383</v>
      </c>
      <c r="G30" s="484">
        <f>'Financials DF'!D40/('Financials DF'!D104-'Financials DF'!D114)</f>
        <v>0.10380519025951297</v>
      </c>
      <c r="H30" s="484">
        <f>'Financials DF'!E40/('Financials DF'!E104-'Financials DF'!E114)</f>
        <v>7.4879342476226879E-2</v>
      </c>
      <c r="I30" s="484">
        <f>'Financials DF'!F40/('Financials DF'!F104-'Financials DF'!F114)</f>
        <v>0.22582046032632297</v>
      </c>
      <c r="J30" s="484">
        <f>'Financials DF'!G40/('Financials DF'!G104-'Financials DF'!G114)</f>
        <v>0.11883490392852772</v>
      </c>
      <c r="K30" s="484">
        <f>'Financials DF'!H40/('Financials DF'!H104-'Financials DF'!H114)</f>
        <v>0.17305714705450273</v>
      </c>
      <c r="L30" s="484">
        <f>'Financials DF'!I40/('Financials DF'!I104-'Financials DF'!I114)</f>
        <v>0.17902460077686663</v>
      </c>
      <c r="M30" s="484">
        <f>'Financials DF'!J40/('Financials DF'!J104-'Financials DF'!J114)</f>
        <v>0.16272370144041903</v>
      </c>
      <c r="N30" s="484">
        <f>'Financials DF'!K40/('Financials DF'!K104-'Financials DF'!K114)</f>
        <v>0.17085084033613446</v>
      </c>
      <c r="O30" s="484">
        <f>'Financials DF'!L40/('Financials DF'!L104-'Financials DF'!L114)</f>
        <v>0.36280310940944427</v>
      </c>
      <c r="P30" s="485">
        <f>'Financials DF'!M40/('Financials DF'!M104-'Financials DF'!M114)</f>
        <v>-0.18664700361978817</v>
      </c>
      <c r="Q30" s="17"/>
      <c r="R30" s="17"/>
      <c r="S30" s="17"/>
      <c r="T30" s="17"/>
      <c r="U30" s="17"/>
      <c r="V30" s="17"/>
      <c r="W30" s="17"/>
      <c r="X30" s="17"/>
      <c r="Y30" s="17"/>
      <c r="Z30" s="17"/>
    </row>
    <row r="31" spans="1:26" ht="15" customHeight="1" x14ac:dyDescent="0.3">
      <c r="A31" s="17"/>
      <c r="B31" s="486" t="s">
        <v>718</v>
      </c>
      <c r="C31" s="489">
        <f>(Fcsts!C20/Fcsts!D20-1)/((Fcsts!C91/Fcsts!D91-1)-(Fcsts!C85/Fcsts!D85-1))</f>
        <v>-0.92061052582181169</v>
      </c>
      <c r="D31" s="489">
        <f>(Fcsts!D20/Fcsts!E20-1)/((Fcsts!D91/Fcsts!E91-1)-(Fcsts!D85/Fcsts!E85-1))</f>
        <v>7.3721087218676153</v>
      </c>
      <c r="E31" s="489">
        <f>(Fcsts!E20/Fcsts!F20-1)/((Fcsts!E91/Fcsts!F91-1)-(Fcsts!E85/Fcsts!F85-1))</f>
        <v>-0.90370794344993766</v>
      </c>
      <c r="F31" s="488">
        <f>('Financials DF'!C55/'Financials DF'!D55-1)/(('Financials DF'!C104/'Financials DF'!D104-1)-('Financials DF'!C92/'Financials DF'!D92-1))</f>
        <v>-1.2069540188431209</v>
      </c>
      <c r="G31" s="489">
        <f>('Financials DF'!D55/'Financials DF'!E55-1)/(('Financials DF'!D104/'Financials DF'!E104-1)-('Financials DF'!D92/'Financials DF'!E92-1))</f>
        <v>-104.21530912122221</v>
      </c>
      <c r="H31" s="489">
        <f>('Financials DF'!E55/'Financials DF'!F55-1)/(('Financials DF'!E104/'Financials DF'!F104-1)-('Financials DF'!E92/'Financials DF'!F92-1))</f>
        <v>-2.2828428036066666</v>
      </c>
      <c r="I31" s="489">
        <f>('Financials DF'!F55/'Financials DF'!G55-1)/(('Financials DF'!F104/'Financials DF'!G104-1)-('Financials DF'!F92/'Financials DF'!G92-1))</f>
        <v>-3.8941669158502865</v>
      </c>
      <c r="J31" s="489">
        <f>('Financials DF'!G55/'Financials DF'!H55-1)/(('Financials DF'!G104/'Financials DF'!H104-1)-('Financials DF'!G92/'Financials DF'!H92-1))</f>
        <v>-4.3305575482028109</v>
      </c>
      <c r="K31" s="489">
        <f>('Financials DF'!H55/'Financials DF'!I55-1)/(('Financials DF'!H104/'Financials DF'!I104-1)-('Financials DF'!H92/'Financials DF'!I92-1))</f>
        <v>-4.6847685576784937</v>
      </c>
      <c r="L31" s="489">
        <f>('Financials DF'!I55/'Financials DF'!J55-1)/(('Financials DF'!I104/'Financials DF'!J104-1)-('Financials DF'!I92/'Financials DF'!J92-1))</f>
        <v>0.37618179878439861</v>
      </c>
      <c r="M31" s="489">
        <f>('Financials DF'!J55/'Financials DF'!K55-1)/(('Financials DF'!J104/'Financials DF'!K104-1)-('Financials DF'!J92/'Financials DF'!K92-1))</f>
        <v>-0.37403133176180425</v>
      </c>
      <c r="N31" s="489">
        <f>('Financials DF'!K55/'Financials DF'!L55-1)/(('Financials DF'!K104/'Financials DF'!L104-1)-('Financials DF'!K92/'Financials DF'!L92-1))</f>
        <v>3.586748352987601</v>
      </c>
      <c r="O31" s="489">
        <f>('Financials DF'!L55/'Financials DF'!M55-1)/(('Financials DF'!L104/'Financials DF'!M104-1)-('Financials DF'!L92/'Financials DF'!M92-1))</f>
        <v>36.710102284347776</v>
      </c>
      <c r="P31" s="490"/>
      <c r="Q31" s="17"/>
      <c r="R31" s="17"/>
      <c r="S31" s="17"/>
      <c r="T31" s="17"/>
      <c r="U31" s="17"/>
      <c r="V31" s="17"/>
      <c r="W31" s="17"/>
      <c r="X31" s="17"/>
      <c r="Y31" s="17"/>
      <c r="Z31" s="17"/>
    </row>
    <row r="32" spans="1:26" ht="15" customHeight="1" x14ac:dyDescent="0.3">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row>
    <row r="33" spans="1:26" ht="15" customHeight="1" x14ac:dyDescent="0.3">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spans="1:26" ht="15" customHeight="1" x14ac:dyDescent="0.3">
      <c r="A34" s="17"/>
      <c r="B34" s="477" t="s">
        <v>701</v>
      </c>
      <c r="C34" s="478"/>
      <c r="D34" s="478"/>
      <c r="E34" s="478"/>
      <c r="F34" s="479"/>
      <c r="G34" s="478"/>
      <c r="H34" s="478"/>
      <c r="I34" s="478"/>
      <c r="J34" s="478"/>
      <c r="K34" s="478"/>
      <c r="L34" s="478"/>
      <c r="M34" s="478"/>
      <c r="N34" s="478"/>
      <c r="O34" s="478"/>
      <c r="P34" s="480"/>
      <c r="Q34" s="17"/>
      <c r="R34" s="17"/>
      <c r="S34" s="17"/>
      <c r="T34" s="17"/>
      <c r="U34" s="17"/>
      <c r="V34" s="17"/>
      <c r="W34" s="17"/>
      <c r="X34" s="17"/>
      <c r="Y34" s="17"/>
      <c r="Z34" s="17"/>
    </row>
    <row r="35" spans="1:26" ht="15" customHeight="1" x14ac:dyDescent="0.3">
      <c r="A35" s="17"/>
      <c r="B35" s="481" t="s">
        <v>697</v>
      </c>
      <c r="C35" s="484">
        <f>(Fcsts!C58+Fcsts!C64)/Fcsts!C91</f>
        <v>0.60185603894130335</v>
      </c>
      <c r="D35" s="484">
        <f>(Fcsts!D58+Fcsts!D64)/Fcsts!D91</f>
        <v>0.59746850252970585</v>
      </c>
      <c r="E35" s="484">
        <f>(Fcsts!E58+Fcsts!E64)/Fcsts!E91</f>
        <v>0.59659066485699808</v>
      </c>
      <c r="F35" s="483">
        <f>'Financials DF'!C136/100</f>
        <v>0.4133</v>
      </c>
      <c r="G35" s="484">
        <f>'Financials DF'!D136/100</f>
        <v>0.42479999999999996</v>
      </c>
      <c r="H35" s="484">
        <f>'Financials DF'!E136/100</f>
        <v>0.45939999999999998</v>
      </c>
      <c r="I35" s="484">
        <f>'Financials DF'!F136/100</f>
        <v>0.31969999999999998</v>
      </c>
      <c r="J35" s="484">
        <f>'Financials DF'!G136/100</f>
        <v>0.30059999999999998</v>
      </c>
      <c r="K35" s="484">
        <f>'Financials DF'!H136/100</f>
        <v>0.31719999999999998</v>
      </c>
      <c r="L35" s="484">
        <f>'Financials DF'!I136/100</f>
        <v>0.24530000000000002</v>
      </c>
      <c r="M35" s="484">
        <f>'Financials DF'!J136/100</f>
        <v>0.26340000000000002</v>
      </c>
      <c r="N35" s="484">
        <f>'Financials DF'!K136/100</f>
        <v>0.25019999999999998</v>
      </c>
      <c r="O35" s="484">
        <f>'Financials DF'!L136/100</f>
        <v>0.27500000000000002</v>
      </c>
      <c r="P35" s="485">
        <f>'Financials DF'!M136/100</f>
        <v>0.66459999999999997</v>
      </c>
      <c r="Q35" s="17"/>
      <c r="R35" s="17"/>
      <c r="S35" s="17"/>
      <c r="T35" s="17"/>
      <c r="U35" s="17"/>
      <c r="V35" s="17"/>
      <c r="W35" s="17"/>
      <c r="X35" s="17"/>
      <c r="Y35" s="17"/>
      <c r="Z35" s="17"/>
    </row>
    <row r="36" spans="1:26" ht="15" customHeight="1" x14ac:dyDescent="0.3">
      <c r="A36" s="17"/>
      <c r="B36" s="481" t="s">
        <v>689</v>
      </c>
      <c r="C36" s="491">
        <f>C35/D35</f>
        <v>1.0073435442923275</v>
      </c>
      <c r="D36" s="491">
        <f t="shared" ref="D36:O36" si="0">D35/E35</f>
        <v>1.0014714237490092</v>
      </c>
      <c r="E36" s="491">
        <f t="shared" si="0"/>
        <v>1.4434809215025359</v>
      </c>
      <c r="F36" s="492">
        <f t="shared" si="0"/>
        <v>0.97292843691148789</v>
      </c>
      <c r="G36" s="491">
        <f t="shared" si="0"/>
        <v>0.92468437091858946</v>
      </c>
      <c r="H36" s="491">
        <f t="shared" si="0"/>
        <v>1.4369721614013138</v>
      </c>
      <c r="I36" s="491">
        <f t="shared" si="0"/>
        <v>1.0635395874916833</v>
      </c>
      <c r="J36" s="491">
        <f t="shared" si="0"/>
        <v>0.94766708701134927</v>
      </c>
      <c r="K36" s="491">
        <f t="shared" si="0"/>
        <v>1.293110476966979</v>
      </c>
      <c r="L36" s="491">
        <f t="shared" si="0"/>
        <v>0.93128321943811687</v>
      </c>
      <c r="M36" s="491">
        <f t="shared" si="0"/>
        <v>1.0527577937649881</v>
      </c>
      <c r="N36" s="491">
        <f t="shared" si="0"/>
        <v>0.90981818181818164</v>
      </c>
      <c r="O36" s="491">
        <f t="shared" si="0"/>
        <v>0.41378272645200126</v>
      </c>
      <c r="P36" s="485"/>
      <c r="Q36" s="17"/>
      <c r="R36" s="17"/>
      <c r="S36" s="17"/>
      <c r="T36" s="17"/>
      <c r="U36" s="17"/>
      <c r="V36" s="17"/>
      <c r="W36" s="17"/>
      <c r="X36" s="17"/>
      <c r="Y36" s="17"/>
      <c r="Z36" s="17"/>
    </row>
    <row r="37" spans="1:26" ht="15" customHeight="1" x14ac:dyDescent="0.3">
      <c r="A37" s="17"/>
      <c r="B37" s="481" t="s">
        <v>233</v>
      </c>
      <c r="C37" s="484">
        <f>(Fcsts!C54+Fcsts!C60-Fcsts!C85)/Fcsts!C53</f>
        <v>0.36092963105476178</v>
      </c>
      <c r="D37" s="484">
        <f>(Fcsts!D54+Fcsts!D60-Fcsts!D85)/Fcsts!D53</f>
        <v>0.37444639939758845</v>
      </c>
      <c r="E37" s="484">
        <f>(Fcsts!E54+Fcsts!E60-Fcsts!E85)/Fcsts!E53</f>
        <v>0.38918757101261892</v>
      </c>
      <c r="F37" s="483">
        <f>('Financials DF'!C117+'Financials DF'!C108-'Financials DF'!C92)/'Financials DF'!C129</f>
        <v>0.44508406432748537</v>
      </c>
      <c r="G37" s="484">
        <f>('Financials DF'!D117+'Financials DF'!D108-'Financials DF'!D92)/'Financials DF'!D129</f>
        <v>0.50344697327415244</v>
      </c>
      <c r="H37" s="484">
        <f>('Financials DF'!E117+'Financials DF'!E108-'Financials DF'!E92)/'Financials DF'!E129</f>
        <v>0.65547504847433413</v>
      </c>
      <c r="I37" s="484">
        <f>('Financials DF'!F117+'Financials DF'!F108-'Financials DF'!F92)/'Financials DF'!F129</f>
        <v>0.49711773326819736</v>
      </c>
      <c r="J37" s="484">
        <f>('Financials DF'!G117+'Financials DF'!G108-'Financials DF'!G92)/'Financials DF'!G129</f>
        <v>0.45866538646183391</v>
      </c>
      <c r="K37" s="484">
        <f>('Financials DF'!H117+'Financials DF'!H108-'Financials DF'!H92)/'Financials DF'!H129</f>
        <v>0.68088467614533965</v>
      </c>
      <c r="L37" s="484">
        <f>('Financials DF'!I117+'Financials DF'!I108-'Financials DF'!I92)/'Financials DF'!I129</f>
        <v>0.40079944653701283</v>
      </c>
      <c r="M37" s="484">
        <f>('Financials DF'!J117+'Financials DF'!J108-'Financials DF'!J92)/'Financials DF'!J129</f>
        <v>0.30971220502765912</v>
      </c>
      <c r="N37" s="484">
        <f>('Financials DF'!K117+'Financials DF'!K108-'Financials DF'!K92)/'Financials DF'!K129</f>
        <v>0.34061781137035818</v>
      </c>
      <c r="O37" s="484">
        <f>('Financials DF'!L117+'Financials DF'!L108-'Financials DF'!L92)/'Financials DF'!L129</f>
        <v>0.41574651944311092</v>
      </c>
      <c r="P37" s="485">
        <f>('Financials DF'!M117+'Financials DF'!M108-'Financials DF'!M92)/'Financials DF'!M129</f>
        <v>-24.521568627450982</v>
      </c>
      <c r="Q37" s="17"/>
      <c r="R37" s="17"/>
      <c r="S37" s="17"/>
      <c r="T37" s="17"/>
      <c r="U37" s="17"/>
      <c r="V37" s="17"/>
      <c r="W37" s="17"/>
      <c r="X37" s="17"/>
      <c r="Y37" s="17"/>
      <c r="Z37" s="17"/>
    </row>
    <row r="38" spans="1:26" ht="15" customHeight="1" x14ac:dyDescent="0.3">
      <c r="A38" s="17"/>
      <c r="B38" s="481" t="s">
        <v>1825</v>
      </c>
      <c r="C38" s="484">
        <f>(Fcsts!C54+Fcsts!C60-Fcsts!C85+Fcsts!C56+Fcsts!C61)/Fcsts!C53</f>
        <v>0.77414003868599857</v>
      </c>
      <c r="D38" s="484">
        <f>(Fcsts!D54+Fcsts!D60-Fcsts!D85+Fcsts!D56+Fcsts!D61)/Fcsts!D53</f>
        <v>0.78592744955603566</v>
      </c>
      <c r="E38" s="484">
        <f>(Fcsts!E54+Fcsts!E60-Fcsts!E85+Fcsts!E56+Fcsts!E61)/Fcsts!E53</f>
        <v>0.79905877050727525</v>
      </c>
      <c r="F38" s="483">
        <f>('Financials DF'!C117+'Financials DF'!C108-'Financials DF'!C92+'Financials DF'!C109+'Financials DF'!C118)/'Financials DF'!C129</f>
        <v>0.85517178362573099</v>
      </c>
      <c r="G38" s="484">
        <f>('Financials DF'!D117+'Financials DF'!D108-'Financials DF'!D92+'Financials DF'!D109+'Financials DF'!D118)/'Financials DF'!D129</f>
        <v>0.89026348097081875</v>
      </c>
      <c r="H38" s="484">
        <f>('Financials DF'!E117+'Financials DF'!E108-'Financials DF'!E92+'Financials DF'!E109+'Financials DF'!E118)/'Financials DF'!E129</f>
        <v>1.0682722726808858</v>
      </c>
      <c r="I38" s="484">
        <f>('Financials DF'!F117+'Financials DF'!F108-'Financials DF'!F92+'Financials DF'!F109+'Financials DF'!F118)/'Financials DF'!F129</f>
        <v>0.49965803615046411</v>
      </c>
      <c r="J38" s="484">
        <f>('Financials DF'!G117+'Financials DF'!G108-'Financials DF'!G92+'Financials DF'!G109+'Financials DF'!G118)/'Financials DF'!G129</f>
        <v>0.46135381661065772</v>
      </c>
      <c r="K38" s="484">
        <f>('Financials DF'!H117+'Financials DF'!H108-'Financials DF'!H92+'Financials DF'!H109+'Financials DF'!H118)/'Financials DF'!H129</f>
        <v>0.72049198826450012</v>
      </c>
      <c r="L38" s="484">
        <f>('Financials DF'!I117+'Financials DF'!I108-'Financials DF'!I92+'Financials DF'!I109+'Financials DF'!I118)/'Financials DF'!I129</f>
        <v>0.42601276039664848</v>
      </c>
      <c r="M38" s="484">
        <f>('Financials DF'!J117+'Financials DF'!J108-'Financials DF'!J92+'Financials DF'!J109+'Financials DF'!J118)/'Financials DF'!J129</f>
        <v>0.33330999229745817</v>
      </c>
      <c r="N38" s="484">
        <f>('Financials DF'!K117+'Financials DF'!K108-'Financials DF'!K92+'Financials DF'!K109+'Financials DF'!K118)/'Financials DF'!K129</f>
        <v>0.36649687808084125</v>
      </c>
      <c r="O38" s="484">
        <f>('Financials DF'!L117+'Financials DF'!L108-'Financials DF'!L92+'Financials DF'!L109+'Financials DF'!L118)/'Financials DF'!L129</f>
        <v>0.43658185309649544</v>
      </c>
      <c r="P38" s="485">
        <f>('Financials DF'!M117+'Financials DF'!M108-'Financials DF'!M92+'Financials DF'!M109+'Financials DF'!M118)/'Financials DF'!M129</f>
        <v>-24.754901960784313</v>
      </c>
      <c r="Q38" s="17"/>
      <c r="R38" s="17"/>
      <c r="S38" s="17"/>
      <c r="T38" s="17"/>
      <c r="U38" s="17"/>
      <c r="V38" s="17"/>
      <c r="W38" s="17"/>
      <c r="X38" s="17"/>
      <c r="Y38" s="17"/>
      <c r="Z38" s="17"/>
    </row>
    <row r="39" spans="1:26" ht="15" customHeight="1" x14ac:dyDescent="0.3">
      <c r="A39" s="17"/>
      <c r="B39" s="481" t="s">
        <v>683</v>
      </c>
      <c r="C39" s="491">
        <f>(Fcsts!C54+Fcsts!C60-Fcsts!C85)/Fcsts!C34</f>
        <v>0.839450112593079</v>
      </c>
      <c r="D39" s="491">
        <f>(Fcsts!D54+Fcsts!D60-Fcsts!D85)/Fcsts!D34</f>
        <v>0.91307937710200826</v>
      </c>
      <c r="E39" s="491">
        <f>(Fcsts!E54+Fcsts!E60-Fcsts!E85)/Fcsts!E34</f>
        <v>1.0405202551954336</v>
      </c>
      <c r="F39" s="492">
        <f>(('Financials DF'!C117+'Financials DF'!C108-'Financials DF'!C92)/'Financials DF'!C183)</f>
        <v>1.3977044476327116</v>
      </c>
      <c r="G39" s="491">
        <f>(('Financials DF'!D117+'Financials DF'!D108-'Financials DF'!D92)/'Financials DF'!D183)</f>
        <v>1.6433415536374847</v>
      </c>
      <c r="H39" s="491">
        <f>(('Financials DF'!E117+'Financials DF'!E108-'Financials DF'!E92)/'Financials DF'!E183)</f>
        <v>2.3510248901903368</v>
      </c>
      <c r="I39" s="491">
        <f>(('Financials DF'!F117+'Financials DF'!F108-'Financials DF'!F92)/'Financials DF'!F183)</f>
        <v>1.1595259799453055</v>
      </c>
      <c r="J39" s="491">
        <f>(('Financials DF'!G117+'Financials DF'!G108-'Financials DF'!G92)/'Financials DF'!G183)</f>
        <v>1.6449724517906337</v>
      </c>
      <c r="K39" s="491">
        <f>(('Financials DF'!H117+'Financials DF'!H108-'Financials DF'!H92)/'Financials DF'!H183)</f>
        <v>1.2484998965445893</v>
      </c>
      <c r="L39" s="491">
        <f>(('Financials DF'!I117+'Financials DF'!I108-'Financials DF'!I92)/'Financials DF'!I183)</f>
        <v>0.94132514894385266</v>
      </c>
      <c r="M39" s="491">
        <f>(('Financials DF'!J117+'Financials DF'!J108-'Financials DF'!J92)/'Financials DF'!J183)</f>
        <v>0.88797430234892594</v>
      </c>
      <c r="N39" s="491">
        <f>(('Financials DF'!K117+'Financials DF'!K108-'Financials DF'!K92)/'Financials DF'!K183)</f>
        <v>0.94141689373296999</v>
      </c>
      <c r="O39" s="491">
        <f>(('Financials DF'!L117+'Financials DF'!L108-'Financials DF'!L92)/'Financials DF'!L183)</f>
        <v>0.58967724363339236</v>
      </c>
      <c r="P39" s="493">
        <f>(('Financials DF'!M117+'Financials DF'!M108-'Financials DF'!M92)/'Financials DF'!M183)</f>
        <v>-4.4544968833481748</v>
      </c>
      <c r="Q39" s="17"/>
      <c r="R39" s="17"/>
      <c r="S39" s="17"/>
      <c r="T39" s="17"/>
      <c r="U39" s="17"/>
      <c r="V39" s="17"/>
      <c r="W39" s="17"/>
      <c r="X39" s="17"/>
      <c r="Y39" s="17"/>
      <c r="Z39" s="17"/>
    </row>
    <row r="40" spans="1:26" ht="15" customHeight="1" x14ac:dyDescent="0.3">
      <c r="A40" s="17"/>
      <c r="B40" s="481" t="s">
        <v>1826</v>
      </c>
      <c r="C40" s="491">
        <f>(Fcsts!C54+Fcsts!C60-Fcsts!C85+Fcsts!C56+Fcsts!C61)/Fcsts!C34</f>
        <v>1.8004948519706705</v>
      </c>
      <c r="D40" s="491">
        <f>(Fcsts!D54+Fcsts!D60-Fcsts!D85+Fcsts!D56+Fcsts!D61)/Fcsts!D34</f>
        <v>1.9164669422445959</v>
      </c>
      <c r="E40" s="491">
        <f>(Fcsts!E54+Fcsts!E60-Fcsts!E85+Fcsts!E56+Fcsts!E61)/Fcsts!E34</f>
        <v>2.1363396411686053</v>
      </c>
      <c r="F40" s="492">
        <f>(('Financials DF'!C117+'Financials DF'!C108-'Financials DF'!C92+'Financials DF'!C109+'Financials DF'!C118)/'Financials DF'!C183)</f>
        <v>2.6855093256814921</v>
      </c>
      <c r="G40" s="491">
        <f>(('Financials DF'!D117+'Financials DF'!D108-'Financials DF'!D92+'Financials DF'!D109+'Financials DF'!D118)/'Financials DF'!D183)</f>
        <v>2.9059802712700371</v>
      </c>
      <c r="H40" s="491">
        <f>(('Financials DF'!E117+'Financials DF'!E108-'Financials DF'!E92+'Financials DF'!E109+'Financials DF'!E118)/'Financials DF'!E183)</f>
        <v>3.8316251830161052</v>
      </c>
      <c r="I40" s="491">
        <f>(('Financials DF'!F117+'Financials DF'!F108-'Financials DF'!F92+'Financials DF'!F109+'Financials DF'!F118)/'Financials DF'!F183)</f>
        <v>1.1654512306289881</v>
      </c>
      <c r="J40" s="491">
        <f>(('Financials DF'!G117+'Financials DF'!G108-'Financials DF'!G92+'Financials DF'!G109+'Financials DF'!G118)/'Financials DF'!G183)</f>
        <v>1.6546143250688705</v>
      </c>
      <c r="K40" s="491">
        <f>(('Financials DF'!H117+'Financials DF'!H108-'Financials DF'!H92+'Financials DF'!H109+'Financials DF'!H118)/'Financials DF'!H183)</f>
        <v>1.3211255948686116</v>
      </c>
      <c r="L40" s="491">
        <f>(('Financials DF'!I117+'Financials DF'!I108-'Financials DF'!I92+'Financials DF'!I109+'Financials DF'!I118)/'Financials DF'!I183)</f>
        <v>1.0005416140097489</v>
      </c>
      <c r="M40" s="491">
        <f>(('Financials DF'!J117+'Financials DF'!J108-'Financials DF'!J92+'Financials DF'!J109+'Financials DF'!J118)/'Financials DF'!J183)</f>
        <v>0.95563139931740615</v>
      </c>
      <c r="N40" s="491">
        <f>(('Financials DF'!K117+'Financials DF'!K108-'Financials DF'!K92+'Financials DF'!K109+'Financials DF'!K118)/'Financials DF'!K183)</f>
        <v>1.0129427792915531</v>
      </c>
      <c r="O40" s="491">
        <f>(('Financials DF'!L117+'Financials DF'!L108-'Financials DF'!L92+'Financials DF'!L109+'Financials DF'!L118)/'Financials DF'!L183)</f>
        <v>0.61922919787552766</v>
      </c>
      <c r="P40" s="493">
        <f>(('Financials DF'!M117+'Financials DF'!M108-'Financials DF'!M92+'Financials DF'!M109+'Financials DF'!M118)/'Financials DF'!M183)</f>
        <v>-4.4968833481745323</v>
      </c>
      <c r="Q40" s="17"/>
      <c r="R40" s="17"/>
      <c r="S40" s="17"/>
      <c r="T40" s="17"/>
      <c r="U40" s="17"/>
      <c r="V40" s="17"/>
      <c r="W40" s="17"/>
      <c r="X40" s="17"/>
      <c r="Y40" s="17"/>
      <c r="Z40" s="17"/>
    </row>
    <row r="41" spans="1:26" ht="15" customHeight="1" x14ac:dyDescent="0.3">
      <c r="A41" s="17"/>
      <c r="B41" s="481" t="s">
        <v>235</v>
      </c>
      <c r="C41" s="491">
        <f>Fcsts!C86/Fcsts!C64</f>
        <v>1.0574495107839703</v>
      </c>
      <c r="D41" s="491">
        <f>Fcsts!D86/Fcsts!D64</f>
        <v>1.0473945914716187</v>
      </c>
      <c r="E41" s="491">
        <f>Fcsts!E86/Fcsts!E64</f>
        <v>1.0331855556135807</v>
      </c>
      <c r="F41" s="492">
        <f>'Financials DF'!C140</f>
        <v>1.03</v>
      </c>
      <c r="G41" s="491">
        <f>'Financials DF'!D140</f>
        <v>1</v>
      </c>
      <c r="H41" s="491">
        <f>'Financials DF'!E140</f>
        <v>1.21</v>
      </c>
      <c r="I41" s="491">
        <f>'Financials DF'!F140</f>
        <v>1.04</v>
      </c>
      <c r="J41" s="491">
        <f>'Financials DF'!G140</f>
        <v>1.25</v>
      </c>
      <c r="K41" s="491">
        <f>'Financials DF'!H140</f>
        <v>1.06</v>
      </c>
      <c r="L41" s="491">
        <f>'Financials DF'!I140</f>
        <v>1.07</v>
      </c>
      <c r="M41" s="491">
        <f>'Financials DF'!J140</f>
        <v>1.02</v>
      </c>
      <c r="N41" s="491">
        <f>'Financials DF'!K140</f>
        <v>0.97</v>
      </c>
      <c r="O41" s="491">
        <f>'Financials DF'!L140</f>
        <v>1.01</v>
      </c>
      <c r="P41" s="493">
        <f>'Financials DF'!M140</f>
        <v>1.05</v>
      </c>
      <c r="Q41" s="17"/>
      <c r="R41" s="17"/>
      <c r="S41" s="17"/>
      <c r="T41" s="17"/>
      <c r="U41" s="17"/>
      <c r="V41" s="17"/>
      <c r="W41" s="17"/>
      <c r="X41" s="17"/>
      <c r="Y41" s="17"/>
      <c r="Z41" s="17"/>
    </row>
    <row r="42" spans="1:26" ht="15" customHeight="1" x14ac:dyDescent="0.3">
      <c r="A42" s="17"/>
      <c r="B42" s="481" t="s">
        <v>703</v>
      </c>
      <c r="C42" s="491">
        <f>Fcsts!C107/AVERAGE(Fcsts!C91:D91)</f>
        <v>0.12505714394589412</v>
      </c>
      <c r="D42" s="491">
        <f>Fcsts!D107/AVERAGE(Fcsts!D91:E91)</f>
        <v>0.11901032231588705</v>
      </c>
      <c r="E42" s="491">
        <f>Fcsts!E107/AVERAGE(Fcsts!E91:F91)</f>
        <v>0.12546319005564485</v>
      </c>
      <c r="F42" s="492">
        <f>'Financials DF'!C215</f>
        <v>0.83</v>
      </c>
      <c r="G42" s="491">
        <f>'Financials DF'!D215</f>
        <v>0.82</v>
      </c>
      <c r="H42" s="491">
        <f>'Financials DF'!E215</f>
        <v>0.8</v>
      </c>
      <c r="I42" s="491">
        <f>'Financials DF'!F215</f>
        <v>1.03</v>
      </c>
      <c r="J42" s="491">
        <f>'Financials DF'!G215</f>
        <v>0.85</v>
      </c>
      <c r="K42" s="491">
        <f>'Financials DF'!H215</f>
        <v>0.65</v>
      </c>
      <c r="L42" s="491">
        <f>'Financials DF'!I215</f>
        <v>1.21</v>
      </c>
      <c r="M42" s="491">
        <f>'Financials DF'!J215</f>
        <v>1.1499999999999999</v>
      </c>
      <c r="N42" s="491">
        <f>'Financials DF'!K215</f>
        <v>1.26</v>
      </c>
      <c r="O42" s="491">
        <f>'Financials DF'!L215</f>
        <v>0.8</v>
      </c>
      <c r="P42" s="493">
        <f>'Financials DF'!M215</f>
        <v>0.53</v>
      </c>
      <c r="Q42" s="17"/>
      <c r="R42" s="17"/>
      <c r="S42" s="17"/>
      <c r="T42" s="17"/>
      <c r="U42" s="17"/>
      <c r="V42" s="17"/>
      <c r="W42" s="17"/>
      <c r="X42" s="17"/>
      <c r="Y42" s="17"/>
      <c r="Z42" s="17"/>
    </row>
    <row r="43" spans="1:26" ht="15" customHeight="1" x14ac:dyDescent="0.3">
      <c r="A43" s="17"/>
      <c r="B43" s="481" t="s">
        <v>704</v>
      </c>
      <c r="C43" s="491">
        <f>Fcsts!C91/Fcsts!C6</f>
        <v>1.0299667861181363</v>
      </c>
      <c r="D43" s="491">
        <f>Fcsts!D91/Fcsts!D6</f>
        <v>1.0735039292129513</v>
      </c>
      <c r="E43" s="491">
        <f>Fcsts!E91/Fcsts!E6</f>
        <v>1.13286129750125</v>
      </c>
      <c r="F43" s="492">
        <f>'Financials DF'!C104/'Financials DF'!C35</f>
        <v>1.2141800702532817</v>
      </c>
      <c r="G43" s="491">
        <f>'Financials DF'!D104/'Financials DF'!D35</f>
        <v>1.2085377358490565</v>
      </c>
      <c r="H43" s="491">
        <f>'Financials DF'!E104/'Financials DF'!E35</f>
        <v>1.3768508199331317</v>
      </c>
      <c r="I43" s="491">
        <f>'Financials DF'!F104/'Financials DF'!F35</f>
        <v>0.99194033998795683</v>
      </c>
      <c r="J43" s="491">
        <f>'Financials DF'!G104/'Financials DF'!G35</f>
        <v>0.99184244823092149</v>
      </c>
      <c r="K43" s="491">
        <f>'Financials DF'!H104/'Financials DF'!H35</f>
        <v>1.4707544208433609</v>
      </c>
      <c r="L43" s="491">
        <f>'Financials DF'!I104/'Financials DF'!I35</f>
        <v>0.81117049423219389</v>
      </c>
      <c r="M43" s="491">
        <f>'Financials DF'!J104/'Financials DF'!J35</f>
        <v>0.93927798048114863</v>
      </c>
      <c r="N43" s="491">
        <f>'Financials DF'!K104/'Financials DF'!K35</f>
        <v>0.84060661359846456</v>
      </c>
      <c r="O43" s="491">
        <f>'Financials DF'!L104/'Financials DF'!L35</f>
        <v>0.86947629829815209</v>
      </c>
      <c r="P43" s="493">
        <f>'Financials DF'!M104/'Financials DF'!M35</f>
        <v>1.7566536903154049</v>
      </c>
      <c r="Q43" s="17"/>
      <c r="R43" s="17"/>
      <c r="S43" s="17"/>
      <c r="T43" s="17"/>
      <c r="U43" s="17"/>
      <c r="V43" s="17"/>
      <c r="W43" s="17"/>
      <c r="X43" s="17"/>
      <c r="Y43" s="17"/>
      <c r="Z43" s="17"/>
    </row>
    <row r="44" spans="1:26" ht="15" customHeight="1" x14ac:dyDescent="0.3">
      <c r="A44" s="17"/>
      <c r="B44" s="481" t="s">
        <v>690</v>
      </c>
      <c r="C44" s="482">
        <f>(Fcsts!C20-Fcsts!C107)/Fcsts!C91</f>
        <v>-6.1911295598772759E-2</v>
      </c>
      <c r="D44" s="482">
        <f>(Fcsts!D20-Fcsts!D107)/Fcsts!D91</f>
        <v>-5.9531633871282214E-2</v>
      </c>
      <c r="E44" s="482">
        <f>(Fcsts!E20-Fcsts!E107)/Fcsts!E91</f>
        <v>-7.2436815811706995E-2</v>
      </c>
      <c r="F44" s="494">
        <f>('Financials DF'!C50-'Financials DF'!C167)/'Financials DF'!C104</f>
        <v>-3.8256566425580507E-2</v>
      </c>
      <c r="G44" s="482">
        <f>('Financials DF'!D50-'Financials DF'!D167)/'Financials DF'!D104</f>
        <v>-7.0371960501151395E-2</v>
      </c>
      <c r="H44" s="482">
        <f>('Financials DF'!E50-'Financials DF'!E167)/'Financials DF'!E104</f>
        <v>9.9059512796793089E-3</v>
      </c>
      <c r="I44" s="482">
        <f>('Financials DF'!F50-'Financials DF'!F167)/'Financials DF'!F104</f>
        <v>-4.9124445482138686E-2</v>
      </c>
      <c r="J44" s="482">
        <f>('Financials DF'!G50-'Financials DF'!G167)/'Financials DF'!G104</f>
        <v>0.10511971968074751</v>
      </c>
      <c r="K44" s="482">
        <f>('Financials DF'!H50-'Financials DF'!H167)/'Financials DF'!H104</f>
        <v>-0.11817017643710871</v>
      </c>
      <c r="L44" s="482">
        <f>('Financials DF'!I50-'Financials DF'!I167)/'Financials DF'!I104</f>
        <v>-6.9473890211683362E-2</v>
      </c>
      <c r="M44" s="482">
        <f>('Financials DF'!J50-'Financials DF'!J167)/'Financials DF'!J104</f>
        <v>-3.0160434562910562E-2</v>
      </c>
      <c r="N44" s="482">
        <f>('Financials DF'!K50-'Financials DF'!K167)/'Financials DF'!K104</f>
        <v>-3.6531047647565221E-2</v>
      </c>
      <c r="O44" s="482">
        <f>('Financials DF'!L50-'Financials DF'!L167)/'Financials DF'!L104</f>
        <v>0.10794690860215053</v>
      </c>
      <c r="P44" s="495">
        <f>('Financials DF'!M50-'Financials DF'!M167)/'Financials DF'!M104</f>
        <v>-0.15440278594364795</v>
      </c>
      <c r="Q44" s="17"/>
      <c r="R44" s="17"/>
      <c r="S44" s="17"/>
      <c r="T44" s="17"/>
      <c r="U44" s="17"/>
      <c r="V44" s="17"/>
      <c r="W44" s="17"/>
      <c r="X44" s="17"/>
      <c r="Y44" s="17"/>
      <c r="Z44" s="17"/>
    </row>
    <row r="45" spans="1:26" ht="15" customHeight="1" x14ac:dyDescent="0.3">
      <c r="A45" s="17"/>
      <c r="B45" s="481" t="s">
        <v>722</v>
      </c>
      <c r="C45" s="482">
        <f>Fcsts!C80/Fcsts!C91</f>
        <v>0.13107218778268021</v>
      </c>
      <c r="D45" s="482">
        <f>Fcsts!D80/Fcsts!D91</f>
        <v>0.1257564097589996</v>
      </c>
      <c r="E45" s="482">
        <f>Fcsts!E80/Fcsts!E91</f>
        <v>0.11916728049388679</v>
      </c>
      <c r="F45" s="494">
        <f>'Financials DF'!C94/'Financials DF'!C104</f>
        <v>0.11187666539779216</v>
      </c>
      <c r="G45" s="482">
        <f>'Financials DF'!D94/'Financials DF'!D104</f>
        <v>0.11502283283244213</v>
      </c>
      <c r="H45" s="482">
        <f>'Financials DF'!E94/'Financials DF'!E104</f>
        <v>0.10403176071538699</v>
      </c>
      <c r="I45" s="482">
        <f>'Financials DF'!F94/'Financials DF'!F104</f>
        <v>0.115479803875788</v>
      </c>
      <c r="J45" s="482">
        <f>'Financials DF'!G94/'Financials DF'!G104</f>
        <v>0.11475569398481604</v>
      </c>
      <c r="K45" s="482">
        <f>'Financials DF'!H94/'Financials DF'!H104</f>
        <v>0.12443084803642572</v>
      </c>
      <c r="L45" s="482">
        <f>'Financials DF'!I94/'Financials DF'!I104</f>
        <v>0.12185655109429532</v>
      </c>
      <c r="M45" s="482">
        <f>'Financials DF'!J94/'Financials DF'!J104</f>
        <v>0.12556846892369883</v>
      </c>
      <c r="N45" s="482">
        <f>'Financials DF'!K94/'Financials DF'!K104</f>
        <v>0.13351049893326347</v>
      </c>
      <c r="O45" s="482">
        <f>'Financials DF'!L94/'Financials DF'!L104</f>
        <v>0.13264448924731181</v>
      </c>
      <c r="P45" s="495">
        <f>'Financials DF'!M94/'Financials DF'!M104</f>
        <v>6.4085749174618969E-2</v>
      </c>
      <c r="Q45" s="17"/>
      <c r="R45" s="17"/>
      <c r="S45" s="17"/>
      <c r="T45" s="17"/>
      <c r="U45" s="17"/>
      <c r="V45" s="17"/>
      <c r="W45" s="17"/>
      <c r="X45" s="17"/>
      <c r="Y45" s="17"/>
      <c r="Z45" s="17"/>
    </row>
    <row r="46" spans="1:26" ht="15" customHeight="1" x14ac:dyDescent="0.3">
      <c r="A46" s="17"/>
      <c r="B46" s="481" t="s">
        <v>330</v>
      </c>
      <c r="C46" s="482">
        <f>(Fcsts!C86-Fcsts!C64)/Fcsts!C6</f>
        <v>1.4419827206776538E-2</v>
      </c>
      <c r="D46" s="482">
        <f>(Fcsts!D86-Fcsts!D64)/Fcsts!D6</f>
        <v>1.1896042459376305E-2</v>
      </c>
      <c r="E46" s="482">
        <f>(Fcsts!E86-Fcsts!E64)/Fcsts!E6</f>
        <v>8.6614300151445552E-3</v>
      </c>
      <c r="F46" s="494" t="str">
        <f>'Financials DF'!C214</f>
        <v>NA</v>
      </c>
      <c r="G46" s="482">
        <f>'Financials DF'!D214</f>
        <v>0.02</v>
      </c>
      <c r="H46" s="482">
        <f>'Financials DF'!E214</f>
        <v>0.03</v>
      </c>
      <c r="I46" s="482">
        <f>'Financials DF'!F214</f>
        <v>0.03</v>
      </c>
      <c r="J46" s="482">
        <f>'Financials DF'!G214</f>
        <v>0.04</v>
      </c>
      <c r="K46" s="482">
        <f>'Financials DF'!H214</f>
        <v>0.03</v>
      </c>
      <c r="L46" s="482">
        <f>'Financials DF'!I214</f>
        <v>0.01</v>
      </c>
      <c r="M46" s="482" t="str">
        <f>'Financials DF'!J214</f>
        <v>NA</v>
      </c>
      <c r="N46" s="482" t="str">
        <f>'Financials DF'!K214</f>
        <v>NA</v>
      </c>
      <c r="O46" s="482">
        <f>'Financials DF'!L214</f>
        <v>0.01</v>
      </c>
      <c r="P46" s="495">
        <f>'Financials DF'!M214</f>
        <v>-0.01</v>
      </c>
      <c r="Q46" s="17"/>
      <c r="R46" s="17"/>
      <c r="S46" s="17"/>
      <c r="T46" s="17"/>
      <c r="U46" s="17"/>
      <c r="V46" s="17"/>
      <c r="W46" s="17"/>
      <c r="X46" s="17"/>
      <c r="Y46" s="17"/>
      <c r="Z46" s="17"/>
    </row>
    <row r="47" spans="1:26" ht="15" customHeight="1" x14ac:dyDescent="0.3">
      <c r="A47" s="17"/>
      <c r="B47" s="481" t="s">
        <v>694</v>
      </c>
      <c r="C47" s="496">
        <f>-Fcsts!C109/Fcsts!C76</f>
        <v>6.5398206633631925E-2</v>
      </c>
      <c r="D47" s="496">
        <f>-Fcsts!D109/Fcsts!D76</f>
        <v>6.1682104032131153E-2</v>
      </c>
      <c r="E47" s="496">
        <f>-Fcsts!E109/Fcsts!E76</f>
        <v>6.3716413859256416E-2</v>
      </c>
      <c r="F47" s="497">
        <f>-'Financials DF'!C169/'Financials DF'!C103</f>
        <v>6.6340245775729653E-2</v>
      </c>
      <c r="G47" s="496">
        <f>-'Financials DF'!D169/'Financials DF'!D103</f>
        <v>5.6526515529811243E-2</v>
      </c>
      <c r="H47" s="496">
        <f>-'Financials DF'!E169/'Financials DF'!E103</f>
        <v>4.8306021916155628E-2</v>
      </c>
      <c r="I47" s="496">
        <f>-'Financials DF'!F169/'Financials DF'!F103</f>
        <v>8.6715751054055754E-2</v>
      </c>
      <c r="J47" s="496">
        <f>-'Financials DF'!G169/'Financials DF'!G103</f>
        <v>9.8823529411764699E-2</v>
      </c>
      <c r="K47" s="496">
        <f>-'Financials DF'!H169/'Financials DF'!H103</f>
        <v>0.1212349020197464</v>
      </c>
      <c r="L47" s="496">
        <f>-'Financials DF'!I169/'Financials DF'!I103</f>
        <v>0.12333068010966658</v>
      </c>
      <c r="M47" s="496">
        <f>-'Financials DF'!J169/'Financials DF'!J103</f>
        <v>0.11626166578622997</v>
      </c>
      <c r="N47" s="496">
        <f>-'Financials DF'!K169/'Financials DF'!K103</f>
        <v>9.8554329239856991E-2</v>
      </c>
      <c r="O47" s="496">
        <f>-'Financials DF'!L169/'Financials DF'!L103</f>
        <v>7.8524895300139605E-2</v>
      </c>
      <c r="P47" s="498">
        <f>-'Financials DF'!M169/'Financials DF'!M103</f>
        <v>3.6925823729913973E-2</v>
      </c>
      <c r="Q47" s="17"/>
      <c r="R47" s="17"/>
      <c r="S47" s="17"/>
      <c r="T47" s="17"/>
      <c r="U47" s="17"/>
      <c r="V47" s="17"/>
      <c r="W47" s="17"/>
      <c r="X47" s="17"/>
      <c r="Y47" s="17"/>
      <c r="Z47" s="17"/>
    </row>
    <row r="48" spans="1:26" ht="15" customHeight="1" x14ac:dyDescent="0.3">
      <c r="A48" s="17"/>
      <c r="B48" s="481" t="s">
        <v>678</v>
      </c>
      <c r="C48" s="484">
        <f>-Fcsts!C109/Fcsts!C6</f>
        <v>5.000000000000001E-2</v>
      </c>
      <c r="D48" s="484">
        <f>-Fcsts!D109/Fcsts!D6</f>
        <v>5.000000000000001E-2</v>
      </c>
      <c r="E48" s="484">
        <f>-Fcsts!E109/Fcsts!E6</f>
        <v>5.5E-2</v>
      </c>
      <c r="F48" s="483">
        <f>-'Financials DF'!C169/'Financials DF'!C35</f>
        <v>6.3875023109632098E-2</v>
      </c>
      <c r="G48" s="484">
        <f>-'Financials DF'!D169/'Financials DF'!D35</f>
        <v>5.3396226415094339E-2</v>
      </c>
      <c r="H48" s="484">
        <f>-'Financials DF'!E169/'Financials DF'!E35</f>
        <v>5.1000371490739264E-2</v>
      </c>
      <c r="I48" s="484">
        <f>-'Financials DF'!F169/'Financials DF'!F35</f>
        <v>6.3828801704571766E-2</v>
      </c>
      <c r="J48" s="484">
        <f>-'Financials DF'!G169/'Financials DF'!G35</f>
        <v>7.298354008785056E-2</v>
      </c>
      <c r="K48" s="484">
        <f>-'Financials DF'!H169/'Financials DF'!H35</f>
        <v>0.12655645076906979</v>
      </c>
      <c r="L48" s="484">
        <f>-'Financials DF'!I169/'Financials DF'!I35</f>
        <v>7.3790877341517624E-2</v>
      </c>
      <c r="M48" s="484">
        <f>-'Financials DF'!J169/'Financials DF'!J35</f>
        <v>7.8342380825249913E-2</v>
      </c>
      <c r="N48" s="484">
        <f>-'Financials DF'!K169/'Financials DF'!K35</f>
        <v>5.9843312462637258E-2</v>
      </c>
      <c r="O48" s="484">
        <f>-'Financials DF'!L169/'Financials DF'!L35</f>
        <v>4.9302461471039366E-2</v>
      </c>
      <c r="P48" s="485">
        <f>-'Financials DF'!M169/'Financials DF'!M35</f>
        <v>5.4222610630015093E-2</v>
      </c>
      <c r="Q48" s="17"/>
      <c r="R48" s="17"/>
      <c r="S48" s="17"/>
      <c r="T48" s="17"/>
      <c r="U48" s="17"/>
      <c r="V48" s="17"/>
      <c r="W48" s="17"/>
      <c r="X48" s="17"/>
      <c r="Y48" s="17"/>
      <c r="Z48" s="17"/>
    </row>
    <row r="49" spans="1:26" ht="15" customHeight="1" x14ac:dyDescent="0.3">
      <c r="A49" s="17"/>
      <c r="B49" s="481" t="s">
        <v>705</v>
      </c>
      <c r="C49" s="484">
        <f>Fcsts!C80/Fcsts!C6</f>
        <v>0.13500000000000001</v>
      </c>
      <c r="D49" s="484">
        <f>Fcsts!D80/Fcsts!D6</f>
        <v>0.13500000000000001</v>
      </c>
      <c r="E49" s="484">
        <f>Fcsts!E80/Fcsts!E6</f>
        <v>0.13500000000000001</v>
      </c>
      <c r="F49" s="483">
        <f>'Financials DF'!C94/'Financials DF'!C35</f>
        <v>0.13583841745239417</v>
      </c>
      <c r="G49" s="484">
        <f>'Financials DF'!D94/'Financials DF'!D35</f>
        <v>0.13900943396226415</v>
      </c>
      <c r="H49" s="484">
        <f>'Financials DF'!E94/'Financials DF'!E35</f>
        <v>0.14323621504006792</v>
      </c>
      <c r="I49" s="484">
        <f>'Financials DF'!F94/'Financials DF'!F35</f>
        <v>0.11454907591829172</v>
      </c>
      <c r="J49" s="484">
        <f>'Financials DF'!G94/'Financials DF'!G35</f>
        <v>0.11381956847033838</v>
      </c>
      <c r="K49" s="484">
        <f>'Financials DF'!H94/'Financials DF'!H35</f>
        <v>0.18300721983886156</v>
      </c>
      <c r="L49" s="484">
        <f>'Financials DF'!I94/'Financials DF'!I35</f>
        <v>9.884643877659012E-2</v>
      </c>
      <c r="M49" s="484">
        <f>'Financials DF'!J94/'Financials DF'!J35</f>
        <v>0.11794369790276171</v>
      </c>
      <c r="N49" s="484">
        <f>'Financials DF'!K94/'Financials DF'!K35</f>
        <v>0.11222980838813203</v>
      </c>
      <c r="O49" s="484">
        <f>'Financials DF'!L94/'Financials DF'!L35</f>
        <v>0.11533123950040172</v>
      </c>
      <c r="P49" s="485">
        <f>'Financials DF'!M94/'Financials DF'!M35</f>
        <v>0.11257646778422181</v>
      </c>
      <c r="Q49" s="17"/>
      <c r="R49" s="17"/>
      <c r="S49" s="17"/>
      <c r="T49" s="17"/>
      <c r="U49" s="17"/>
      <c r="V49" s="17"/>
      <c r="W49" s="17"/>
      <c r="X49" s="17"/>
      <c r="Y49" s="17"/>
      <c r="Z49" s="17"/>
    </row>
    <row r="50" spans="1:26" ht="15" customHeight="1" x14ac:dyDescent="0.3">
      <c r="A50" s="17"/>
      <c r="B50" s="481" t="s">
        <v>706</v>
      </c>
      <c r="C50" s="484">
        <f t="shared" ref="C50:E50" si="1">(C85-D85)/AVERAGE(C85:D85)</f>
        <v>6.2196341756737116E-3</v>
      </c>
      <c r="D50" s="484">
        <f t="shared" si="1"/>
        <v>-7.4110128035326734E-3</v>
      </c>
      <c r="E50" s="484">
        <f t="shared" si="1"/>
        <v>-0.27005368504659338</v>
      </c>
      <c r="F50" s="483">
        <f>(F85-G85)/AVERAGE(F85:G85)</f>
        <v>0.10827724449384925</v>
      </c>
      <c r="G50" s="484">
        <f t="shared" ref="G50:P50" si="2">(G85-H85)/AVERAGE(G85:H85)</f>
        <v>3.6305684902512514E-2</v>
      </c>
      <c r="H50" s="484" t="e">
        <f t="shared" si="2"/>
        <v>#VALUE!</v>
      </c>
      <c r="I50" s="484" t="e">
        <f t="shared" si="2"/>
        <v>#VALUE!</v>
      </c>
      <c r="J50" s="484" t="e">
        <f t="shared" si="2"/>
        <v>#VALUE!</v>
      </c>
      <c r="K50" s="484" t="e">
        <f t="shared" si="2"/>
        <v>#VALUE!</v>
      </c>
      <c r="L50" s="484" t="e">
        <f t="shared" si="2"/>
        <v>#VALUE!</v>
      </c>
      <c r="M50" s="484" t="e">
        <f t="shared" si="2"/>
        <v>#VALUE!</v>
      </c>
      <c r="N50" s="484" t="e">
        <f t="shared" si="2"/>
        <v>#VALUE!</v>
      </c>
      <c r="O50" s="484" t="e">
        <f t="shared" si="2"/>
        <v>#VALUE!</v>
      </c>
      <c r="P50" s="485" t="e">
        <f t="shared" si="2"/>
        <v>#VALUE!</v>
      </c>
      <c r="Q50" s="17"/>
      <c r="R50" s="17"/>
      <c r="S50" s="17"/>
      <c r="T50" s="17"/>
      <c r="U50" s="17"/>
      <c r="V50" s="17"/>
      <c r="W50" s="17"/>
      <c r="X50" s="17"/>
      <c r="Y50" s="17"/>
      <c r="Z50" s="17"/>
    </row>
    <row r="51" spans="1:26" ht="15" customHeight="1" x14ac:dyDescent="0.3">
      <c r="A51" s="17"/>
      <c r="B51" s="481" t="s">
        <v>707</v>
      </c>
      <c r="C51" s="484">
        <f>Fcsts!C12/(((Fcsts!C54+Fcsts!C60)+(Fcsts!C54+Fcsts!C60))/2)</f>
        <v>0.13141930088223272</v>
      </c>
      <c r="D51" s="484">
        <f>Fcsts!D12/(((Fcsts!D54+Fcsts!D60)+(Fcsts!D54+Fcsts!D60))/2)</f>
        <v>0.13195682829320715</v>
      </c>
      <c r="E51" s="484">
        <f>Fcsts!E12/(((Fcsts!E54+Fcsts!E60)+(Fcsts!E54+Fcsts!E60))/2)</f>
        <v>0.13036110535666179</v>
      </c>
      <c r="F51" s="483">
        <f>'Financials DF'!C41/((('Financials DF'!C115+'Financials DF'!C106)+('Financials DF'!D106+'Financials DF'!D115))/2)</f>
        <v>7.6077457338668872E-2</v>
      </c>
      <c r="G51" s="484">
        <f>'Financials DF'!D41/((('Financials DF'!D115+'Financials DF'!D106)+('Financials DF'!E106+'Financials DF'!E115))/2)</f>
        <v>7.4031840708740845E-2</v>
      </c>
      <c r="H51" s="484">
        <f>'Financials DF'!E41/((('Financials DF'!E115+'Financials DF'!E106)+('Financials DF'!F106+'Financials DF'!F115))/2)</f>
        <v>0.10434875293114475</v>
      </c>
      <c r="I51" s="484">
        <f>'Financials DF'!F41/((('Financials DF'!F115+'Financials DF'!F106)+('Financials DF'!G106+'Financials DF'!G115))/2)</f>
        <v>9.2458915681154968E-2</v>
      </c>
      <c r="J51" s="484">
        <f>'Financials DF'!G41/((('Financials DF'!G115+'Financials DF'!G106)+('Financials DF'!H106+'Financials DF'!H115))/2)</f>
        <v>7.2621256294725683E-2</v>
      </c>
      <c r="K51" s="484">
        <f>'Financials DF'!H41/((('Financials DF'!H115+'Financials DF'!H106)+('Financials DF'!I106+'Financials DF'!I115))/2)</f>
        <v>5.4751186275702642E-2</v>
      </c>
      <c r="L51" s="484">
        <f>'Financials DF'!I41/((('Financials DF'!I115+'Financials DF'!I106)+('Financials DF'!J106+'Financials DF'!J115))/2)</f>
        <v>8.548193910357435E-2</v>
      </c>
      <c r="M51" s="484">
        <f>'Financials DF'!J41/((('Financials DF'!J115+'Financials DF'!J106)+('Financials DF'!K106+'Financials DF'!K115))/2)</f>
        <v>7.9733777038269546E-2</v>
      </c>
      <c r="N51" s="484">
        <f>'Financials DF'!K41/((('Financials DF'!K115+'Financials DF'!K106)+('Financials DF'!L106+'Financials DF'!L115))/2)</f>
        <v>8.5254326959413498E-2</v>
      </c>
      <c r="O51" s="484">
        <f>'Financials DF'!L41/((('Financials DF'!L115+'Financials DF'!L106)+('Financials DF'!M106+'Financials DF'!M115))/2)</f>
        <v>4.1962322954058488E-2</v>
      </c>
      <c r="P51" s="485">
        <f>'Financials DF'!M41/((('Financials DF'!M115+'Financials DF'!M106)+('Financials DF'!U106+'Financials DF'!U115))/2)</f>
        <v>0.13562436202790065</v>
      </c>
      <c r="Q51" s="17"/>
      <c r="R51" s="17"/>
      <c r="S51" s="17"/>
      <c r="T51" s="17"/>
      <c r="U51" s="17"/>
      <c r="V51" s="17"/>
      <c r="W51" s="17"/>
      <c r="X51" s="17"/>
      <c r="Y51" s="17"/>
      <c r="Z51" s="17"/>
    </row>
    <row r="52" spans="1:26" ht="15" customHeight="1" x14ac:dyDescent="0.3">
      <c r="A52" s="17"/>
      <c r="B52" s="486" t="s">
        <v>715</v>
      </c>
      <c r="C52" s="487">
        <f>-Fcsts!C109/Fcsts!C79</f>
        <v>2</v>
      </c>
      <c r="D52" s="487">
        <f>-Fcsts!D109/Fcsts!D79</f>
        <v>2</v>
      </c>
      <c r="E52" s="487">
        <f>-Fcsts!E109/Fcsts!E79</f>
        <v>2.2000000000000002</v>
      </c>
      <c r="F52" s="488">
        <f>-'Financials DF'!C169/'Financials DF'!C95</f>
        <v>2.4590747330960854</v>
      </c>
      <c r="G52" s="489">
        <f>-'Financials DF'!D169/'Financials DF'!D95</f>
        <v>1.76875</v>
      </c>
      <c r="H52" s="489">
        <f>-'Financials DF'!E169/'Financials DF'!E95</f>
        <v>0.79684908789386399</v>
      </c>
      <c r="I52" s="489">
        <f>-'Financials DF'!F169/'Financials DF'!F95</f>
        <v>2.4432624113475176</v>
      </c>
      <c r="J52" s="489">
        <f>-'Financials DF'!G169/'Financials DF'!G95</f>
        <v>2.5670628183361628</v>
      </c>
      <c r="K52" s="489">
        <f>-'Financials DF'!H169/'Financials DF'!H95</f>
        <v>2.4583333333333335</v>
      </c>
      <c r="L52" s="489">
        <f>-'Financials DF'!I169/'Financials DF'!I95</f>
        <v>2.7369970559371932</v>
      </c>
      <c r="M52" s="489">
        <f>-'Financials DF'!J169/'Financials DF'!J95</f>
        <v>2.3857271906052393</v>
      </c>
      <c r="N52" s="489">
        <f>-'Financials DF'!K169/'Financials DF'!K95</f>
        <v>1.9270516717325228</v>
      </c>
      <c r="O52" s="489">
        <f>-'Financials DF'!L169/'Financials DF'!L95</f>
        <v>1.4802631578947369</v>
      </c>
      <c r="P52" s="490">
        <f>-'Financials DF'!M169/'Financials DF'!M95</f>
        <v>1.6707466340269277</v>
      </c>
      <c r="Q52" s="17"/>
      <c r="R52" s="17"/>
      <c r="S52" s="17"/>
      <c r="T52" s="17"/>
      <c r="U52" s="17"/>
      <c r="V52" s="17"/>
      <c r="W52" s="17"/>
      <c r="X52" s="17"/>
      <c r="Y52" s="17"/>
      <c r="Z52" s="17"/>
    </row>
    <row r="53" spans="1:26" ht="15" customHeight="1" x14ac:dyDescent="0.3">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spans="1:26" ht="15" customHeight="1" x14ac:dyDescent="0.3">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spans="1:26" ht="15" customHeight="1" x14ac:dyDescent="0.3">
      <c r="A55" s="17"/>
      <c r="B55" s="477" t="s">
        <v>698</v>
      </c>
      <c r="C55" s="478"/>
      <c r="D55" s="478"/>
      <c r="E55" s="478"/>
      <c r="F55" s="479"/>
      <c r="G55" s="478"/>
      <c r="H55" s="478"/>
      <c r="I55" s="478"/>
      <c r="J55" s="478"/>
      <c r="K55" s="478"/>
      <c r="L55" s="478"/>
      <c r="M55" s="478"/>
      <c r="N55" s="478"/>
      <c r="O55" s="478"/>
      <c r="P55" s="480"/>
      <c r="Q55" s="17"/>
      <c r="R55" s="17"/>
      <c r="S55" s="17"/>
      <c r="T55" s="17"/>
      <c r="U55" s="17"/>
      <c r="V55" s="17"/>
      <c r="W55" s="17"/>
      <c r="X55" s="17"/>
      <c r="Y55" s="17"/>
      <c r="Z55" s="17"/>
    </row>
    <row r="56" spans="1:26" ht="15" customHeight="1" x14ac:dyDescent="0.3">
      <c r="A56" s="17"/>
      <c r="B56" s="481" t="s">
        <v>688</v>
      </c>
      <c r="C56" s="746">
        <f>Fcsts!C107/Fcsts!C103</f>
        <v>1.9953446710368536</v>
      </c>
      <c r="D56" s="746">
        <f>Fcsts!D107/Fcsts!D103</f>
        <v>2.0079002804551802</v>
      </c>
      <c r="E56" s="746">
        <f>Fcsts!E107/Fcsts!E103</f>
        <v>2.4380149390533798</v>
      </c>
      <c r="F56" s="492">
        <f>'Financials DF'!C192</f>
        <v>1.99</v>
      </c>
      <c r="G56" s="491">
        <f>'Financials DF'!D192</f>
        <v>3.34</v>
      </c>
      <c r="H56" s="491">
        <f>'Financials DF'!E192</f>
        <v>0.42</v>
      </c>
      <c r="I56" s="491">
        <f>'Financials DF'!F192</f>
        <v>1.43</v>
      </c>
      <c r="J56" s="491">
        <f>'Financials DF'!G192</f>
        <v>0.56000000000000005</v>
      </c>
      <c r="K56" s="491" t="str">
        <f>'Financials DF'!H192</f>
        <v>NA</v>
      </c>
      <c r="L56" s="491">
        <f>'Financials DF'!I192</f>
        <v>2.2400000000000002</v>
      </c>
      <c r="M56" s="491">
        <f>'Financials DF'!J192</f>
        <v>1.39</v>
      </c>
      <c r="N56" s="491">
        <f>'Financials DF'!K192</f>
        <v>1.45</v>
      </c>
      <c r="O56" s="491">
        <f>'Financials DF'!L192</f>
        <v>0.5</v>
      </c>
      <c r="P56" s="493" t="str">
        <f>'Financials DF'!M192</f>
        <v>NA</v>
      </c>
      <c r="Q56" s="17"/>
      <c r="R56" s="17"/>
      <c r="S56" s="17"/>
      <c r="T56" s="17"/>
      <c r="U56" s="17"/>
      <c r="V56" s="17"/>
      <c r="W56" s="17"/>
      <c r="X56" s="17"/>
      <c r="Y56" s="17"/>
      <c r="Z56" s="17"/>
    </row>
    <row r="57" spans="1:26" ht="15" customHeight="1" x14ac:dyDescent="0.3">
      <c r="A57" s="17"/>
      <c r="B57" s="481" t="s">
        <v>716</v>
      </c>
      <c r="C57" s="746">
        <f>(Fcsts!C107/Fcsts!D107-1)/(Fcsts!C103/Fcsts!D103-1)</f>
        <v>0.90345079995802446</v>
      </c>
      <c r="D57" s="746">
        <f>(Fcsts!D107/Fcsts!E107-1)/(Fcsts!D103/Fcsts!E103-1)</f>
        <v>-0.15237455084516666</v>
      </c>
      <c r="E57" s="746">
        <f>(Fcsts!E107/Fcsts!F107-1)/(Fcsts!E103/Fcsts!F103-1)</f>
        <v>1.8387689492170292</v>
      </c>
      <c r="F57" s="492">
        <f>('Financials DF'!C167/'Financials DF'!D167-1)/('Financials DF'!C163/'Financials DF'!D163-1)</f>
        <v>-0.678852331540168</v>
      </c>
      <c r="G57" s="491">
        <f>('Financials DF'!D167/'Financials DF'!E167-1)/('Financials DF'!D163/'Financials DF'!E163-1)</f>
        <v>17.409831768964896</v>
      </c>
      <c r="H57" s="491">
        <f>('Financials DF'!E167/'Financials DF'!F167-1)/('Financials DF'!E163/'Financials DF'!F163-1)</f>
        <v>1.1568337008974792</v>
      </c>
      <c r="I57" s="491">
        <f>('Financials DF'!F167/'Financials DF'!G167-1)/('Financials DF'!F163/'Financials DF'!G163-1)</f>
        <v>-0.51249397593838308</v>
      </c>
      <c r="J57" s="491">
        <f>('Financials DF'!G167/'Financials DF'!H167-1)/('Financials DF'!G163/'Financials DF'!H163-1)</f>
        <v>1.5717025102932982E-3</v>
      </c>
      <c r="K57" s="491">
        <f>('Financials DF'!H167/'Financials DF'!I167-1)/('Financials DF'!H163/'Financials DF'!I163-1)</f>
        <v>0.20594109364495228</v>
      </c>
      <c r="L57" s="491">
        <f>('Financials DF'!I167/'Financials DF'!J167-1)/('Financials DF'!I163/'Financials DF'!J163-1)</f>
        <v>-0.42041455462481914</v>
      </c>
      <c r="M57" s="491">
        <f>('Financials DF'!J167/'Financials DF'!K167-1)/('Financials DF'!J163/'Financials DF'!K163-1)</f>
        <v>0.64116476364798591</v>
      </c>
      <c r="N57" s="491">
        <f>('Financials DF'!K167/'Financials DF'!L167-1)/('Financials DF'!K163/'Financials DF'!L163-1)</f>
        <v>-0.41790930317396485</v>
      </c>
      <c r="O57" s="491">
        <f>('Financials DF'!L167/'Financials DF'!M167-1)/('Financials DF'!L163/'Financials DF'!M163-1)</f>
        <v>2.0183896068259943E-2</v>
      </c>
      <c r="P57" s="493"/>
      <c r="Q57" s="17"/>
      <c r="R57" s="17"/>
      <c r="S57" s="17"/>
      <c r="T57" s="17"/>
      <c r="U57" s="17"/>
      <c r="V57" s="17"/>
      <c r="W57" s="17"/>
      <c r="X57" s="17"/>
      <c r="Y57" s="17"/>
      <c r="Z57" s="17"/>
    </row>
    <row r="58" spans="1:26" ht="15" customHeight="1" x14ac:dyDescent="0.3">
      <c r="A58" s="17"/>
      <c r="B58" s="481" t="s">
        <v>672</v>
      </c>
      <c r="C58" s="491">
        <f>-Fcsts!C109/Fcsts!C104</f>
        <v>0.97215670578452662</v>
      </c>
      <c r="D58" s="491">
        <f>-Fcsts!D109/Fcsts!D104</f>
        <v>0.96754505238044253</v>
      </c>
      <c r="E58" s="491">
        <f>-Fcsts!E109/Fcsts!E104</f>
        <v>1.0545816061729714</v>
      </c>
      <c r="F58" s="492">
        <f>-'Financials DF'!C169/'Financials DF'!C164</f>
        <v>1.1487946799667499</v>
      </c>
      <c r="G58" s="491">
        <f>-'Financials DF'!D169/'Financials DF'!D164</f>
        <v>0.96917808219178081</v>
      </c>
      <c r="H58" s="491">
        <f>-'Financials DF'!E169/'Financials DF'!E164</f>
        <v>0.82489270386266089</v>
      </c>
      <c r="I58" s="491">
        <f>-'Financials DF'!F169/'Financials DF'!F164</f>
        <v>1.8422459893048129</v>
      </c>
      <c r="J58" s="491">
        <f>-'Financials DF'!G169/'Financials DF'!G164</f>
        <v>1.5717255717255718</v>
      </c>
      <c r="K58" s="491">
        <f>-'Financials DF'!H169/'Financials DF'!H164</f>
        <v>1.8622016936104695</v>
      </c>
      <c r="L58" s="491">
        <f>-'Financials DF'!I169/'Financials DF'!I164</f>
        <v>2.0050323508267431</v>
      </c>
      <c r="M58" s="491">
        <f>-'Financials DF'!J169/'Financials DF'!J164</f>
        <v>2.1077414205905827</v>
      </c>
      <c r="N58" s="491">
        <f>-'Financials DF'!K169/'Financials DF'!K164</f>
        <v>1.6524761077324066</v>
      </c>
      <c r="O58" s="491">
        <f>-'Financials DF'!L169/'Financials DF'!L164</f>
        <v>1.2396694214876034</v>
      </c>
      <c r="P58" s="493">
        <f>-'Financials DF'!M169/'Financials DF'!M164</f>
        <v>1.0141158989598811</v>
      </c>
      <c r="Q58" s="17"/>
      <c r="R58" s="17"/>
      <c r="S58" s="17"/>
      <c r="T58" s="17"/>
      <c r="U58" s="17"/>
      <c r="V58" s="17"/>
      <c r="W58" s="17"/>
      <c r="X58" s="17"/>
      <c r="Y58" s="17"/>
      <c r="Z58" s="17"/>
    </row>
    <row r="59" spans="1:26" ht="15" customHeight="1" x14ac:dyDescent="0.3">
      <c r="A59" s="17"/>
      <c r="B59" s="481" t="s">
        <v>692</v>
      </c>
      <c r="C59" s="491">
        <f>-Fcsts!C107/Fcsts!C109</f>
        <v>2.5566279824226172</v>
      </c>
      <c r="D59" s="491">
        <f>-Fcsts!D107/Fcsts!D109</f>
        <v>2.5462791301238279</v>
      </c>
      <c r="E59" s="491">
        <f>-Fcsts!E107/Fcsts!E109</f>
        <v>2.5295680455989622</v>
      </c>
      <c r="F59" s="492">
        <f>-'Financials DF'!C167/'Financials DF'!C169</f>
        <v>1.4602026049204051</v>
      </c>
      <c r="G59" s="491">
        <f>-'Financials DF'!D167/'Financials DF'!D169</f>
        <v>2.2720848056537104</v>
      </c>
      <c r="H59" s="491">
        <f>-'Financials DF'!E167/'Financials DF'!E169</f>
        <v>0.19667013527575442</v>
      </c>
      <c r="I59" s="491">
        <f>-'Financials DF'!F167/'Financials DF'!F169</f>
        <v>2.5391872278664733</v>
      </c>
      <c r="J59" s="491">
        <f>-'Financials DF'!G167/'Financials DF'!G169</f>
        <v>1.8386243386243386</v>
      </c>
      <c r="K59" s="491">
        <f>-'Financials DF'!H167/'Financials DF'!H169</f>
        <v>1.1694915254237288</v>
      </c>
      <c r="L59" s="491">
        <f>-'Financials DF'!I167/'Financials DF'!I169</f>
        <v>1.3800645392613839</v>
      </c>
      <c r="M59" s="491">
        <f>-'Financials DF'!J167/'Financials DF'!J169</f>
        <v>1.2934494509655434</v>
      </c>
      <c r="N59" s="491">
        <f>-'Financials DF'!K167/'Financials DF'!K169</f>
        <v>1.6451104100946372</v>
      </c>
      <c r="O59" s="491">
        <f>-'Financials DF'!L167/'Financials DF'!L169</f>
        <v>1.8674074074074074</v>
      </c>
      <c r="P59" s="493">
        <f>-'Financials DF'!M167/'Financials DF'!M169</f>
        <v>1.9333333333333333</v>
      </c>
      <c r="Q59" s="17"/>
      <c r="R59" s="17"/>
      <c r="S59" s="17"/>
      <c r="T59" s="17"/>
      <c r="U59" s="17"/>
      <c r="V59" s="17"/>
      <c r="W59" s="17"/>
      <c r="X59" s="17"/>
      <c r="Y59" s="17"/>
      <c r="Z59" s="17"/>
    </row>
    <row r="60" spans="1:26" ht="15" customHeight="1" x14ac:dyDescent="0.3">
      <c r="A60" s="17"/>
      <c r="B60" s="481" t="s">
        <v>699</v>
      </c>
      <c r="C60" s="484">
        <f>Fcsts!C107/AVERAGE(Fcsts!C91:D91)</f>
        <v>0.12505714394589412</v>
      </c>
      <c r="D60" s="484">
        <f>Fcsts!D107/AVERAGE(Fcsts!D91:E91)</f>
        <v>0.11901032231588705</v>
      </c>
      <c r="E60" s="484">
        <f>Fcsts!E107/AVERAGE(Fcsts!E91:F91)</f>
        <v>0.12546319005564485</v>
      </c>
      <c r="F60" s="483">
        <f>'Financials DF'!C167/AVERAGE('Financials DF'!C104:D104)</f>
        <v>7.7778420149929667E-2</v>
      </c>
      <c r="G60" s="484">
        <f>'Financials DF'!D167/AVERAGE('Financials DF'!D104:E104)</f>
        <v>9.975758751090856E-2</v>
      </c>
      <c r="H60" s="484">
        <f>'Financials DF'!E167/AVERAGE('Financials DF'!E104:F104)</f>
        <v>7.9815874490593124E-3</v>
      </c>
      <c r="I60" s="484">
        <f>'Financials DF'!F167/AVERAGE('Financials DF'!F104:G104)</f>
        <v>0.16676596048900222</v>
      </c>
      <c r="J60" s="484">
        <f>'Financials DF'!G167/AVERAGE('Financials DF'!G104:H104)</f>
        <v>0.11426222770242499</v>
      </c>
      <c r="K60" s="484">
        <f>'Financials DF'!H167/AVERAGE('Financials DF'!H104:I104)</f>
        <v>9.62719708699869E-2</v>
      </c>
      <c r="L60" s="484">
        <f>'Financials DF'!I167/AVERAGE('Financials DF'!I104:J104)</f>
        <v>0.12351780241644336</v>
      </c>
      <c r="M60" s="484">
        <f>'Financials DF'!J167/AVERAGE('Financials DF'!J104:K104)</f>
        <v>0.11702437436837328</v>
      </c>
      <c r="N60" s="484">
        <f>'Financials DF'!K167/AVERAGE('Financials DF'!K104:L104)</f>
        <v>0.12385947550717466</v>
      </c>
      <c r="O60" s="484">
        <f>'Financials DF'!L167/AVERAGE('Financials DF'!L104:M104)</f>
        <v>7.4114361311186247E-2</v>
      </c>
      <c r="P60" s="485">
        <f>'Financials DF'!M167/AVERAGE('Financials DF'!M104:U104)</f>
        <v>5.9676179277282804E-2</v>
      </c>
      <c r="Q60" s="17"/>
      <c r="R60" s="17"/>
      <c r="S60" s="17"/>
      <c r="T60" s="17"/>
      <c r="U60" s="17"/>
      <c r="V60" s="17"/>
      <c r="W60" s="17"/>
      <c r="X60" s="17"/>
      <c r="Y60" s="17"/>
      <c r="Z60" s="17"/>
    </row>
    <row r="61" spans="1:26" ht="15" customHeight="1" x14ac:dyDescent="0.3">
      <c r="A61" s="17"/>
      <c r="B61" s="481" t="s">
        <v>236</v>
      </c>
      <c r="C61" s="499">
        <f t="shared" ref="C61:D61" si="3">C91</f>
        <v>23.170887954480989</v>
      </c>
      <c r="D61" s="499">
        <f t="shared" si="3"/>
        <v>23.124095544733088</v>
      </c>
      <c r="E61" s="499">
        <f>E91</f>
        <v>22.72015810414203</v>
      </c>
      <c r="F61" s="492">
        <f>'Financials DF'!C141</f>
        <v>29.64</v>
      </c>
      <c r="G61" s="491">
        <f>'Financials DF'!D141</f>
        <v>41.84</v>
      </c>
      <c r="H61" s="491">
        <f>'Financials DF'!E141</f>
        <v>41.61</v>
      </c>
      <c r="I61" s="491">
        <f>'Financials DF'!F141</f>
        <v>17.34</v>
      </c>
      <c r="J61" s="491">
        <f>'Financials DF'!G141</f>
        <v>24.73</v>
      </c>
      <c r="K61" s="491">
        <f>'Financials DF'!H141</f>
        <v>27.47</v>
      </c>
      <c r="L61" s="491">
        <f>'Financials DF'!I141</f>
        <v>12.16</v>
      </c>
      <c r="M61" s="491">
        <f>'Financials DF'!J141</f>
        <v>14.28</v>
      </c>
      <c r="N61" s="491">
        <f>'Financials DF'!K141</f>
        <v>16.36</v>
      </c>
      <c r="O61" s="491">
        <f>'Financials DF'!L141</f>
        <v>16.27</v>
      </c>
      <c r="P61" s="493">
        <f>'Financials DF'!M141</f>
        <v>15.17</v>
      </c>
      <c r="Q61" s="17"/>
      <c r="R61" s="17"/>
      <c r="S61" s="17"/>
      <c r="T61" s="17"/>
      <c r="U61" s="17"/>
      <c r="V61" s="17"/>
      <c r="W61" s="17"/>
      <c r="X61" s="17"/>
      <c r="Y61" s="17"/>
      <c r="Z61" s="17"/>
    </row>
    <row r="62" spans="1:26" ht="15" customHeight="1" x14ac:dyDescent="0.3">
      <c r="A62" s="17"/>
      <c r="B62" s="481" t="s">
        <v>691</v>
      </c>
      <c r="C62" s="484">
        <f>Fcsts!C107/(Fcsts!C58+Fcsts!C64)</f>
        <v>0.20621568720309227</v>
      </c>
      <c r="D62" s="484">
        <f>Fcsts!D107/(Fcsts!D58+Fcsts!D64)</f>
        <v>0.19849856041866965</v>
      </c>
      <c r="E62" s="484">
        <f>Fcsts!E107/(Fcsts!E58+Fcsts!E64)</f>
        <v>0.20585236574261806</v>
      </c>
      <c r="F62" s="483">
        <f>'Financials DF'!C167/'Financials DF'!C124</f>
        <v>0.13167166905911523</v>
      </c>
      <c r="G62" s="484">
        <f>'Financials DF'!D167/'Financials DF'!D124</f>
        <v>0.17110164981373072</v>
      </c>
      <c r="H62" s="484">
        <f>'Financials DF'!E167/'Financials DF'!E124</f>
        <v>1.1706410653453082E-2</v>
      </c>
      <c r="I62" s="484">
        <f>'Financials DF'!F167/'Financials DF'!F124</f>
        <v>0.31296958855098389</v>
      </c>
      <c r="J62" s="484">
        <f>'Financials DF'!G167/'Financials DF'!G124</f>
        <v>0.27435112997138061</v>
      </c>
      <c r="K62" s="484">
        <f>'Financials DF'!H167/'Financials DF'!H124</f>
        <v>0.14696103896103896</v>
      </c>
      <c r="L62" s="484">
        <f>'Financials DF'!I167/'Financials DF'!I124</f>
        <v>0.21807365439093485</v>
      </c>
      <c r="M62" s="484">
        <f>'Financials DF'!J167/'Financials DF'!J124</f>
        <v>0.19651383535638267</v>
      </c>
      <c r="N62" s="484">
        <f>'Financials DF'!K167/'Financials DF'!K124</f>
        <v>0.21512547267102097</v>
      </c>
      <c r="O62" s="484">
        <f>'Financials DF'!L167/'Financials DF'!L124</f>
        <v>0.18823265885163892</v>
      </c>
      <c r="P62" s="485">
        <f>'Financials DF'!M167/'Financials DF'!M124</f>
        <v>5.8330754608549577E-2</v>
      </c>
      <c r="Q62" s="17"/>
      <c r="R62" s="17"/>
      <c r="S62" s="17"/>
      <c r="T62" s="17"/>
      <c r="U62" s="17"/>
      <c r="V62" s="17"/>
      <c r="W62" s="17"/>
      <c r="X62" s="17"/>
      <c r="Y62" s="17"/>
      <c r="Z62" s="17"/>
    </row>
    <row r="63" spans="1:26" ht="15" customHeight="1" x14ac:dyDescent="0.3">
      <c r="A63" s="17"/>
      <c r="B63" s="481" t="s">
        <v>693</v>
      </c>
      <c r="C63" s="746">
        <f>(Fcsts!C107+Fcsts!C12)/Fcsts!C12</f>
        <v>5.1683862238768095</v>
      </c>
      <c r="D63" s="746">
        <f>(Fcsts!D107+Fcsts!D12)/Fcsts!D12</f>
        <v>4.9441901272106641</v>
      </c>
      <c r="E63" s="746">
        <f>(Fcsts!E107+Fcsts!E12)/Fcsts!E12</f>
        <v>4.9905318069731193</v>
      </c>
      <c r="F63" s="492">
        <f>('Financials DF'!C167+'Financials DF'!C46)/'Financials DF'!C41</f>
        <v>3.0253929866989115</v>
      </c>
      <c r="G63" s="491">
        <f>('Financials DF'!D167+'Financials DF'!D46)/'Financials DF'!D41</f>
        <v>3.5402843601895735</v>
      </c>
      <c r="H63" s="491">
        <f>('Financials DF'!E167+'Financials DF'!E46)/'Financials DF'!E41</f>
        <v>0.49029622063329931</v>
      </c>
      <c r="I63" s="491">
        <f>('Financials DF'!F167+'Financials DF'!F46)/'Financials DF'!F41</f>
        <v>7.2724252491694354</v>
      </c>
      <c r="J63" s="491">
        <f>('Financials DF'!G167+'Financials DF'!G46)/'Financials DF'!G41</f>
        <v>6.3175182481751824</v>
      </c>
      <c r="K63" s="491">
        <f>('Financials DF'!H167+'Financials DF'!H46)/'Financials DF'!H41</f>
        <v>8.3800000000000008</v>
      </c>
      <c r="L63" s="491">
        <f>('Financials DF'!I167+'Financials DF'!I46)/'Financials DF'!I41</f>
        <v>6.9100294985250734</v>
      </c>
      <c r="M63" s="491">
        <f>('Financials DF'!J167+'Financials DF'!J46)/'Financials DF'!J41</f>
        <v>7.2654424040066781</v>
      </c>
      <c r="N63" s="491">
        <f>('Financials DF'!K167+'Financials DF'!K46)/'Financials DF'!K41</f>
        <v>6.9680851063829783</v>
      </c>
      <c r="O63" s="491">
        <f>('Financials DF'!L167+'Financials DF'!L46)/'Financials DF'!L41</f>
        <v>4.1923076923076925</v>
      </c>
      <c r="P63" s="493">
        <f>('Financials DF'!M167+'Financials DF'!M46)/'Financials DF'!M41</f>
        <v>0.31259407927747113</v>
      </c>
      <c r="Q63" s="17"/>
      <c r="R63" s="17"/>
      <c r="S63" s="17"/>
      <c r="T63" s="17"/>
      <c r="U63" s="17"/>
      <c r="V63" s="17"/>
      <c r="W63" s="17"/>
      <c r="X63" s="17"/>
      <c r="Y63" s="17"/>
      <c r="Z63" s="17"/>
    </row>
    <row r="64" spans="1:26" ht="15" customHeight="1" x14ac:dyDescent="0.3">
      <c r="A64" s="17"/>
      <c r="B64" s="481" t="s">
        <v>702</v>
      </c>
      <c r="C64" s="746">
        <f>-Fcsts!C107/Fcsts!C40</f>
        <v>-3.3255744517280892</v>
      </c>
      <c r="D64" s="746">
        <f>-Fcsts!D107/Fcsts!D40</f>
        <v>-3.3465004674253009</v>
      </c>
      <c r="E64" s="746">
        <f>-Fcsts!E107/Fcsts!E40</f>
        <v>-4.4327544346425078</v>
      </c>
      <c r="F64" s="492">
        <f>'Financials DF'!C167/'Financials DF'!C70</f>
        <v>2.793002269833361</v>
      </c>
      <c r="G64" s="491" t="e">
        <f>'Financials DF'!D167/'Financials DF'!D70</f>
        <v>#VALUE!</v>
      </c>
      <c r="H64" s="491" t="e">
        <f>'Financials DF'!E167/'Financials DF'!E70</f>
        <v>#VALUE!</v>
      </c>
      <c r="I64" s="491">
        <f>'Financials DF'!F167/'Financials DF'!F70</f>
        <v>2.3436819719347599</v>
      </c>
      <c r="J64" s="491">
        <f>'Financials DF'!G167/'Financials DF'!G70</f>
        <v>1.4164017282139072</v>
      </c>
      <c r="K64" s="491">
        <f>'Financials DF'!H167/'Financials DF'!H70</f>
        <v>2.1896284829721364</v>
      </c>
      <c r="L64" s="491">
        <f>'Financials DF'!I167/'Financials DF'!I70</f>
        <v>2.9878900791802514</v>
      </c>
      <c r="M64" s="491">
        <f>'Financials DF'!J167/'Financials DF'!J70</f>
        <v>2.7524414219873017</v>
      </c>
      <c r="N64" s="491">
        <f>'Financials DF'!K167/'Financials DF'!K70</f>
        <v>2.9253926701570685</v>
      </c>
      <c r="O64" s="491">
        <f>'Financials DF'!L167/'Financials DF'!L70</f>
        <v>2.8102287421411689</v>
      </c>
      <c r="P64" s="493">
        <f>'Financials DF'!M167/'Financials DF'!M70</f>
        <v>3.5782080485952923</v>
      </c>
      <c r="Q64" s="17"/>
      <c r="R64" s="17"/>
      <c r="S64" s="17"/>
      <c r="T64" s="17"/>
      <c r="U64" s="17"/>
      <c r="V64" s="17"/>
      <c r="W64" s="17"/>
      <c r="X64" s="17"/>
      <c r="Y64" s="17"/>
      <c r="Z64" s="17"/>
    </row>
    <row r="65" spans="1:26" ht="15" customHeight="1" x14ac:dyDescent="0.3">
      <c r="A65" s="17"/>
      <c r="B65" s="481" t="s">
        <v>728</v>
      </c>
      <c r="C65" s="491">
        <f>(Fcsts!C107+Fcsts!C12)/(-Fcsts!C109+Fcsts!C12+Fcsts!C40)</f>
        <v>1.3307354947240888</v>
      </c>
      <c r="D65" s="491">
        <f>(Fcsts!D107+Fcsts!D12)/(-Fcsts!D109+Fcsts!D12+Fcsts!D40)</f>
        <v>1.3263725501545538</v>
      </c>
      <c r="E65" s="491">
        <f>(Fcsts!E107+Fcsts!E12)/(-Fcsts!E109+Fcsts!E12+Fcsts!E40)</f>
        <v>1.4349712675570372</v>
      </c>
      <c r="F65" s="492">
        <f>('Financials DF'!C167+'Financials DF'!C46)/(-'Financials DF'!C169+'Financials DF'!C46+'Financials DF'!C70)</f>
        <v>0.9665754948773817</v>
      </c>
      <c r="G65" s="491" t="e">
        <f>('Financials DF'!D167+'Financials DF'!D46)/(-'Financials DF'!D169+'Financials DF'!D46+'Financials DF'!D70)</f>
        <v>#VALUE!</v>
      </c>
      <c r="H65" s="491" t="e">
        <f>('Financials DF'!E167+'Financials DF'!E46)/(-'Financials DF'!E169+'Financials DF'!E46+'Financials DF'!E70)</f>
        <v>#VALUE!</v>
      </c>
      <c r="I65" s="491">
        <f>('Financials DF'!F167+'Financials DF'!F46)/(-'Financials DF'!F169+'Financials DF'!F46+'Financials DF'!F70)</f>
        <v>1.1674822330964414</v>
      </c>
      <c r="J65" s="491">
        <f>('Financials DF'!G167+'Financials DF'!G46)/(-'Financials DF'!G169+'Financials DF'!G46+'Financials DF'!G70)</f>
        <v>0.83286822302199803</v>
      </c>
      <c r="K65" s="491">
        <f>('Financials DF'!H167+'Financials DF'!H46)/(-'Financials DF'!H169+'Financials DF'!H46+'Financials DF'!H70)</f>
        <v>0.8104448742746615</v>
      </c>
      <c r="L65" s="491">
        <f>('Financials DF'!I167+'Financials DF'!I46)/(-'Financials DF'!I169+'Financials DF'!I46+'Financials DF'!I70)</f>
        <v>0.95355369209476515</v>
      </c>
      <c r="M65" s="491">
        <f>('Financials DF'!J167+'Financials DF'!J46)/(-'Financials DF'!J169+'Financials DF'!J46+'Financials DF'!J70)</f>
        <v>0.903264370869724</v>
      </c>
      <c r="N65" s="491">
        <f>('Financials DF'!K167+'Financials DF'!K46)/(-'Financials DF'!K169+'Financials DF'!K46+'Financials DF'!K70)</f>
        <v>1.0417218894131368</v>
      </c>
      <c r="O65" s="491">
        <f>('Financials DF'!L167+'Financials DF'!L46)/(-'Financials DF'!L169+'Financials DF'!L46+'Financials DF'!L70)</f>
        <v>1.0948778696814776</v>
      </c>
      <c r="P65" s="493">
        <f>('Financials DF'!M167+'Financials DF'!M46)/(-'Financials DF'!M169+'Financials DF'!M46+'Financials DF'!M70)</f>
        <v>7.2006472491909399</v>
      </c>
      <c r="Q65" s="17"/>
      <c r="R65" s="17"/>
      <c r="S65" s="17"/>
      <c r="T65" s="17"/>
      <c r="U65" s="17"/>
      <c r="V65" s="17"/>
      <c r="W65" s="17"/>
      <c r="X65" s="17"/>
      <c r="Y65" s="17"/>
      <c r="Z65" s="17"/>
    </row>
    <row r="66" spans="1:26" ht="15" customHeight="1" x14ac:dyDescent="0.3">
      <c r="A66" s="17"/>
      <c r="B66" s="486" t="s">
        <v>700</v>
      </c>
      <c r="C66" s="489">
        <f>(Fcsts!C131/Fcsts!C32)/('Financials DF'!C26)</f>
        <v>0.11868597574040757</v>
      </c>
      <c r="D66" s="489">
        <f>(Fcsts!D131/Fcsts!D32)/('Financials DF'!D26)</f>
        <v>0.10035426001866821</v>
      </c>
      <c r="E66" s="489">
        <f>(Fcsts!E131/Fcsts!E32)/('Financials DF'!E26)</f>
        <v>0.10261368070745623</v>
      </c>
      <c r="F66" s="488">
        <f>('Financials DF'!C189/'Financials DF'!C62)/('Financials DF'!C26)</f>
        <v>1.6825731690449097E-3</v>
      </c>
      <c r="G66" s="489">
        <f>('Financials DF'!D189/'Financials DF'!D62)/('Financials DF'!D26)</f>
        <v>8.3231063324221578E-3</v>
      </c>
      <c r="H66" s="489">
        <f>('Financials DF'!E189/'Financials DF'!E62)/('Financials DF'!E26)</f>
        <v>5.4178990570676027E-3</v>
      </c>
      <c r="I66" s="489">
        <f>('Financials DF'!F189/'Financials DF'!F62)/('Financials DF'!F26)</f>
        <v>0.10090261161121963</v>
      </c>
      <c r="J66" s="489">
        <f>('Financials DF'!G189/'Financials DF'!G62)/('Financials DF'!G26)</f>
        <v>6.3750427782667041E-2</v>
      </c>
      <c r="K66" s="489">
        <f>('Financials DF'!H189/'Financials DF'!H62)/('Financials DF'!H26)</f>
        <v>5.200564509949334E-2</v>
      </c>
      <c r="L66" s="489">
        <f>('Financials DF'!I189/'Financials DF'!I62)/('Financials DF'!I26)</f>
        <v>1.8413383042743831E-2</v>
      </c>
      <c r="M66" s="489">
        <f>('Financials DF'!J189/'Financials DF'!J62)/('Financials DF'!J26)</f>
        <v>3.6479530143651753E-2</v>
      </c>
      <c r="N66" s="489">
        <f>('Financials DF'!K189/'Financials DF'!K62)/('Financials DF'!K26)</f>
        <v>3.3075197244442453E-2</v>
      </c>
      <c r="O66" s="489">
        <f>('Financials DF'!L189/'Financials DF'!L62)/('Financials DF'!L26)</f>
        <v>-8.0252378736286548E-3</v>
      </c>
      <c r="P66" s="490">
        <f>('Financials DF'!M189/'Financials DF'!M62)/('Financials DF'!M26)</f>
        <v>6.8827854458321708E-2</v>
      </c>
      <c r="Q66" s="17"/>
      <c r="R66" s="17"/>
      <c r="S66" s="17"/>
      <c r="T66" s="17"/>
      <c r="U66" s="17"/>
      <c r="V66" s="17"/>
      <c r="W66" s="17"/>
      <c r="X66" s="17"/>
      <c r="Y66" s="17"/>
      <c r="Z66" s="17"/>
    </row>
    <row r="67" spans="1:26" ht="15" customHeight="1" x14ac:dyDescent="0.3">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spans="1:26" ht="15" customHeight="1" x14ac:dyDescent="0.3">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spans="1:26" ht="15" customHeight="1" x14ac:dyDescent="0.3">
      <c r="A69" s="17"/>
      <c r="B69" s="477" t="s">
        <v>709</v>
      </c>
      <c r="C69" s="478"/>
      <c r="D69" s="478"/>
      <c r="E69" s="478"/>
      <c r="F69" s="479"/>
      <c r="G69" s="478"/>
      <c r="H69" s="478"/>
      <c r="I69" s="478"/>
      <c r="J69" s="478"/>
      <c r="K69" s="478"/>
      <c r="L69" s="478"/>
      <c r="M69" s="478"/>
      <c r="N69" s="478"/>
      <c r="O69" s="478"/>
      <c r="P69" s="480"/>
      <c r="Q69" s="17"/>
      <c r="R69" s="17"/>
      <c r="S69" s="17"/>
      <c r="T69" s="17"/>
      <c r="U69" s="17"/>
      <c r="V69" s="17"/>
      <c r="W69" s="17"/>
      <c r="X69" s="17"/>
      <c r="Y69" s="17"/>
      <c r="Z69" s="17"/>
    </row>
    <row r="70" spans="1:26" ht="15" customHeight="1" x14ac:dyDescent="0.3">
      <c r="A70" s="17"/>
      <c r="B70" s="481" t="s">
        <v>710</v>
      </c>
      <c r="C70" s="491">
        <f>C71/(Fcsts!C33/Fcsts!D33-1)/100</f>
        <v>0.93707730059062566</v>
      </c>
      <c r="D70" s="491">
        <f>D71/(Fcsts!D33/Fcsts!E33-1)/100</f>
        <v>0.51633515384848794</v>
      </c>
      <c r="E70" s="491">
        <f>E71/(Fcsts!E33/Fcsts!F33-1)/100</f>
        <v>0.30266328401947851</v>
      </c>
      <c r="F70" s="492">
        <f>F71/(Fcsts!E33/Fcsts!F33-1)/100</f>
        <v>0.46024212473834636</v>
      </c>
      <c r="G70" s="491">
        <f>G71/('Financials DF'!C63/'Financials DF'!D63-1)/100</f>
        <v>-35.720833333333459</v>
      </c>
      <c r="H70" s="491">
        <f>H71/('Financials DF'!D63/'Financials DF'!E63-1)/100</f>
        <v>0.34464157706093196</v>
      </c>
      <c r="I70" s="491">
        <f>I71/('Financials DF'!E63/'Financials DF'!F63-1)/100</f>
        <v>-0.14264288830715535</v>
      </c>
      <c r="J70" s="491">
        <f>J71/('Financials DF'!F63/'Financials DF'!G63-1)/100</f>
        <v>0.3179845422116529</v>
      </c>
      <c r="K70" s="491">
        <f>K71/('Financials DF'!G63/'Financials DF'!H63-1)/100</f>
        <v>-6.522583871960605E-2</v>
      </c>
      <c r="L70" s="491">
        <f>L71/('Financials DF'!H63/'Financials DF'!I63-1)/100</f>
        <v>0.1029317269076305</v>
      </c>
      <c r="M70" s="491">
        <f>M71/('Financials DF'!I63/'Financials DF'!J63-1)/100</f>
        <v>2.9336489898989897</v>
      </c>
      <c r="N70" s="491">
        <f>N71/('Financials DF'!J63/'Financials DF'!K63-1)/100</f>
        <v>1.5758333333333321</v>
      </c>
      <c r="O70" s="491">
        <f>O71/('Financials DF'!K63/'Financials DF'!L63-1)/100</f>
        <v>0.68915300546448066</v>
      </c>
      <c r="P70" s="493">
        <f>P71/('Financials DF'!L63/'Financials DF'!M63-1)/100</f>
        <v>-4.4818600922028468E-2</v>
      </c>
      <c r="Q70" s="17"/>
      <c r="R70" s="17"/>
      <c r="S70" s="17"/>
      <c r="T70" s="17"/>
      <c r="U70" s="17"/>
      <c r="V70" s="17"/>
      <c r="W70" s="17"/>
      <c r="X70" s="17"/>
      <c r="Y70" s="17"/>
      <c r="Z70" s="17"/>
    </row>
    <row r="71" spans="1:26" ht="15" customHeight="1" x14ac:dyDescent="0.3">
      <c r="A71" s="17"/>
      <c r="B71" s="481" t="s">
        <v>734</v>
      </c>
      <c r="C71" s="491">
        <f>('Financials DF'!$C$20)/Fcsts!C33</f>
        <v>10.24750323350054</v>
      </c>
      <c r="D71" s="491">
        <f>('Financials DF'!$C$20)/Fcsts!D33</f>
        <v>11.368129274216891</v>
      </c>
      <c r="E71" s="491">
        <f>('Financials DF'!$C$20)/Fcsts!E33</f>
        <v>13.871045495048705</v>
      </c>
      <c r="F71" s="492">
        <f>('Financials DF'!C26)/'Financials DF'!C63</f>
        <v>21.092877094972067</v>
      </c>
      <c r="G71" s="491">
        <f>('Financials DF'!D26)/'Financials DF'!D63</f>
        <v>19.844907407407408</v>
      </c>
      <c r="H71" s="491">
        <f>('Financials DF'!E26)/'Financials DF'!E63</f>
        <v>62.846405228758172</v>
      </c>
      <c r="I71" s="491">
        <f>('Financials DF'!F26)/'Financials DF'!F63</f>
        <v>12.224247522901479</v>
      </c>
      <c r="J71" s="491">
        <f>('Financials DF'!G26)/'Financials DF'!G63</f>
        <v>28.389065817409772</v>
      </c>
      <c r="K71" s="491">
        <f>('Financials DF'!H26)/'Financials DF'!H63</f>
        <v>5.3575717355580847</v>
      </c>
      <c r="L71" s="491">
        <f>('Financials DF'!I26)/'Financials DF'!I63</f>
        <v>17.488911634254521</v>
      </c>
      <c r="M71" s="491">
        <f>('Financials DF'!J26)/'Financials DF'!J63</f>
        <v>21.253658982802783</v>
      </c>
      <c r="N71" s="491">
        <f>('Financials DF'!K26)/'Financials DF'!K63</f>
        <v>16.216202582728005</v>
      </c>
      <c r="O71" s="491">
        <f>('Financials DF'!L26)/'Financials DF'!L63</f>
        <v>15.604429596634496</v>
      </c>
      <c r="P71" s="493">
        <f>('Financials DF'!M26)/'Financials DF'!M63</f>
        <v>3.189956487623939</v>
      </c>
      <c r="Q71" s="17"/>
      <c r="R71" s="17"/>
      <c r="S71" s="17"/>
      <c r="T71" s="17"/>
      <c r="U71" s="17"/>
      <c r="V71" s="17"/>
      <c r="W71" s="17"/>
      <c r="X71" s="17"/>
      <c r="Y71" s="17"/>
      <c r="Z71" s="17"/>
    </row>
    <row r="72" spans="1:26" ht="15" customHeight="1" x14ac:dyDescent="0.3">
      <c r="A72" s="17"/>
      <c r="B72" s="481" t="s">
        <v>735</v>
      </c>
      <c r="C72" s="491">
        <f>('Financials DF'!$C$20)/(Fcsts!C53/Fcsts!C32)</f>
        <v>1.6009719687326203</v>
      </c>
      <c r="D72" s="491">
        <f>('Financials DF'!$C$20)/(Fcsts!D53/Fcsts!D32)</f>
        <v>1.6681613324903632</v>
      </c>
      <c r="E72" s="491">
        <f>('Financials DF'!$C$20)/(Fcsts!E53/Fcsts!E32)</f>
        <v>1.7320238699303427</v>
      </c>
      <c r="F72" s="492">
        <f>('Financials DF'!C26)/('Financials DF'!C129/'Financials DF'!C62)</f>
        <v>1.8464131030701751</v>
      </c>
      <c r="G72" s="491">
        <f>('Financials DF'!D26)/('Financials DF'!D129/'Financials DF'!D62)</f>
        <v>1.8040839090880474</v>
      </c>
      <c r="H72" s="491">
        <f>('Financials DF'!E26)/('Financials DF'!E129/'Financials DF'!E62)</f>
        <v>2.1849692145457018</v>
      </c>
      <c r="I72" s="491">
        <f>('Financials DF'!F26)/('Financials DF'!F129/'Financials DF'!F62)</f>
        <v>2.8642301742387235</v>
      </c>
      <c r="J72" s="491">
        <f>('Financials DF'!G26)/('Financials DF'!G129/'Financials DF'!G62)</f>
        <v>3.4971949111857898</v>
      </c>
      <c r="K72" s="491">
        <f>('Financials DF'!H26)/('Financials DF'!H129/'Financials DF'!H62)</f>
        <v>4.3330712593094116</v>
      </c>
      <c r="L72" s="491">
        <f>('Financials DF'!I26)/('Financials DF'!I129/'Financials DF'!I62)</f>
        <v>3.5568216875496446</v>
      </c>
      <c r="M72" s="491">
        <f>('Financials DF'!J26)/('Financials DF'!J129/'Financials DF'!J62)</f>
        <v>3.6470838293303456</v>
      </c>
      <c r="N72" s="491">
        <f>('Financials DF'!K26)/('Financials DF'!K129/'Financials DF'!K62)</f>
        <v>2.9359799813780256</v>
      </c>
      <c r="O72" s="491">
        <f>('Financials DF'!L26)/('Financials DF'!L129/'Financials DF'!L62)</f>
        <v>2.6680113618178907</v>
      </c>
      <c r="P72" s="493">
        <f>('Financials DF'!M26)/('Financials DF'!M129/'Financials DF'!M62)</f>
        <v>-19.115607843137258</v>
      </c>
      <c r="Q72" s="17"/>
      <c r="R72" s="17"/>
      <c r="S72" s="17"/>
      <c r="T72" s="17"/>
      <c r="U72" s="17"/>
      <c r="V72" s="17"/>
      <c r="W72" s="17"/>
      <c r="X72" s="17"/>
      <c r="Y72" s="17"/>
      <c r="Z72" s="17"/>
    </row>
    <row r="73" spans="1:26" ht="15" customHeight="1" x14ac:dyDescent="0.3">
      <c r="A73" s="17"/>
      <c r="B73" s="481" t="s">
        <v>714</v>
      </c>
      <c r="C73" s="491">
        <f>C15*C71</f>
        <v>0.65650446003195417</v>
      </c>
      <c r="D73" s="491">
        <f>D15*D71</f>
        <v>0.72081344380623846</v>
      </c>
      <c r="E73" s="491">
        <f>E15*E71</f>
        <v>0.79155644556146931</v>
      </c>
      <c r="F73" s="492">
        <f>('Financials DF'!C26)/('Financials DF'!C35/'Financials DF'!C62)</f>
        <v>0.93395937326677758</v>
      </c>
      <c r="G73" s="491">
        <f>('Financials DF'!D26)/('Financials DF'!D35/'Financials DF'!D62)</f>
        <v>0.90110587327044023</v>
      </c>
      <c r="H73" s="491">
        <f>('Financials DF'!E26)/('Financials DF'!E35/'Financials DF'!E62)</f>
        <v>1.1362582037538256</v>
      </c>
      <c r="I73" s="491">
        <f>('Financials DF'!F26)/('Financials DF'!F35/'Financials DF'!F62)</f>
        <v>1.3578857674432969</v>
      </c>
      <c r="J73" s="491">
        <f>('Financials DF'!G26)/('Financials DF'!G35/'Financials DF'!G62)</f>
        <v>1.7581351064343296</v>
      </c>
      <c r="K73" s="491">
        <f>('Financials DF'!H26)/('Financials DF'!H35/'Financials DF'!H62)</f>
        <v>2.0089817672909915</v>
      </c>
      <c r="L73" s="491">
        <f>('Financials DF'!I26)/('Financials DF'!I35/'Financials DF'!I62)</f>
        <v>1.224221963523477</v>
      </c>
      <c r="M73" s="491">
        <f>('Financials DF'!J26)/('Financials DF'!J35/'Financials DF'!J62)</f>
        <v>1.5450151038731177</v>
      </c>
      <c r="N73" s="491">
        <f>('Financials DF'!K26)/('Financials DF'!K35/'Financials DF'!K62)</f>
        <v>1.1243982107835424</v>
      </c>
      <c r="O73" s="491">
        <f>('Financials DF'!L26)/('Financials DF'!L35/'Financials DF'!L62)</f>
        <v>1.0148030944902979</v>
      </c>
      <c r="P73" s="493">
        <f>('Financials DF'!M26)/('Financials DF'!M35/'Financials DF'!M62)</f>
        <v>0.77452609835544617</v>
      </c>
      <c r="Q73" s="17"/>
      <c r="R73" s="17"/>
      <c r="S73" s="17"/>
      <c r="T73" s="17"/>
      <c r="U73" s="17"/>
      <c r="V73" s="17"/>
      <c r="W73" s="17"/>
      <c r="X73" s="17"/>
      <c r="Y73" s="17"/>
      <c r="Z73" s="17"/>
    </row>
    <row r="74" spans="1:26" ht="15" customHeight="1" x14ac:dyDescent="0.3">
      <c r="A74" s="17"/>
      <c r="B74" s="481" t="s">
        <v>711</v>
      </c>
      <c r="C74" s="746">
        <f>('Financials DF'!$C$20)/(Fcsts!C132)</f>
        <v>8.4349564243374378</v>
      </c>
      <c r="D74" s="746">
        <f>('Financials DF'!$C$20)/(Fcsts!D132)</f>
        <v>9.3231995409330111</v>
      </c>
      <c r="E74" s="746">
        <f>('Financials DF'!$C$20)/(Fcsts!E132)</f>
        <v>9.4091501291851127</v>
      </c>
      <c r="F74" s="492">
        <f>('Financials DF'!C26)/('Financials DF'!C167/'Financials DF'!C62)</f>
        <v>10.013451437066403</v>
      </c>
      <c r="G74" s="491">
        <f>('Financials DF'!D26)/('Financials DF'!D167/'Financials DF'!D62)</f>
        <v>7.4274667625712807</v>
      </c>
      <c r="H74" s="491">
        <f>('Financials DF'!E26)/('Financials DF'!E167/'Financials DF'!E62)</f>
        <v>113.28313932980602</v>
      </c>
      <c r="I74" s="491">
        <f>('Financials DF'!F26)/('Financials DF'!F167/'Financials DF'!F62)</f>
        <v>8.3782211584262161</v>
      </c>
      <c r="J74" s="491">
        <f>('Financials DF'!G26)/('Financials DF'!G167/'Financials DF'!G62)</f>
        <v>13.101901079136693</v>
      </c>
      <c r="K74" s="491">
        <f>('Financials DF'!H26)/('Financials DF'!H167/'Financials DF'!H62)</f>
        <v>13.573586956521741</v>
      </c>
      <c r="L74" s="491">
        <f>('Financials DF'!I26)/('Financials DF'!I167/'Financials DF'!I62)</f>
        <v>12.021484368234173</v>
      </c>
      <c r="M74" s="491">
        <f>('Financials DF'!J26)/('Financials DF'!J167/'Financials DF'!J62)</f>
        <v>15.247073819281811</v>
      </c>
      <c r="N74" s="491">
        <f>('Financials DF'!K26)/('Financials DF'!K167/'Financials DF'!K62)</f>
        <v>11.421140406945774</v>
      </c>
      <c r="O74" s="491">
        <f>('Financials DF'!L26)/('Financials DF'!L167/'Financials DF'!L62)</f>
        <v>11.022347613380933</v>
      </c>
      <c r="P74" s="493">
        <f>('Financials DF'!M26)/('Financials DF'!M167/'Financials DF'!M62)</f>
        <v>7.388374384236454</v>
      </c>
      <c r="Q74" s="17"/>
      <c r="R74" s="17"/>
      <c r="S74" s="17"/>
      <c r="T74" s="17"/>
      <c r="U74" s="17"/>
      <c r="V74" s="17"/>
      <c r="W74" s="17"/>
      <c r="X74" s="17"/>
      <c r="Y74" s="17"/>
      <c r="Z74" s="17"/>
    </row>
    <row r="75" spans="1:26" ht="15" customHeight="1" x14ac:dyDescent="0.3">
      <c r="A75" s="17"/>
      <c r="B75" s="481" t="s">
        <v>305</v>
      </c>
      <c r="C75" s="484">
        <f>Fcsts!C39/('Financials DF'!$C$20)</f>
        <v>5.8550847589734348E-2</v>
      </c>
      <c r="D75" s="484">
        <f>Fcsts!D39/('Financials DF'!$C$20)</f>
        <v>5.2779132390833206E-2</v>
      </c>
      <c r="E75" s="484">
        <f>Fcsts!E39/('Financials DF'!$C$20)</f>
        <v>3.9650940529055545E-2</v>
      </c>
      <c r="F75" s="497">
        <f>'Financials DF'!C69/'Financials DF'!C26</f>
        <v>3.5755669591127304E-2</v>
      </c>
      <c r="G75" s="496" t="e">
        <f>'Financials DF'!D69/'Financials DF'!D26</f>
        <v>#VALUE!</v>
      </c>
      <c r="H75" s="496" t="e">
        <f>'Financials DF'!E69/'Financials DF'!E26</f>
        <v>#VALUE!</v>
      </c>
      <c r="I75" s="496">
        <f>'Financials DF'!F69/'Financials DF'!F26</f>
        <v>5.0927164978015679E-2</v>
      </c>
      <c r="J75" s="496">
        <f>'Financials DF'!G69/'Financials DF'!G26</f>
        <v>3.8889408245302418E-2</v>
      </c>
      <c r="K75" s="496">
        <f>'Financials DF'!H69/'Financials DF'!H26</f>
        <v>3.3621376117025974E-2</v>
      </c>
      <c r="L75" s="496">
        <f>'Financials DF'!I69/'Financials DF'!I26</f>
        <v>2.7799453765119001E-2</v>
      </c>
      <c r="M75" s="496">
        <f>'Financials DF'!J69/'Financials DF'!J26</f>
        <v>2.375777399987088E-2</v>
      </c>
      <c r="N75" s="496">
        <f>'Financials DF'!K69/'Financials DF'!K26</f>
        <v>2.9862817681276643E-2</v>
      </c>
      <c r="O75" s="496">
        <f>'Financials DF'!L69/'Financials DF'!L26</f>
        <v>3.2113547159338701E-2</v>
      </c>
      <c r="P75" s="498">
        <f>'Financials DF'!M69/'Financials DF'!M26</f>
        <v>3.7567084078711989E-2</v>
      </c>
      <c r="Q75" s="17"/>
      <c r="R75" s="17"/>
      <c r="S75" s="17"/>
      <c r="T75" s="17"/>
      <c r="U75" s="17"/>
      <c r="V75" s="17"/>
      <c r="W75" s="17"/>
      <c r="X75" s="17"/>
      <c r="Y75" s="17"/>
      <c r="Z75" s="17"/>
    </row>
    <row r="76" spans="1:26" ht="15" customHeight="1" x14ac:dyDescent="0.3">
      <c r="A76" s="17"/>
      <c r="B76" s="481" t="s">
        <v>712</v>
      </c>
      <c r="C76" s="482">
        <f>1-(Fcsts!C39/Fcsts!C28)</f>
        <v>0.3394110057311418</v>
      </c>
      <c r="D76" s="482">
        <f>1-(Fcsts!D39/Fcsts!D28)</f>
        <v>0.36329230228455367</v>
      </c>
      <c r="E76" s="482">
        <f>1-(Fcsts!E39/Fcsts!E28)</f>
        <v>0.43519904326615666</v>
      </c>
      <c r="F76" s="494">
        <f>1-('Financials DF'!C69/'Financials DF'!C58)</f>
        <v>0.25311203319502062</v>
      </c>
      <c r="G76" s="482" t="e">
        <f>1-('Financials DF'!D69/'Financials DF'!D58)</f>
        <v>#VALUE!</v>
      </c>
      <c r="H76" s="482" t="e">
        <f>1-('Financials DF'!E69/'Financials DF'!E58)</f>
        <v>#VALUE!</v>
      </c>
      <c r="I76" s="482">
        <f>1-('Financials DF'!F69/'Financials DF'!F58)</f>
        <v>0.3718166383701188</v>
      </c>
      <c r="J76" s="482">
        <f>1-('Financials DF'!G69/'Financials DF'!G58)</f>
        <v>0.7092535644394744</v>
      </c>
      <c r="K76" s="482">
        <f>1-('Financials DF'!H69/'Financials DF'!H58)</f>
        <v>3.3227383863080684</v>
      </c>
      <c r="L76" s="482">
        <f>1-('Financials DF'!I69/'Financials DF'!I58)</f>
        <v>0.22512234910277329</v>
      </c>
      <c r="M76" s="482">
        <f>1-('Financials DF'!J69/'Financials DF'!J58)</f>
        <v>0.48574622694242586</v>
      </c>
      <c r="N76" s="482">
        <f>1-('Financials DF'!K69/'Financials DF'!K58)</f>
        <v>0.49206349206349198</v>
      </c>
      <c r="O76" s="482">
        <f>1-('Financials DF'!L69/'Financials DF'!L58)</f>
        <v>0.82292759706190977</v>
      </c>
      <c r="P76" s="495">
        <f>1-('Financials DF'!M69/'Financials DF'!M58)</f>
        <v>1.172946263125386</v>
      </c>
      <c r="Q76" s="17"/>
      <c r="R76" s="17"/>
      <c r="S76" s="17"/>
      <c r="T76" s="17"/>
      <c r="U76" s="17"/>
      <c r="V76" s="17"/>
      <c r="W76" s="17"/>
      <c r="X76" s="17"/>
      <c r="Y76" s="17"/>
      <c r="Z76" s="17"/>
    </row>
    <row r="77" spans="1:26" ht="15" customHeight="1" x14ac:dyDescent="0.3">
      <c r="A77" s="17"/>
      <c r="B77" s="481" t="s">
        <v>73</v>
      </c>
      <c r="C77" s="491">
        <f>'Financials DF'!$C$21/Fcsts!C34</f>
        <v>4.4092825282132111</v>
      </c>
      <c r="D77" s="491">
        <f>'Financials DF'!$C$21/Fcsts!D34</f>
        <v>4.6427739303044939</v>
      </c>
      <c r="E77" s="491">
        <f>'Financials DF'!$C$21/Fcsts!E34</f>
        <v>5.1145796411248297</v>
      </c>
      <c r="F77" s="492">
        <f>'Financials DF'!C27/'Financials DF'!C64</f>
        <v>6.2364006791009077</v>
      </c>
      <c r="G77" s="491">
        <f>'Financials DF'!D27/'Financials DF'!D64</f>
        <v>6.3385319744143036</v>
      </c>
      <c r="H77" s="491">
        <f>'Financials DF'!E27/'Financials DF'!E64</f>
        <v>8.4560966172523191</v>
      </c>
      <c r="I77" s="491">
        <f>'Financials DF'!F27/'Financials DF'!F64</f>
        <v>7.2488999544211499</v>
      </c>
      <c r="J77" s="491">
        <f>'Financials DF'!G27/'Financials DF'!G64</f>
        <v>13.533733075068868</v>
      </c>
      <c r="K77" s="491">
        <f>'Financials DF'!H27/'Financials DF'!H64</f>
        <v>8.5508314159597223</v>
      </c>
      <c r="L77" s="491">
        <f>'Financials DF'!I27/'Financials DF'!I64</f>
        <v>9.0103194905819315</v>
      </c>
      <c r="M77" s="491">
        <f>'Financials DF'!J27/'Financials DF'!J64</f>
        <v>11.453629453590311</v>
      </c>
      <c r="N77" s="491">
        <f>'Financials DF'!K27/'Financials DF'!K64</f>
        <v>8.9825903477898876</v>
      </c>
      <c r="O77" s="491">
        <f>'Financials DF'!L27/'Financials DF'!L64</f>
        <v>4.2026249875164554</v>
      </c>
      <c r="P77" s="493">
        <f>'Financials DF'!M27/'Financials DF'!M64</f>
        <v>-3.8533072855446715</v>
      </c>
      <c r="Q77" s="17"/>
      <c r="R77" s="17"/>
      <c r="S77" s="17"/>
      <c r="T77" s="17"/>
      <c r="U77" s="17"/>
      <c r="V77" s="17"/>
      <c r="W77" s="17"/>
      <c r="X77" s="17"/>
      <c r="Y77" s="17"/>
      <c r="Z77" s="17"/>
    </row>
    <row r="78" spans="1:26" ht="15" customHeight="1" x14ac:dyDescent="0.3">
      <c r="A78" s="17"/>
      <c r="B78" s="486" t="s">
        <v>713</v>
      </c>
      <c r="C78" s="500">
        <f>'Financials DF'!$C$21/Fcsts!C6</f>
        <v>0.7774089322177663</v>
      </c>
      <c r="D78" s="500">
        <f>'Financials DF'!$C$21/Fcsts!D6</f>
        <v>0.82270377486308532</v>
      </c>
      <c r="E78" s="500">
        <f>'Financials DF'!$C$21/Fcsts!E6</f>
        <v>0.87427162994237451</v>
      </c>
      <c r="F78" s="501">
        <f>'Financials DF'!C27/'Financials DF'!C35</f>
        <v>1.0045228492635729</v>
      </c>
      <c r="G78" s="500">
        <f>'Financials DF'!D27/'Financials DF'!D35</f>
        <v>0.96991498702830192</v>
      </c>
      <c r="H78" s="500">
        <f>'Financials DF'!E27/'Financials DF'!E35</f>
        <v>1.2260285495055638</v>
      </c>
      <c r="I78" s="500">
        <f>'Financials DF'!F27/'Financials DF'!F35</f>
        <v>1.4733509194497201</v>
      </c>
      <c r="J78" s="500">
        <f>'Financials DF'!G27/'Financials DF'!G35</f>
        <v>1.8970874571607856</v>
      </c>
      <c r="K78" s="500">
        <f>'Financials DF'!H27/'Financials DF'!H35</f>
        <v>2.1620889522514042</v>
      </c>
      <c r="L78" s="500">
        <f>'Financials DF'!I27/'Financials DF'!I35</f>
        <v>1.3204614154496064</v>
      </c>
      <c r="M78" s="500">
        <f>'Financials DF'!J27/'Financials DF'!J35</f>
        <v>1.6923416187100158</v>
      </c>
      <c r="N78" s="500">
        <f>'Financials DF'!K27/'Financials DF'!K35</f>
        <v>1.2446694110583225</v>
      </c>
      <c r="O78" s="500">
        <f>'Financials DF'!L27/'Financials DF'!L35</f>
        <v>1.1270131941908308</v>
      </c>
      <c r="P78" s="502">
        <f>'Financials DF'!M27/'Financials DF'!M35</f>
        <v>0.85947089887714823</v>
      </c>
      <c r="Q78" s="17"/>
      <c r="R78" s="17"/>
      <c r="S78" s="17"/>
      <c r="T78" s="17"/>
      <c r="U78" s="17"/>
      <c r="V78" s="17"/>
      <c r="W78" s="17"/>
      <c r="X78" s="17"/>
      <c r="Y78" s="17"/>
      <c r="Z78" s="17"/>
    </row>
    <row r="79" spans="1:26" ht="15" customHeight="1" x14ac:dyDescent="0.3">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spans="1:26" ht="15" customHeight="1" x14ac:dyDescent="0.3">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spans="1:26" ht="15" customHeight="1" x14ac:dyDescent="0.3">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spans="1:26" ht="15" customHeight="1" x14ac:dyDescent="0.3">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spans="1:26" ht="15" customHeight="1" x14ac:dyDescent="0.3">
      <c r="A83" s="17"/>
      <c r="B83" s="479" t="s">
        <v>719</v>
      </c>
      <c r="C83" s="503">
        <f>Fcsts!C91-Fcsts!C81-Fcsts!C74</f>
        <v>27868.213892606997</v>
      </c>
      <c r="D83" s="503">
        <f>Fcsts!D91-Fcsts!D81-Fcsts!D74</f>
        <v>27444.354615219996</v>
      </c>
      <c r="E83" s="503">
        <f>Fcsts!E91-Fcsts!E81-Fcsts!E74</f>
        <v>27252.321783399995</v>
      </c>
      <c r="F83" s="504">
        <f>Fcsts!E91-Fcsts!E81-Fcsts!E74</f>
        <v>27252.321783399995</v>
      </c>
      <c r="G83" s="503">
        <f>'Financials DF'!C104-'Financials DF'!C92-'Financials DF'!C93-'Financials DF'!C98</f>
        <v>24593</v>
      </c>
      <c r="H83" s="503">
        <f>'Financials DF'!D104-'Financials DF'!D92-'Financials DF'!D93-'Financials DF'!D98</f>
        <v>23942</v>
      </c>
      <c r="I83" s="503" t="e">
        <f>'Financials DF'!E104-'Financials DF'!E92-'Financials DF'!E93-'Financials DF'!E98</f>
        <v>#VALUE!</v>
      </c>
      <c r="J83" s="503" t="e">
        <f>'Financials DF'!F104-'Financials DF'!F92-'Financials DF'!F93-'Financials DF'!F98</f>
        <v>#VALUE!</v>
      </c>
      <c r="K83" s="503" t="e">
        <f>'Financials DF'!G104-'Financials DF'!G92-'Financials DF'!G93-'Financials DF'!G98</f>
        <v>#VALUE!</v>
      </c>
      <c r="L83" s="503">
        <f>'Financials DF'!H104-'Financials DF'!H92-'Financials DF'!H93-'Financials DF'!H98</f>
        <v>23749</v>
      </c>
      <c r="M83" s="503" t="e">
        <f>'Financials DF'!I104-'Financials DF'!I92-'Financials DF'!I93-'Financials DF'!I98</f>
        <v>#VALUE!</v>
      </c>
      <c r="N83" s="503" t="e">
        <f>'Financials DF'!J104-'Financials DF'!J92-'Financials DF'!J93-'Financials DF'!J98</f>
        <v>#VALUE!</v>
      </c>
      <c r="O83" s="503" t="e">
        <f>'Financials DF'!K104-'Financials DF'!K92-'Financials DF'!K93-'Financials DF'!K98</f>
        <v>#VALUE!</v>
      </c>
      <c r="P83" s="505" t="e">
        <f>'Financials DF'!L104-'Financials DF'!L92-'Financials DF'!L93-'Financials DF'!L98</f>
        <v>#VALUE!</v>
      </c>
      <c r="Q83" s="17"/>
      <c r="R83" s="17"/>
      <c r="S83" s="17"/>
      <c r="T83" s="17"/>
      <c r="U83" s="17"/>
      <c r="V83" s="17"/>
      <c r="W83" s="17"/>
      <c r="X83" s="17"/>
      <c r="Y83" s="17"/>
      <c r="Z83" s="17"/>
    </row>
    <row r="84" spans="1:26" ht="15" customHeight="1" x14ac:dyDescent="0.3">
      <c r="A84" s="17"/>
      <c r="B84" s="486" t="s">
        <v>720</v>
      </c>
      <c r="C84" s="506">
        <f>(Fcsts!C58+Fcsts!C64-Fcsts!C60-Fcsts!C54)</f>
        <v>10525.574722504998</v>
      </c>
      <c r="D84" s="506">
        <f>(Fcsts!D58+Fcsts!D64-Fcsts!D60-Fcsts!D54)</f>
        <v>10209.245916299998</v>
      </c>
      <c r="E84" s="506">
        <f>(Fcsts!E58+Fcsts!E64-Fcsts!E60-Fcsts!E54)</f>
        <v>9889.0084100000022</v>
      </c>
      <c r="F84" s="507">
        <f>'Financials DF'!C124-'Financials DF'!C106-'Financials DF'!C115</f>
        <v>4468</v>
      </c>
      <c r="G84" s="506">
        <f>'Financials DF'!D124-'Financials DF'!D106-'Financials DF'!D115</f>
        <v>4149</v>
      </c>
      <c r="H84" s="506">
        <f>'Financials DF'!E124-'Financials DF'!E106-'Financials DF'!E115</f>
        <v>4227</v>
      </c>
      <c r="I84" s="506">
        <f>'Financials DF'!F124-'Financials DF'!F106-'Financials DF'!F115</f>
        <v>4334</v>
      </c>
      <c r="J84" s="506">
        <f>'Financials DF'!G124-'Financials DF'!G106-'Financials DF'!G115</f>
        <v>3957</v>
      </c>
      <c r="K84" s="506">
        <f>'Financials DF'!H124-'Financials DF'!H106-'Financials DF'!H115</f>
        <v>10334</v>
      </c>
      <c r="L84" s="506">
        <f>'Financials DF'!I124-'Financials DF'!I106-'Financials DF'!I115</f>
        <v>10128</v>
      </c>
      <c r="M84" s="506">
        <f>'Financials DF'!J124-'Financials DF'!J106-'Financials DF'!J115</f>
        <v>9042</v>
      </c>
      <c r="N84" s="506">
        <f>'Financials DF'!K124-'Financials DF'!K106-'Financials DF'!K115</f>
        <v>7861</v>
      </c>
      <c r="O84" s="506">
        <f>'Financials DF'!L124-'Financials DF'!L106-'Financials DF'!L115</f>
        <v>6846</v>
      </c>
      <c r="P84" s="508">
        <f>'Financials DF'!M124-'Financials DF'!M106-'Financials DF'!M115</f>
        <v>15852</v>
      </c>
      <c r="Q84" s="17"/>
      <c r="R84" s="17"/>
      <c r="S84" s="17"/>
      <c r="T84" s="17"/>
      <c r="U84" s="17"/>
      <c r="V84" s="17"/>
      <c r="W84" s="17"/>
      <c r="X84" s="17"/>
      <c r="Y84" s="17"/>
      <c r="Z84" s="17"/>
    </row>
    <row r="85" spans="1:26" ht="15" customHeight="1" x14ac:dyDescent="0.3">
      <c r="A85" s="17"/>
      <c r="B85" s="509" t="s">
        <v>721</v>
      </c>
      <c r="C85" s="509">
        <f>C83-C84</f>
        <v>17342.639170101997</v>
      </c>
      <c r="D85" s="509">
        <f t="shared" ref="D85:P85" si="4">D83-D84</f>
        <v>17235.108698919998</v>
      </c>
      <c r="E85" s="509">
        <f t="shared" si="4"/>
        <v>17363.313373399993</v>
      </c>
      <c r="F85" s="510">
        <f t="shared" si="4"/>
        <v>22784.321783399995</v>
      </c>
      <c r="G85" s="509">
        <f t="shared" si="4"/>
        <v>20444</v>
      </c>
      <c r="H85" s="509">
        <f t="shared" si="4"/>
        <v>19715</v>
      </c>
      <c r="I85" s="509" t="e">
        <f t="shared" si="4"/>
        <v>#VALUE!</v>
      </c>
      <c r="J85" s="509" t="e">
        <f t="shared" si="4"/>
        <v>#VALUE!</v>
      </c>
      <c r="K85" s="509" t="e">
        <f t="shared" si="4"/>
        <v>#VALUE!</v>
      </c>
      <c r="L85" s="509">
        <f t="shared" si="4"/>
        <v>13621</v>
      </c>
      <c r="M85" s="509" t="e">
        <f t="shared" si="4"/>
        <v>#VALUE!</v>
      </c>
      <c r="N85" s="509" t="e">
        <f t="shared" si="4"/>
        <v>#VALUE!</v>
      </c>
      <c r="O85" s="509" t="e">
        <f t="shared" si="4"/>
        <v>#VALUE!</v>
      </c>
      <c r="P85" s="509" t="e">
        <f t="shared" si="4"/>
        <v>#VALUE!</v>
      </c>
      <c r="Q85" s="17"/>
      <c r="R85" s="17"/>
      <c r="S85" s="17"/>
      <c r="T85" s="17"/>
      <c r="U85" s="17"/>
      <c r="V85" s="17"/>
      <c r="W85" s="17"/>
      <c r="X85" s="17"/>
      <c r="Y85" s="17"/>
      <c r="Z85" s="17"/>
    </row>
    <row r="86" spans="1:26" ht="15" customHeight="1" x14ac:dyDescent="0.3">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spans="1:26" ht="15" customHeight="1" x14ac:dyDescent="0.3">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spans="1:26" ht="15" customHeight="1" x14ac:dyDescent="0.3">
      <c r="A88" s="17"/>
      <c r="B88" s="479" t="s">
        <v>723</v>
      </c>
      <c r="C88" s="503">
        <f>(AVERAGE(Fcsts!C79:D79)/Fcsts!C7)*365</f>
        <v>17.676905671712682</v>
      </c>
      <c r="D88" s="503">
        <f>(AVERAGE(Fcsts!D79:E79)/Fcsts!D7)*365</f>
        <v>17.641208075017616</v>
      </c>
      <c r="E88" s="503">
        <f>(AVERAGE(Fcsts!E79:F79)/Fcsts!E7)*365</f>
        <v>17.457129760171323</v>
      </c>
      <c r="F88" s="504">
        <f>(AVERAGE('Financials DF'!C95:D95)/'Financials DF'!C36)*365</f>
        <v>19.789354984212903</v>
      </c>
      <c r="G88" s="503">
        <f>(AVERAGE('Financials DF'!D95:E95)/'Financials DF'!D36)*365</f>
        <v>31.344901377000372</v>
      </c>
      <c r="H88" s="503">
        <f>(AVERAGE('Financials DF'!E95:F95)/'Financials DF'!E36)*365</f>
        <v>32.928134556574925</v>
      </c>
      <c r="I88" s="503">
        <f>(AVERAGE('Financials DF'!F95:G95)/'Financials DF'!F36)*365</f>
        <v>19.752417159485592</v>
      </c>
      <c r="J88" s="503">
        <f>(AVERAGE('Financials DF'!G95:H95)/'Financials DF'!G36)*365</f>
        <v>27.699006175221921</v>
      </c>
      <c r="K88" s="503">
        <f>(AVERAGE('Financials DF'!H95:I95)/'Financials DF'!H36)*365</f>
        <v>37.837439188489803</v>
      </c>
      <c r="L88" s="503">
        <f>(AVERAGE('Financials DF'!I95:J95)/'Financials DF'!I36)*365</f>
        <v>18.205471096096097</v>
      </c>
      <c r="M88" s="503">
        <f>(AVERAGE('Financials DF'!J95:K95)/'Financials DF'!J36)*365</f>
        <v>20.16861937935402</v>
      </c>
      <c r="N88" s="503">
        <f>(AVERAGE('Financials DF'!K95:L95)/'Financials DF'!K36)*365</f>
        <v>19.013962802435945</v>
      </c>
      <c r="O88" s="503">
        <f>(AVERAGE('Financials DF'!L95:M95)/'Financials DF'!L36)*365</f>
        <v>20.268660071942445</v>
      </c>
      <c r="P88" s="505">
        <f>(AVERAGE('Financials DF'!M95:U95)/'Financials DF'!M36)*365</f>
        <v>20.471270680304798</v>
      </c>
      <c r="Q88" s="17"/>
      <c r="R88" s="17"/>
      <c r="S88" s="17"/>
      <c r="T88" s="17"/>
      <c r="U88" s="17"/>
      <c r="V88" s="17"/>
      <c r="W88" s="17"/>
      <c r="X88" s="17"/>
      <c r="Y88" s="17"/>
      <c r="Z88" s="17"/>
    </row>
    <row r="89" spans="1:26" ht="15" customHeight="1" x14ac:dyDescent="0.3">
      <c r="A89" s="17"/>
      <c r="B89" s="481" t="s">
        <v>724</v>
      </c>
      <c r="C89" s="511">
        <f>(AVERAGE(Fcsts!C80:D80)/Fcsts!C6)*365</f>
        <v>47.918555894878729</v>
      </c>
      <c r="D89" s="511">
        <f>(AVERAGE(Fcsts!D80:E80)/Fcsts!D6)*365</f>
        <v>47.821786849757743</v>
      </c>
      <c r="E89" s="511">
        <f>(AVERAGE(Fcsts!E80:F80)/Fcsts!E6)*365</f>
        <v>46.78926281144544</v>
      </c>
      <c r="F89" s="512">
        <f>(AVERAGE('Financials DF'!C94:D94)/'Financials DF'!C35)*365</f>
        <v>49.648502495840262</v>
      </c>
      <c r="G89" s="511">
        <f>(AVERAGE('Financials DF'!D94:E94)/'Financials DF'!D35)*365</f>
        <v>48.603537735849059</v>
      </c>
      <c r="H89" s="511">
        <f>(AVERAGE('Financials DF'!E94:F94)/'Financials DF'!E35)*365</f>
        <v>50.092341983760548</v>
      </c>
      <c r="I89" s="511">
        <f>(AVERAGE('Financials DF'!F94:G94)/'Financials DF'!F35)*365</f>
        <v>40.838274121080175</v>
      </c>
      <c r="J89" s="511">
        <f>(AVERAGE('Financials DF'!G94:H94)/'Financials DF'!G35)*365</f>
        <v>51.586619684317228</v>
      </c>
      <c r="K89" s="511">
        <f>(AVERAGE('Financials DF'!H94:I94)/'Financials DF'!H35)*365</f>
        <v>69.070053364026364</v>
      </c>
      <c r="L89" s="511">
        <f>(AVERAGE('Financials DF'!I94:J94)/'Financials DF'!I35)*365</f>
        <v>37.237802942110278</v>
      </c>
      <c r="M89" s="511">
        <f>(AVERAGE('Financials DF'!J94:K94)/'Financials DF'!J35)*365</f>
        <v>40.835261487348347</v>
      </c>
      <c r="N89" s="511">
        <f>(AVERAGE('Financials DF'!K94:L94)/'Financials DF'!K35)*365</f>
        <v>38.615376144479754</v>
      </c>
      <c r="O89" s="511">
        <f>(AVERAGE('Financials DF'!L94:M94)/'Financials DF'!L35)*365</f>
        <v>39.936454605215104</v>
      </c>
      <c r="P89" s="513">
        <f>(AVERAGE('Financials DF'!M94:U94)/'Financials DF'!M35)*365</f>
        <v>41.090410741240959</v>
      </c>
      <c r="Q89" s="17"/>
      <c r="R89" s="17"/>
      <c r="S89" s="17"/>
      <c r="T89" s="17"/>
      <c r="U89" s="17"/>
      <c r="V89" s="17"/>
      <c r="W89" s="17"/>
      <c r="X89" s="17"/>
      <c r="Y89" s="17"/>
      <c r="Z89" s="17"/>
    </row>
    <row r="90" spans="1:26" ht="15" customHeight="1" x14ac:dyDescent="0.3">
      <c r="A90" s="17"/>
      <c r="B90" s="486" t="s">
        <v>725</v>
      </c>
      <c r="C90" s="506">
        <f>(AVERAGE(Fcsts!C59:D59)/Fcsts!C7)*365</f>
        <v>42.424573612110422</v>
      </c>
      <c r="D90" s="506">
        <f>(AVERAGE(Fcsts!D59:E59)/Fcsts!D7)*365</f>
        <v>42.338899380042271</v>
      </c>
      <c r="E90" s="506">
        <f>(AVERAGE(Fcsts!E59:F59)/Fcsts!E7)*365</f>
        <v>41.526234467474737</v>
      </c>
      <c r="F90" s="507">
        <f>(AVERAGE('Financials DF'!C105:D105)/'Financials DF'!C36)*365</f>
        <v>39.512855209742895</v>
      </c>
      <c r="G90" s="506">
        <f>(AVERAGE('Financials DF'!D105:E105)/'Financials DF'!D36)*365</f>
        <v>36.099274283587647</v>
      </c>
      <c r="H90" s="506">
        <f>(AVERAGE('Financials DF'!E105:F105)/'Financials DF'!E36)*365</f>
        <v>44.239041794087662</v>
      </c>
      <c r="I90" s="506">
        <f>(AVERAGE('Financials DF'!F105:G105)/'Financials DF'!F36)*365</f>
        <v>43.153806439500613</v>
      </c>
      <c r="J90" s="506">
        <f>(AVERAGE('Financials DF'!G105:H105)/'Financials DF'!G36)*365</f>
        <v>52.474913160941718</v>
      </c>
      <c r="K90" s="506">
        <f>(AVERAGE('Financials DF'!H105:I105)/'Financials DF'!H36)*365</f>
        <v>79.150709036331648</v>
      </c>
      <c r="L90" s="506">
        <f>(AVERAGE('Financials DF'!I105:J105)/'Financials DF'!I36)*365</f>
        <v>43.141657282282281</v>
      </c>
      <c r="M90" s="506">
        <f>(AVERAGE('Financials DF'!J105:K105)/'Financials DF'!J36)*365</f>
        <v>47.021585391598059</v>
      </c>
      <c r="N90" s="506">
        <f>(AVERAGE('Financials DF'!K105:L105)/'Financials DF'!K36)*365</f>
        <v>41.442228562023374</v>
      </c>
      <c r="O90" s="506">
        <f>(AVERAGE('Financials DF'!L105:M105)/'Financials DF'!L36)*365</f>
        <v>44.206545477903397</v>
      </c>
      <c r="P90" s="508">
        <f>(AVERAGE('Financials DF'!M105:U105)/'Financials DF'!M36)*365</f>
        <v>47.031303631495845</v>
      </c>
      <c r="Q90" s="17"/>
      <c r="R90" s="17"/>
      <c r="S90" s="17"/>
      <c r="T90" s="17"/>
      <c r="U90" s="17"/>
      <c r="V90" s="17"/>
      <c r="W90" s="17"/>
      <c r="X90" s="17"/>
      <c r="Y90" s="17"/>
      <c r="Z90" s="17"/>
    </row>
    <row r="91" spans="1:26" ht="15" customHeight="1" x14ac:dyDescent="0.3">
      <c r="A91" s="17"/>
      <c r="B91" s="509" t="s">
        <v>236</v>
      </c>
      <c r="C91" s="509">
        <f>C88+C89-C90</f>
        <v>23.170887954480989</v>
      </c>
      <c r="D91" s="509">
        <f t="shared" ref="D91:P91" si="5">D88+D89-D90</f>
        <v>23.124095544733088</v>
      </c>
      <c r="E91" s="509">
        <f t="shared" si="5"/>
        <v>22.72015810414203</v>
      </c>
      <c r="F91" s="510">
        <f t="shared" si="5"/>
        <v>29.925002270310273</v>
      </c>
      <c r="G91" s="509">
        <f t="shared" si="5"/>
        <v>43.849164829261781</v>
      </c>
      <c r="H91" s="509">
        <f t="shared" si="5"/>
        <v>38.781434746247804</v>
      </c>
      <c r="I91" s="509">
        <f t="shared" si="5"/>
        <v>17.436884841065151</v>
      </c>
      <c r="J91" s="509">
        <f t="shared" si="5"/>
        <v>26.810712698597435</v>
      </c>
      <c r="K91" s="509">
        <f t="shared" si="5"/>
        <v>27.756783516184527</v>
      </c>
      <c r="L91" s="509">
        <f t="shared" si="5"/>
        <v>12.301616755924094</v>
      </c>
      <c r="M91" s="509">
        <f t="shared" si="5"/>
        <v>13.982295475104308</v>
      </c>
      <c r="N91" s="509">
        <f t="shared" si="5"/>
        <v>16.187110384892321</v>
      </c>
      <c r="O91" s="509">
        <f t="shared" si="5"/>
        <v>15.998569199254156</v>
      </c>
      <c r="P91" s="509">
        <f t="shared" si="5"/>
        <v>14.530377790049911</v>
      </c>
      <c r="Q91" s="17"/>
      <c r="R91" s="17"/>
      <c r="S91" s="17"/>
      <c r="T91" s="17"/>
      <c r="U91" s="17"/>
      <c r="V91" s="17"/>
      <c r="W91" s="17"/>
      <c r="X91" s="17"/>
      <c r="Y91" s="17"/>
      <c r="Z91" s="17"/>
    </row>
    <row r="92" spans="1:26" ht="15" customHeight="1" x14ac:dyDescent="0.3">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spans="1:26" ht="15" customHeight="1" x14ac:dyDescent="0.3">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spans="1:26" ht="15" customHeight="1" x14ac:dyDescent="0.3">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spans="1:26" ht="15" customHeight="1" x14ac:dyDescent="0.3">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spans="1:26" ht="15" customHeight="1" x14ac:dyDescent="0.3">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spans="1:26" ht="15" customHeight="1" x14ac:dyDescent="0.3">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spans="1:26" ht="15" customHeight="1" x14ac:dyDescent="0.3">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spans="1:26" ht="15" customHeight="1" x14ac:dyDescent="0.3">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spans="1:26" x14ac:dyDescent="0.3">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sheetData>
  <sheetProtection algorithmName="SHA-512" hashValue="rS3tlP8QLBeNB0G0QdxwpOOskEgxdorOKdMeX5oyUfXo9MhNdo3pA7GsGXY6GBVNTNP10w5GW+K5Z0zhobyJtw==" saltValue="kMxj4exfm/DLaMT2fTVNSA==" spinCount="100000" sheet="1" objects="1" scenarios="1" formatCells="0" formatColumns="0" formatRows="0"/>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F2C3F-04AA-4C82-8061-A736A3845D0A}">
  <sheetPr codeName="Sheet19"/>
  <dimension ref="A2:B3"/>
  <sheetViews>
    <sheetView topLeftCell="A7" zoomScale="70" zoomScaleNormal="70" workbookViewId="0">
      <selection activeCell="K2" sqref="K2"/>
    </sheetView>
  </sheetViews>
  <sheetFormatPr defaultRowHeight="13" x14ac:dyDescent="0.3"/>
  <cols>
    <col min="1" max="2" width="15.6640625" bestFit="1" customWidth="1"/>
  </cols>
  <sheetData>
    <row r="2" spans="1:2" x14ac:dyDescent="0.3">
      <c r="A2" s="4" t="str">
        <f>'Financials DF'!A3</f>
        <v>FOR_TICKER</v>
      </c>
      <c r="B2" s="5" t="str">
        <f>'Financials DF'!B3</f>
        <v>NTC SJ Equity</v>
      </c>
    </row>
    <row r="3" spans="1:2" x14ac:dyDescent="0.3">
      <c r="A3" s="4" t="str">
        <f>'Financials DF'!A4</f>
        <v>FOR_YEARS</v>
      </c>
      <c r="B3" s="5">
        <f>'Financials DF'!B4</f>
        <v>11</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94BC5-AEC9-4778-A34C-66989CD5F37D}">
  <sheetPr>
    <tabColor theme="1"/>
  </sheetPr>
  <dimension ref="A1:U51"/>
  <sheetViews>
    <sheetView topLeftCell="A4" zoomScale="70" zoomScaleNormal="70" workbookViewId="0">
      <selection activeCell="D23" sqref="D23"/>
    </sheetView>
  </sheetViews>
  <sheetFormatPr defaultColWidth="20.88671875" defaultRowHeight="15.5" outlineLevelRow="1" outlineLevelCol="1" x14ac:dyDescent="0.35"/>
  <cols>
    <col min="1" max="1" width="7.5546875" style="748" customWidth="1"/>
    <col min="2" max="2" width="38.77734375" style="748" customWidth="1"/>
    <col min="3" max="10" width="20.88671875" style="748"/>
    <col min="11" max="19" width="0" style="748" hidden="1" customWidth="1" outlineLevel="1"/>
    <col min="20" max="20" width="20.88671875" style="748" collapsed="1"/>
    <col min="21" max="16384" width="20.88671875" style="748"/>
  </cols>
  <sheetData>
    <row r="1" spans="1:21" x14ac:dyDescent="0.35">
      <c r="C1" s="748" t="s">
        <v>1933</v>
      </c>
      <c r="D1" s="748" t="s">
        <v>1934</v>
      </c>
      <c r="E1" s="748" t="s">
        <v>842</v>
      </c>
      <c r="F1" s="748">
        <v>2022</v>
      </c>
      <c r="G1" s="748">
        <v>2021</v>
      </c>
      <c r="H1" s="748">
        <v>2020</v>
      </c>
      <c r="I1" s="748">
        <v>2019</v>
      </c>
      <c r="J1" s="748">
        <v>2018</v>
      </c>
      <c r="K1" s="748">
        <v>2017</v>
      </c>
      <c r="L1" s="748">
        <v>2016</v>
      </c>
      <c r="M1" s="748">
        <v>2015</v>
      </c>
      <c r="N1" s="748">
        <v>2014</v>
      </c>
      <c r="O1" s="748">
        <v>2013</v>
      </c>
      <c r="P1" s="748">
        <v>2012</v>
      </c>
      <c r="Q1" s="748">
        <v>2011</v>
      </c>
      <c r="R1" s="748">
        <v>2010</v>
      </c>
      <c r="S1" s="748">
        <v>2009</v>
      </c>
      <c r="T1" s="761"/>
      <c r="U1" s="763"/>
    </row>
    <row r="2" spans="1:21" x14ac:dyDescent="0.35">
      <c r="T2" s="761"/>
      <c r="U2" s="763"/>
    </row>
    <row r="3" spans="1:21" x14ac:dyDescent="0.35">
      <c r="T3" s="761"/>
      <c r="U3" s="763"/>
    </row>
    <row r="4" spans="1:21" ht="30.5" x14ac:dyDescent="0.35">
      <c r="A4" s="752">
        <f>G4/$G$16</f>
        <v>0.97193396226415096</v>
      </c>
      <c r="B4" s="751" t="s">
        <v>1939</v>
      </c>
      <c r="C4" s="749">
        <f t="shared" ref="C4:D4" si="0">C6+C8</f>
        <v>26482.298005000001</v>
      </c>
      <c r="D4" s="749">
        <f t="shared" si="0"/>
        <v>25018.724300000002</v>
      </c>
      <c r="E4" s="749">
        <f>E6+E8</f>
        <v>23534.930000000004</v>
      </c>
      <c r="F4" s="749">
        <f>F6+F8</f>
        <v>21002</v>
      </c>
      <c r="G4" s="749">
        <f>G6+G8</f>
        <v>20605</v>
      </c>
      <c r="H4" s="749">
        <f>H6+H8</f>
        <v>18232</v>
      </c>
      <c r="I4" s="749">
        <f t="shared" ref="I4:N4" si="1">I6+I8</f>
        <v>20794</v>
      </c>
      <c r="J4" s="749">
        <f t="shared" si="1"/>
        <v>20000</v>
      </c>
      <c r="K4" s="749">
        <f t="shared" si="1"/>
        <v>0</v>
      </c>
      <c r="L4" s="749">
        <f t="shared" si="1"/>
        <v>0</v>
      </c>
      <c r="M4" s="749">
        <f t="shared" si="1"/>
        <v>0</v>
      </c>
      <c r="N4" s="749">
        <f t="shared" si="1"/>
        <v>0</v>
      </c>
      <c r="O4" s="749"/>
      <c r="P4" s="749"/>
      <c r="Q4" s="749"/>
      <c r="R4" s="749"/>
      <c r="T4" s="761"/>
      <c r="U4" s="763"/>
    </row>
    <row r="5" spans="1:21" x14ac:dyDescent="0.35">
      <c r="T5" s="761"/>
      <c r="U5" s="763"/>
    </row>
    <row r="6" spans="1:21" x14ac:dyDescent="0.35">
      <c r="A6" s="752">
        <f>F6/F16</f>
        <v>0.9120447402477353</v>
      </c>
      <c r="B6" s="748" t="s">
        <v>1935</v>
      </c>
      <c r="C6" s="748">
        <f t="shared" ref="C6" si="2">D6*(1+C7)</f>
        <v>24715.503568</v>
      </c>
      <c r="D6" s="748">
        <f t="shared" ref="D6" si="3">E6*(1+D7)</f>
        <v>23427.017600000003</v>
      </c>
      <c r="E6" s="748">
        <f>F6*(1+E7)</f>
        <v>22100.960000000003</v>
      </c>
      <c r="F6" s="748">
        <v>19733</v>
      </c>
      <c r="G6" s="748">
        <v>19465</v>
      </c>
      <c r="H6" s="748">
        <v>17239</v>
      </c>
      <c r="I6" s="748">
        <v>19706</v>
      </c>
      <c r="J6" s="748">
        <v>19202</v>
      </c>
      <c r="T6" s="761"/>
      <c r="U6" s="763"/>
    </row>
    <row r="7" spans="1:21" x14ac:dyDescent="0.35">
      <c r="A7" s="752"/>
      <c r="C7" s="764">
        <v>5.5E-2</v>
      </c>
      <c r="D7" s="764">
        <v>0.06</v>
      </c>
      <c r="E7" s="764">
        <v>0.12</v>
      </c>
      <c r="F7" s="753">
        <f>F6/G6-1</f>
        <v>1.3768302080657602E-2</v>
      </c>
      <c r="G7" s="753">
        <f>G6/H6-1</f>
        <v>0.12912581936307221</v>
      </c>
      <c r="H7" s="753">
        <f t="shared" ref="H7:M7" si="4">H6/I6-1</f>
        <v>-0.12519029737135901</v>
      </c>
      <c r="I7" s="753">
        <f t="shared" si="4"/>
        <v>2.6247265909800976E-2</v>
      </c>
      <c r="J7" s="753" t="e">
        <f t="shared" si="4"/>
        <v>#DIV/0!</v>
      </c>
      <c r="K7" s="753" t="e">
        <f t="shared" si="4"/>
        <v>#DIV/0!</v>
      </c>
      <c r="L7" s="753" t="e">
        <f t="shared" si="4"/>
        <v>#DIV/0!</v>
      </c>
      <c r="M7" s="753" t="e">
        <f t="shared" si="4"/>
        <v>#DIV/0!</v>
      </c>
      <c r="T7" s="761"/>
      <c r="U7" s="763"/>
    </row>
    <row r="8" spans="1:21" x14ac:dyDescent="0.35">
      <c r="A8" s="752">
        <f>F8/F16</f>
        <v>5.8652246256239604E-2</v>
      </c>
      <c r="B8" s="748" t="s">
        <v>1936</v>
      </c>
      <c r="C8" s="748">
        <f t="shared" ref="C8:D8" si="5">D8*(1+C9)</f>
        <v>1766.794437</v>
      </c>
      <c r="D8" s="748">
        <f t="shared" si="5"/>
        <v>1591.7067</v>
      </c>
      <c r="E8" s="748">
        <f>F8*(1+E9)</f>
        <v>1433.9699999999998</v>
      </c>
      <c r="F8" s="748">
        <v>1269</v>
      </c>
      <c r="G8" s="748">
        <v>1140</v>
      </c>
      <c r="H8" s="748">
        <v>993</v>
      </c>
      <c r="I8" s="748">
        <v>1088</v>
      </c>
      <c r="J8" s="748">
        <v>798</v>
      </c>
      <c r="T8" s="761"/>
      <c r="U8" s="763"/>
    </row>
    <row r="9" spans="1:21" x14ac:dyDescent="0.35">
      <c r="A9" s="752"/>
      <c r="C9" s="764">
        <v>0.11</v>
      </c>
      <c r="D9" s="764">
        <v>0.11</v>
      </c>
      <c r="E9" s="764">
        <v>0.13</v>
      </c>
      <c r="F9" s="753">
        <f>F8/G8-1</f>
        <v>0.11315789473684212</v>
      </c>
      <c r="G9" s="753">
        <f>G8/H8-1</f>
        <v>0.14803625377643503</v>
      </c>
      <c r="H9" s="753">
        <f t="shared" ref="H9:M9" si="6">H8/I8-1</f>
        <v>-8.7316176470588203E-2</v>
      </c>
      <c r="I9" s="753">
        <f t="shared" si="6"/>
        <v>0.36340852130325807</v>
      </c>
      <c r="J9" s="753" t="e">
        <f t="shared" si="6"/>
        <v>#DIV/0!</v>
      </c>
      <c r="K9" s="753" t="e">
        <f t="shared" si="6"/>
        <v>#DIV/0!</v>
      </c>
      <c r="L9" s="753" t="e">
        <f t="shared" si="6"/>
        <v>#DIV/0!</v>
      </c>
      <c r="M9" s="753" t="e">
        <f t="shared" si="6"/>
        <v>#DIV/0!</v>
      </c>
      <c r="T9" s="761"/>
      <c r="U9" s="763"/>
    </row>
    <row r="10" spans="1:21" x14ac:dyDescent="0.35">
      <c r="T10" s="761"/>
      <c r="U10" s="763"/>
    </row>
    <row r="11" spans="1:21" x14ac:dyDescent="0.35">
      <c r="A11" s="752">
        <f>G11/$G$16</f>
        <v>2.8066037735849057E-2</v>
      </c>
      <c r="B11" s="750" t="s">
        <v>1937</v>
      </c>
      <c r="C11" s="749">
        <f t="shared" ref="C11:D11" si="7">C13</f>
        <v>747.91395</v>
      </c>
      <c r="D11" s="749">
        <f t="shared" si="7"/>
        <v>712.29899999999998</v>
      </c>
      <c r="E11" s="749">
        <f>E13</f>
        <v>678.38</v>
      </c>
      <c r="F11" s="749">
        <f>F13</f>
        <v>634</v>
      </c>
      <c r="G11" s="749">
        <f>G13</f>
        <v>595</v>
      </c>
      <c r="H11" s="749">
        <f>H13</f>
        <v>611</v>
      </c>
      <c r="I11" s="749">
        <f t="shared" ref="I11:N11" si="8">I13</f>
        <v>795</v>
      </c>
      <c r="J11" s="749">
        <f t="shared" si="8"/>
        <v>717</v>
      </c>
      <c r="K11" s="749">
        <f t="shared" si="8"/>
        <v>0</v>
      </c>
      <c r="L11" s="749">
        <f t="shared" si="8"/>
        <v>0</v>
      </c>
      <c r="M11" s="749">
        <f t="shared" si="8"/>
        <v>0</v>
      </c>
      <c r="N11" s="749">
        <f t="shared" si="8"/>
        <v>0</v>
      </c>
      <c r="O11" s="749"/>
      <c r="P11" s="749"/>
      <c r="Q11" s="749"/>
      <c r="R11" s="749"/>
      <c r="S11" s="749"/>
      <c r="T11" s="762"/>
      <c r="U11" s="763"/>
    </row>
    <row r="12" spans="1:21" x14ac:dyDescent="0.35">
      <c r="T12" s="761"/>
      <c r="U12" s="763"/>
    </row>
    <row r="13" spans="1:21" x14ac:dyDescent="0.35">
      <c r="B13" s="748" t="s">
        <v>1938</v>
      </c>
      <c r="C13" s="748">
        <f t="shared" ref="C13:D13" si="9">D13*(1+C14)</f>
        <v>747.91395</v>
      </c>
      <c r="D13" s="748">
        <f t="shared" si="9"/>
        <v>712.29899999999998</v>
      </c>
      <c r="E13" s="748">
        <f>F13*(1+E14)</f>
        <v>678.38</v>
      </c>
      <c r="F13" s="748">
        <v>634</v>
      </c>
      <c r="G13" s="748">
        <v>595</v>
      </c>
      <c r="H13" s="748">
        <v>611</v>
      </c>
      <c r="I13" s="748">
        <v>795</v>
      </c>
      <c r="J13" s="748">
        <v>717</v>
      </c>
      <c r="T13" s="761"/>
      <c r="U13" s="763"/>
    </row>
    <row r="14" spans="1:21" x14ac:dyDescent="0.35">
      <c r="C14" s="764">
        <v>0.05</v>
      </c>
      <c r="D14" s="764">
        <v>0.05</v>
      </c>
      <c r="E14" s="764">
        <v>7.0000000000000007E-2</v>
      </c>
      <c r="F14" s="753">
        <f>F13/G13-1</f>
        <v>6.5546218487394947E-2</v>
      </c>
      <c r="G14" s="753">
        <f>G13/H13-1</f>
        <v>-2.6186579378068786E-2</v>
      </c>
      <c r="H14" s="753">
        <f t="shared" ref="H14:M14" si="10">H13/I13-1</f>
        <v>-0.23144654088050309</v>
      </c>
      <c r="I14" s="753">
        <f t="shared" si="10"/>
        <v>0.10878661087866104</v>
      </c>
      <c r="J14" s="753" t="e">
        <f t="shared" si="10"/>
        <v>#DIV/0!</v>
      </c>
      <c r="K14" s="753" t="e">
        <f t="shared" si="10"/>
        <v>#DIV/0!</v>
      </c>
      <c r="L14" s="753" t="e">
        <f t="shared" si="10"/>
        <v>#DIV/0!</v>
      </c>
      <c r="M14" s="753" t="e">
        <f t="shared" si="10"/>
        <v>#DIV/0!</v>
      </c>
      <c r="T14" s="761"/>
      <c r="U14" s="763"/>
    </row>
    <row r="15" spans="1:21" x14ac:dyDescent="0.35">
      <c r="B15" s="754"/>
      <c r="C15" s="754"/>
      <c r="D15" s="754"/>
      <c r="E15" s="754"/>
      <c r="F15" s="754"/>
      <c r="G15" s="754"/>
      <c r="H15" s="754"/>
      <c r="I15" s="754"/>
      <c r="J15" s="754"/>
      <c r="K15" s="754"/>
      <c r="L15" s="754"/>
      <c r="M15" s="754"/>
      <c r="N15" s="754"/>
      <c r="O15" s="754"/>
      <c r="P15" s="754"/>
      <c r="Q15" s="754"/>
      <c r="R15" s="754"/>
      <c r="S15" s="754"/>
      <c r="T15" s="761"/>
      <c r="U15" s="763"/>
    </row>
    <row r="16" spans="1:21" ht="16" thickBot="1" x14ac:dyDescent="0.4">
      <c r="B16" s="758" t="s">
        <v>1940</v>
      </c>
      <c r="C16" s="758">
        <f t="shared" ref="C16:D16" si="11">C11+C4</f>
        <v>27230.211954999999</v>
      </c>
      <c r="D16" s="758">
        <f t="shared" si="11"/>
        <v>25731.023300000001</v>
      </c>
      <c r="E16" s="758">
        <f>E11+E4</f>
        <v>24213.310000000005</v>
      </c>
      <c r="F16" s="758">
        <f>F11+F4</f>
        <v>21636</v>
      </c>
      <c r="G16" s="758">
        <f>G11+G4</f>
        <v>21200</v>
      </c>
      <c r="H16" s="758">
        <f>H11+H4</f>
        <v>18843</v>
      </c>
      <c r="I16" s="758">
        <v>21589</v>
      </c>
      <c r="J16" s="758">
        <v>20717</v>
      </c>
      <c r="K16" s="758">
        <v>19114</v>
      </c>
      <c r="L16" s="758">
        <v>37796</v>
      </c>
      <c r="M16" s="758">
        <v>33711</v>
      </c>
      <c r="N16" s="758">
        <v>31783</v>
      </c>
      <c r="O16" s="758">
        <v>27382</v>
      </c>
      <c r="P16" s="758">
        <v>25174</v>
      </c>
      <c r="Q16" s="758"/>
      <c r="R16" s="758"/>
      <c r="S16" s="758"/>
      <c r="T16" s="761"/>
      <c r="U16" s="763"/>
    </row>
    <row r="17" spans="2:21" x14ac:dyDescent="0.35">
      <c r="B17" s="755"/>
      <c r="C17" s="756">
        <f t="shared" ref="C17:E17" si="12">C16/D16-1</f>
        <v>5.8263856727376995E-2</v>
      </c>
      <c r="D17" s="756">
        <f t="shared" si="12"/>
        <v>6.2680951096731219E-2</v>
      </c>
      <c r="E17" s="756">
        <f t="shared" si="12"/>
        <v>0.11912137178776128</v>
      </c>
      <c r="F17" s="756">
        <f>F16/G16-1</f>
        <v>2.0566037735848974E-2</v>
      </c>
      <c r="G17" s="756">
        <f>G16/H16-1</f>
        <v>0.12508623892161541</v>
      </c>
      <c r="H17" s="757">
        <f t="shared" ref="H17:L17" si="13">H16/I16-1</f>
        <v>-0.12719440455787667</v>
      </c>
      <c r="I17" s="757">
        <f t="shared" si="13"/>
        <v>4.2091036346961541E-2</v>
      </c>
      <c r="J17" s="757">
        <f t="shared" si="13"/>
        <v>8.3865229674584096E-2</v>
      </c>
      <c r="K17" s="757">
        <f>K16/L16-1</f>
        <v>-0.49428510953540061</v>
      </c>
      <c r="L17" s="757">
        <f t="shared" si="13"/>
        <v>0.12117706386639382</v>
      </c>
      <c r="M17" s="757">
        <f t="shared" ref="M17" si="14">M16/N16-1</f>
        <v>6.0661359846458707E-2</v>
      </c>
      <c r="N17" s="757">
        <f t="shared" ref="N17" si="15">N16/O16-1</f>
        <v>0.16072602439558836</v>
      </c>
      <c r="O17" s="757">
        <f t="shared" ref="O17" si="16">O16/P16-1</f>
        <v>8.7709541590530016E-2</v>
      </c>
      <c r="P17" s="757" t="e">
        <f t="shared" ref="P17" si="17">P16/Q16-1</f>
        <v>#DIV/0!</v>
      </c>
      <c r="Q17" s="755"/>
      <c r="R17" s="755"/>
      <c r="S17" s="755"/>
      <c r="T17" s="761"/>
      <c r="U17" s="763"/>
    </row>
    <row r="18" spans="2:21" x14ac:dyDescent="0.35">
      <c r="T18" s="761"/>
      <c r="U18" s="763"/>
    </row>
    <row r="19" spans="2:21" x14ac:dyDescent="0.35">
      <c r="T19" s="761"/>
      <c r="U19" s="763"/>
    </row>
    <row r="20" spans="2:21" x14ac:dyDescent="0.35">
      <c r="B20" s="748" t="s">
        <v>1941</v>
      </c>
      <c r="C20" s="748">
        <f t="shared" ref="C20:D20" si="18">C16-C22</f>
        <v>13669.56640141</v>
      </c>
      <c r="D20" s="748">
        <f t="shared" si="18"/>
        <v>12916.9736966</v>
      </c>
      <c r="E20" s="748">
        <f>E16-E22</f>
        <v>12203.508240000001</v>
      </c>
      <c r="F20" s="748">
        <v>11085</v>
      </c>
      <c r="G20" s="748">
        <v>10748</v>
      </c>
      <c r="H20" s="748">
        <v>9810</v>
      </c>
      <c r="I20" s="748">
        <v>10653</v>
      </c>
      <c r="J20" s="748">
        <v>10364</v>
      </c>
      <c r="K20" s="748">
        <v>9661</v>
      </c>
      <c r="L20" s="748">
        <v>21312</v>
      </c>
      <c r="M20" s="748">
        <v>18948</v>
      </c>
      <c r="N20" s="748">
        <v>18227</v>
      </c>
      <c r="O20" s="748">
        <v>15568</v>
      </c>
      <c r="P20" s="748">
        <v>14567</v>
      </c>
      <c r="T20" s="761"/>
      <c r="U20" s="763"/>
    </row>
    <row r="21" spans="2:21" x14ac:dyDescent="0.35">
      <c r="T21" s="761"/>
      <c r="U21" s="763"/>
    </row>
    <row r="22" spans="2:21" x14ac:dyDescent="0.35">
      <c r="B22" s="748" t="s">
        <v>1942</v>
      </c>
      <c r="C22" s="748">
        <f t="shared" ref="C22:D22" si="19">C23*C16</f>
        <v>13560.645553589999</v>
      </c>
      <c r="D22" s="748">
        <f t="shared" si="19"/>
        <v>12814.049603400001</v>
      </c>
      <c r="E22" s="748">
        <f>E23*E16</f>
        <v>12009.801760000004</v>
      </c>
      <c r="F22" s="748">
        <v>10551</v>
      </c>
      <c r="G22" s="748">
        <v>10452</v>
      </c>
      <c r="H22" s="748">
        <v>9033</v>
      </c>
      <c r="I22" s="748">
        <v>10936</v>
      </c>
      <c r="J22" s="748">
        <v>10353</v>
      </c>
      <c r="K22" s="748">
        <v>9453</v>
      </c>
      <c r="L22" s="748">
        <v>16484</v>
      </c>
      <c r="M22" s="748">
        <v>14763</v>
      </c>
      <c r="N22" s="748">
        <v>13556</v>
      </c>
      <c r="O22" s="748">
        <v>11814</v>
      </c>
      <c r="P22" s="748">
        <v>10607</v>
      </c>
      <c r="T22" s="761"/>
      <c r="U22" s="763"/>
    </row>
    <row r="23" spans="2:21" x14ac:dyDescent="0.35">
      <c r="B23" s="759" t="s">
        <v>1943</v>
      </c>
      <c r="C23" s="765">
        <v>0.498</v>
      </c>
      <c r="D23" s="765">
        <v>0.498</v>
      </c>
      <c r="E23" s="765">
        <v>0.49600000000000005</v>
      </c>
      <c r="F23" s="760">
        <f>F22/F16</f>
        <v>0.48765945646145314</v>
      </c>
      <c r="G23" s="760">
        <f t="shared" ref="G23:P23" si="20">G22/G16</f>
        <v>0.49301886792452831</v>
      </c>
      <c r="H23" s="760">
        <f t="shared" si="20"/>
        <v>0.47938226397070532</v>
      </c>
      <c r="I23" s="760">
        <f t="shared" si="20"/>
        <v>0.50655426374542589</v>
      </c>
      <c r="J23" s="760">
        <f t="shared" si="20"/>
        <v>0.49973451754597675</v>
      </c>
      <c r="K23" s="760">
        <f t="shared" si="20"/>
        <v>0.49455896201736949</v>
      </c>
      <c r="L23" s="760">
        <f t="shared" si="20"/>
        <v>0.43613080749285638</v>
      </c>
      <c r="M23" s="760">
        <f t="shared" si="20"/>
        <v>0.43792827267064161</v>
      </c>
      <c r="N23" s="760">
        <f t="shared" si="20"/>
        <v>0.42651732058018438</v>
      </c>
      <c r="O23" s="760">
        <f t="shared" si="20"/>
        <v>0.43145131838434009</v>
      </c>
      <c r="P23" s="760">
        <f t="shared" si="20"/>
        <v>0.42134742194327479</v>
      </c>
      <c r="T23" s="761"/>
      <c r="U23" s="763"/>
    </row>
    <row r="24" spans="2:21" x14ac:dyDescent="0.35">
      <c r="T24" s="761"/>
      <c r="U24" s="763"/>
    </row>
    <row r="25" spans="2:21" x14ac:dyDescent="0.35">
      <c r="B25" s="748" t="s">
        <v>1944</v>
      </c>
      <c r="C25" s="748">
        <f t="shared" ref="C25:D25" si="21">C27*C16</f>
        <v>10728.703510269999</v>
      </c>
      <c r="D25" s="748">
        <f t="shared" si="21"/>
        <v>10138.0231802</v>
      </c>
      <c r="E25" s="748">
        <f>(E27*E16)+E38</f>
        <v>9714.2574500000028</v>
      </c>
      <c r="F25" s="748">
        <v>8704</v>
      </c>
      <c r="G25" s="748">
        <v>8706</v>
      </c>
      <c r="H25" s="748">
        <v>7852</v>
      </c>
      <c r="I25" s="748">
        <v>7742</v>
      </c>
      <c r="J25" s="748">
        <v>8922</v>
      </c>
      <c r="K25" s="748">
        <v>6379</v>
      </c>
      <c r="L25" s="748">
        <v>12793</v>
      </c>
      <c r="M25" s="748">
        <v>11533</v>
      </c>
      <c r="N25" s="748">
        <v>10653</v>
      </c>
      <c r="O25" s="748">
        <v>5866</v>
      </c>
      <c r="P25" s="748">
        <v>17856</v>
      </c>
      <c r="T25" s="761"/>
      <c r="U25" s="763"/>
    </row>
    <row r="26" spans="2:21" x14ac:dyDescent="0.35">
      <c r="B26" s="759" t="s">
        <v>1945</v>
      </c>
      <c r="C26" s="760">
        <f t="shared" ref="C26:E26" si="22">C25/D25-1</f>
        <v>5.8263856727376995E-2</v>
      </c>
      <c r="D26" s="760">
        <f t="shared" si="22"/>
        <v>4.362306973859309E-2</v>
      </c>
      <c r="E26" s="768">
        <f t="shared" si="22"/>
        <v>0.11606818129595631</v>
      </c>
      <c r="F26" s="760">
        <f>F25/G25-1</f>
        <v>-2.2972662531584032E-4</v>
      </c>
      <c r="G26" s="760">
        <f t="shared" ref="G26:P26" si="23">G25/H25-1</f>
        <v>0.10876209882832399</v>
      </c>
      <c r="H26" s="760">
        <f t="shared" si="23"/>
        <v>1.420821493154234E-2</v>
      </c>
      <c r="I26" s="760">
        <f t="shared" si="23"/>
        <v>-0.13225734140327283</v>
      </c>
      <c r="J26" s="760">
        <f t="shared" si="23"/>
        <v>0.39865182630506357</v>
      </c>
      <c r="K26" s="760">
        <f t="shared" si="23"/>
        <v>-0.50136793558977566</v>
      </c>
      <c r="L26" s="760">
        <f t="shared" si="23"/>
        <v>0.10925171247723919</v>
      </c>
      <c r="M26" s="760">
        <f t="shared" si="23"/>
        <v>8.2605838730873904E-2</v>
      </c>
      <c r="N26" s="760">
        <f t="shared" si="23"/>
        <v>0.81605864302761688</v>
      </c>
      <c r="O26" s="760">
        <f t="shared" si="23"/>
        <v>-0.67148297491039433</v>
      </c>
      <c r="P26" s="760" t="e">
        <f t="shared" si="23"/>
        <v>#DIV/0!</v>
      </c>
      <c r="T26" s="761"/>
      <c r="U26" s="763"/>
    </row>
    <row r="27" spans="2:21" x14ac:dyDescent="0.35">
      <c r="B27" s="759" t="s">
        <v>1946</v>
      </c>
      <c r="C27" s="767">
        <v>0.39400000000000002</v>
      </c>
      <c r="D27" s="767">
        <v>0.39400000000000002</v>
      </c>
      <c r="E27" s="767">
        <v>0.39500000000000002</v>
      </c>
      <c r="F27" s="760">
        <f>F25/F16</f>
        <v>0.40229247550378999</v>
      </c>
      <c r="G27" s="760">
        <f t="shared" ref="G27:P27" si="24">G25/G16</f>
        <v>0.41066037735849059</v>
      </c>
      <c r="H27" s="760">
        <f t="shared" si="24"/>
        <v>0.41670646924587379</v>
      </c>
      <c r="I27" s="760">
        <f t="shared" si="24"/>
        <v>0.35860855065079439</v>
      </c>
      <c r="J27" s="760">
        <f t="shared" si="24"/>
        <v>0.43066080996283246</v>
      </c>
      <c r="K27" s="760">
        <f t="shared" si="24"/>
        <v>0.3337344354923093</v>
      </c>
      <c r="L27" s="760">
        <f t="shared" si="24"/>
        <v>0.33847497089639117</v>
      </c>
      <c r="M27" s="760">
        <f t="shared" si="24"/>
        <v>0.34211385007860934</v>
      </c>
      <c r="N27" s="760">
        <f t="shared" si="24"/>
        <v>0.33517918384041784</v>
      </c>
      <c r="O27" s="760">
        <f t="shared" si="24"/>
        <v>0.21422832517712365</v>
      </c>
      <c r="P27" s="760">
        <f t="shared" si="24"/>
        <v>0.70930324938428535</v>
      </c>
      <c r="T27" s="761"/>
      <c r="U27" s="763"/>
    </row>
    <row r="28" spans="2:21" hidden="1" outlineLevel="1" x14ac:dyDescent="0.35">
      <c r="B28" s="748" t="s">
        <v>1947</v>
      </c>
      <c r="F28" s="748">
        <v>8524</v>
      </c>
      <c r="G28" s="748">
        <v>8518</v>
      </c>
      <c r="I28" s="748">
        <v>7742</v>
      </c>
      <c r="J28" s="748">
        <v>7378</v>
      </c>
      <c r="T28" s="761"/>
      <c r="U28" s="763"/>
    </row>
    <row r="29" spans="2:21" hidden="1" outlineLevel="1" x14ac:dyDescent="0.35">
      <c r="T29" s="761"/>
      <c r="U29" s="763"/>
    </row>
    <row r="30" spans="2:21" hidden="1" outlineLevel="1" x14ac:dyDescent="0.35">
      <c r="B30" s="748" t="s">
        <v>1948</v>
      </c>
      <c r="C30" s="766">
        <v>0</v>
      </c>
      <c r="D30" s="766">
        <v>0</v>
      </c>
      <c r="E30" s="766">
        <v>0</v>
      </c>
      <c r="F30" s="748">
        <v>180</v>
      </c>
      <c r="G30" s="748">
        <v>188</v>
      </c>
      <c r="I30" s="748">
        <v>0</v>
      </c>
      <c r="J30" s="748">
        <v>0</v>
      </c>
      <c r="T30" s="761"/>
      <c r="U30" s="763"/>
    </row>
    <row r="31" spans="2:21" hidden="1" outlineLevel="1" x14ac:dyDescent="0.35">
      <c r="T31" s="761"/>
      <c r="U31" s="763"/>
    </row>
    <row r="32" spans="2:21" collapsed="1" x14ac:dyDescent="0.35">
      <c r="T32" s="761"/>
      <c r="U32" s="763"/>
    </row>
    <row r="33" spans="1:21" x14ac:dyDescent="0.35">
      <c r="B33" s="748" t="s">
        <v>1949</v>
      </c>
      <c r="C33" s="748">
        <f>C22-C25+Fcsts!C9</f>
        <v>3376.5462824199994</v>
      </c>
      <c r="D33" s="748">
        <f>D22-D25+Fcsts!D9</f>
        <v>3190.6468892000007</v>
      </c>
      <c r="E33" s="748">
        <f>E22-E25+Fcsts!E9</f>
        <v>2779.8105100000012</v>
      </c>
      <c r="F33" s="748">
        <v>2282</v>
      </c>
      <c r="G33" s="748">
        <v>2076</v>
      </c>
      <c r="H33" s="748">
        <v>1567</v>
      </c>
      <c r="I33" s="748">
        <v>3640</v>
      </c>
      <c r="J33" s="748">
        <v>1942</v>
      </c>
      <c r="K33" s="748">
        <v>3534</v>
      </c>
      <c r="L33" s="748">
        <v>4148</v>
      </c>
      <c r="M33" s="748">
        <v>3728</v>
      </c>
      <c r="N33" s="748">
        <v>3253</v>
      </c>
      <c r="O33" s="748">
        <v>6254</v>
      </c>
      <c r="P33" s="748">
        <v>-6961</v>
      </c>
      <c r="T33" s="761"/>
      <c r="U33" s="763"/>
    </row>
    <row r="34" spans="1:21" x14ac:dyDescent="0.35">
      <c r="C34" s="768">
        <f t="shared" ref="C34:D34" si="25">C33/C16</f>
        <v>0.12399999999999999</v>
      </c>
      <c r="D34" s="768">
        <f t="shared" si="25"/>
        <v>0.12400000000000003</v>
      </c>
      <c r="E34" s="768">
        <f>E33/E16</f>
        <v>0.11480506010950178</v>
      </c>
      <c r="F34" s="760">
        <f>F33/F16</f>
        <v>0.10547236088001478</v>
      </c>
      <c r="G34" s="760">
        <f t="shared" ref="G34:P34" si="26">G33/G16</f>
        <v>9.792452830188679E-2</v>
      </c>
      <c r="H34" s="760">
        <f t="shared" si="26"/>
        <v>8.3160855490102423E-2</v>
      </c>
      <c r="I34" s="760">
        <f t="shared" si="26"/>
        <v>0.168604381861133</v>
      </c>
      <c r="J34" s="760">
        <f t="shared" si="26"/>
        <v>9.3739441038760432E-2</v>
      </c>
      <c r="K34" s="760">
        <f t="shared" si="26"/>
        <v>0.18489065606361829</v>
      </c>
      <c r="L34" s="760">
        <f t="shared" si="26"/>
        <v>0.10974706318128903</v>
      </c>
      <c r="M34" s="760">
        <f t="shared" si="26"/>
        <v>0.11058704873780072</v>
      </c>
      <c r="N34" s="760">
        <f t="shared" si="26"/>
        <v>0.10235031306044112</v>
      </c>
      <c r="O34" s="760">
        <f t="shared" si="26"/>
        <v>0.22839821780731867</v>
      </c>
      <c r="P34" s="760">
        <f t="shared" si="26"/>
        <v>-0.27651545245094145</v>
      </c>
      <c r="T34" s="761"/>
      <c r="U34" s="763"/>
    </row>
    <row r="35" spans="1:21" x14ac:dyDescent="0.35">
      <c r="T35" s="761"/>
      <c r="U35" s="763"/>
    </row>
    <row r="36" spans="1:21" x14ac:dyDescent="0.35">
      <c r="T36" s="761"/>
      <c r="U36" s="763"/>
    </row>
    <row r="37" spans="1:21" x14ac:dyDescent="0.35">
      <c r="A37" s="748">
        <v>1</v>
      </c>
      <c r="B37" s="748" t="s">
        <v>1950</v>
      </c>
      <c r="F37" s="748" t="s">
        <v>1954</v>
      </c>
      <c r="T37" s="761"/>
      <c r="U37" s="763"/>
    </row>
    <row r="38" spans="1:21" x14ac:dyDescent="0.35">
      <c r="B38" s="748" t="s">
        <v>1951</v>
      </c>
      <c r="E38" s="748">
        <v>150</v>
      </c>
      <c r="F38" s="753">
        <v>9.8199999999999996E-2</v>
      </c>
      <c r="T38" s="761"/>
      <c r="U38" s="763"/>
    </row>
    <row r="39" spans="1:21" x14ac:dyDescent="0.35">
      <c r="B39" s="748" t="s">
        <v>1952</v>
      </c>
      <c r="E39" s="748">
        <v>174</v>
      </c>
      <c r="F39" s="753">
        <v>0.1009</v>
      </c>
      <c r="T39" s="761"/>
      <c r="U39" s="763"/>
    </row>
    <row r="40" spans="1:21" x14ac:dyDescent="0.35">
      <c r="B40" s="748" t="s">
        <v>1953</v>
      </c>
      <c r="E40" s="748">
        <v>126</v>
      </c>
      <c r="F40" s="753">
        <v>9.5000000000000001E-2</v>
      </c>
      <c r="T40" s="761"/>
      <c r="U40" s="763"/>
    </row>
    <row r="41" spans="1:21" x14ac:dyDescent="0.35">
      <c r="T41" s="761"/>
      <c r="U41" s="763"/>
    </row>
    <row r="42" spans="1:21" x14ac:dyDescent="0.35">
      <c r="T42" s="761"/>
      <c r="U42" s="763"/>
    </row>
    <row r="43" spans="1:21" x14ac:dyDescent="0.35">
      <c r="T43" s="761"/>
      <c r="U43" s="763"/>
    </row>
    <row r="44" spans="1:21" x14ac:dyDescent="0.35">
      <c r="T44" s="761"/>
      <c r="U44" s="763"/>
    </row>
    <row r="45" spans="1:21" x14ac:dyDescent="0.35">
      <c r="T45" s="761"/>
      <c r="U45" s="763"/>
    </row>
    <row r="46" spans="1:21" x14ac:dyDescent="0.35">
      <c r="T46" s="761"/>
      <c r="U46" s="763"/>
    </row>
    <row r="47" spans="1:21" x14ac:dyDescent="0.35">
      <c r="T47" s="761"/>
      <c r="U47" s="763"/>
    </row>
    <row r="48" spans="1:21" x14ac:dyDescent="0.35">
      <c r="T48" s="761"/>
      <c r="U48" s="763"/>
    </row>
    <row r="49" spans="20:21" x14ac:dyDescent="0.35">
      <c r="T49" s="761"/>
      <c r="U49" s="763"/>
    </row>
    <row r="50" spans="20:21" x14ac:dyDescent="0.35">
      <c r="T50" s="761"/>
      <c r="U50" s="763"/>
    </row>
    <row r="51" spans="20:21" x14ac:dyDescent="0.35">
      <c r="T51" s="761"/>
      <c r="U51" s="763"/>
    </row>
  </sheetData>
  <phoneticPr fontId="55" type="noConversion"/>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79998168889431442"/>
  </sheetPr>
  <dimension ref="A1:DZ500"/>
  <sheetViews>
    <sheetView showGridLines="0" topLeftCell="A13" zoomScaleNormal="100" workbookViewId="0">
      <selection activeCell="C39" sqref="C39"/>
    </sheetView>
  </sheetViews>
  <sheetFormatPr defaultColWidth="11.77734375" defaultRowHeight="13" x14ac:dyDescent="0.3"/>
  <cols>
    <col min="1" max="1" width="45.109375" style="516" bestFit="1" customWidth="1"/>
    <col min="2" max="2" width="51.6640625" style="516" bestFit="1" customWidth="1"/>
    <col min="3" max="3" width="14.77734375" style="516" bestFit="1" customWidth="1"/>
    <col min="4" max="13" width="12" style="516" bestFit="1" customWidth="1"/>
    <col min="14" max="18" width="12" customWidth="1"/>
    <col min="19" max="19" width="17.77734375" bestFit="1" customWidth="1"/>
    <col min="20" max="20" width="12" customWidth="1"/>
    <col min="21" max="31" width="11.77734375" style="516"/>
    <col min="32" max="36" width="12" style="516" bestFit="1" customWidth="1"/>
    <col min="37" max="39" width="16.77734375" style="516" bestFit="1" customWidth="1"/>
    <col min="40" max="42" width="11.77734375" style="516"/>
    <col min="43" max="53" width="12" style="516" bestFit="1" customWidth="1"/>
    <col min="54" max="57" width="11.77734375" style="516"/>
    <col min="58" max="60" width="12" style="516" bestFit="1" customWidth="1"/>
    <col min="61" max="70" width="11.77734375" style="516"/>
    <col min="72" max="72" width="16" bestFit="1" customWidth="1"/>
    <col min="76" max="77" width="11.77734375" style="516"/>
    <col min="78" max="78" width="16.33203125" style="516" bestFit="1" customWidth="1"/>
    <col min="79" max="79" width="11.77734375" style="516"/>
    <col min="81" max="81" width="16" bestFit="1" customWidth="1"/>
    <col min="83" max="102" width="11.77734375" style="516"/>
    <col min="103" max="103" width="11.33203125" style="516" bestFit="1" customWidth="1"/>
    <col min="104" max="16384" width="11.77734375" style="516"/>
  </cols>
  <sheetData>
    <row r="1" spans="1:130" ht="15" customHeight="1" x14ac:dyDescent="0.3">
      <c r="A1" s="16"/>
      <c r="B1" s="16"/>
      <c r="C1" s="16"/>
      <c r="D1" s="16"/>
      <c r="E1" s="16"/>
      <c r="F1" s="16"/>
      <c r="G1" s="16"/>
      <c r="H1" s="16"/>
      <c r="I1" s="16"/>
      <c r="J1" s="16"/>
      <c r="K1" s="16"/>
      <c r="L1" s="16"/>
      <c r="M1" s="16"/>
      <c r="N1" s="17"/>
      <c r="O1" s="17"/>
      <c r="P1" s="17"/>
      <c r="Q1" s="17"/>
      <c r="R1" s="17"/>
      <c r="S1" s="17"/>
      <c r="T1" s="17"/>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7"/>
      <c r="BT1" s="17"/>
      <c r="BU1" s="17"/>
      <c r="BV1" s="17"/>
      <c r="BW1" s="17"/>
      <c r="BX1" s="18"/>
      <c r="BY1" s="18"/>
      <c r="BZ1" s="18"/>
      <c r="CA1" s="18"/>
      <c r="CB1" s="17"/>
      <c r="CC1" s="17"/>
      <c r="CD1" s="17"/>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row>
    <row r="2" spans="1:130" ht="30.75" customHeight="1" x14ac:dyDescent="0.3">
      <c r="A2" s="16"/>
      <c r="B2" s="16"/>
      <c r="C2" s="16"/>
      <c r="D2" s="16"/>
      <c r="E2" s="16"/>
      <c r="F2" s="16"/>
      <c r="G2" s="16"/>
      <c r="H2" s="16"/>
      <c r="I2" s="16"/>
      <c r="J2" s="16"/>
      <c r="K2" s="16"/>
      <c r="L2" s="16"/>
      <c r="M2" s="16"/>
      <c r="N2" s="17"/>
      <c r="O2" s="17"/>
      <c r="P2" s="17"/>
      <c r="Q2" s="17"/>
      <c r="R2" s="17"/>
      <c r="S2" s="46" t="s">
        <v>1820</v>
      </c>
      <c r="T2" s="46">
        <v>44972</v>
      </c>
      <c r="U2" s="46">
        <v>44835</v>
      </c>
      <c r="V2" s="46" t="s">
        <v>1787</v>
      </c>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7"/>
      <c r="BT2" s="17"/>
      <c r="BU2" s="17"/>
      <c r="BV2" s="17"/>
      <c r="BW2" s="17"/>
      <c r="BX2" s="18"/>
      <c r="BY2" s="18"/>
      <c r="BZ2" s="18"/>
      <c r="CA2" s="18"/>
      <c r="CB2" s="17"/>
      <c r="CC2" s="17"/>
      <c r="CD2" s="17"/>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row>
    <row r="3" spans="1:130" ht="15" customHeight="1" x14ac:dyDescent="0.3">
      <c r="A3" s="19" t="s">
        <v>613</v>
      </c>
      <c r="B3" s="20" t="s">
        <v>1908</v>
      </c>
      <c r="C3" s="16"/>
      <c r="D3" s="16"/>
      <c r="E3" s="16"/>
      <c r="F3" s="16"/>
      <c r="G3" s="16"/>
      <c r="H3" s="16"/>
      <c r="I3" s="16"/>
      <c r="J3" s="16"/>
      <c r="K3" s="16"/>
      <c r="L3" s="16"/>
      <c r="M3" s="16"/>
      <c r="N3" s="17"/>
      <c r="O3" s="17"/>
      <c r="P3" s="17"/>
      <c r="Q3" s="17"/>
      <c r="R3" s="17"/>
      <c r="S3" s="423" t="s">
        <v>820</v>
      </c>
      <c r="T3" s="43">
        <v>19.2803</v>
      </c>
      <c r="U3" s="43" t="e">
        <v>#N/A</v>
      </c>
      <c r="V3" s="43" t="e">
        <v>#N/A</v>
      </c>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7"/>
      <c r="BT3" s="17"/>
      <c r="BU3" s="17"/>
      <c r="BV3" s="17"/>
      <c r="BW3" s="17"/>
      <c r="BX3" s="18"/>
      <c r="BY3" s="18"/>
      <c r="BZ3" s="18"/>
      <c r="CA3" s="18"/>
      <c r="CB3" s="17"/>
      <c r="CC3" s="17"/>
      <c r="CD3" s="17"/>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row>
    <row r="4" spans="1:130" ht="15" customHeight="1" x14ac:dyDescent="0.3">
      <c r="A4" s="19" t="s">
        <v>614</v>
      </c>
      <c r="B4" s="20">
        <v>11</v>
      </c>
      <c r="C4" s="16"/>
      <c r="D4" s="16"/>
      <c r="E4" s="16"/>
      <c r="F4" s="16"/>
      <c r="G4" s="16"/>
      <c r="H4" s="16"/>
      <c r="I4" s="16"/>
      <c r="J4" s="16"/>
      <c r="K4" s="16"/>
      <c r="L4" s="16"/>
      <c r="M4" s="16"/>
      <c r="N4" s="17"/>
      <c r="O4" s="17"/>
      <c r="P4" s="17"/>
      <c r="Q4" s="17"/>
      <c r="R4" s="17"/>
      <c r="S4" s="423" t="s">
        <v>819</v>
      </c>
      <c r="T4" s="43">
        <v>19.5352</v>
      </c>
      <c r="U4" s="43" t="e">
        <v>#N/A</v>
      </c>
      <c r="V4" s="43" t="e">
        <v>#N/A</v>
      </c>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7"/>
      <c r="BT4" s="17"/>
      <c r="BU4" s="17"/>
      <c r="BV4" s="17"/>
      <c r="BW4" s="17"/>
      <c r="BX4" s="18"/>
      <c r="BY4" s="18"/>
      <c r="BZ4" s="18"/>
      <c r="CA4" s="18"/>
      <c r="CB4" s="17"/>
      <c r="CC4" s="17"/>
      <c r="CD4" s="17"/>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row>
    <row r="5" spans="1:130" ht="15" customHeight="1" x14ac:dyDescent="0.3">
      <c r="A5" s="19" t="s">
        <v>622</v>
      </c>
      <c r="B5" s="21">
        <v>44973</v>
      </c>
      <c r="C5" s="16"/>
      <c r="D5" s="16"/>
      <c r="E5" s="16"/>
      <c r="F5" s="16"/>
      <c r="G5" s="16"/>
      <c r="H5" s="16"/>
      <c r="I5" s="16"/>
      <c r="J5" s="16"/>
      <c r="K5" s="16"/>
      <c r="L5" s="16"/>
      <c r="M5" s="16"/>
      <c r="N5" s="17"/>
      <c r="O5" s="17"/>
      <c r="P5" s="17"/>
      <c r="Q5" s="17"/>
      <c r="R5" s="17"/>
      <c r="S5" s="423" t="s">
        <v>822</v>
      </c>
      <c r="T5" s="43">
        <v>18.0381</v>
      </c>
      <c r="U5" s="43" t="e">
        <v>#N/A</v>
      </c>
      <c r="V5" s="43" t="e">
        <v>#N/A</v>
      </c>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76" t="s">
        <v>1791</v>
      </c>
      <c r="BR5" s="18"/>
      <c r="BS5" s="17"/>
      <c r="BT5" s="17"/>
      <c r="BU5" s="17"/>
      <c r="BV5" s="17"/>
      <c r="BW5" s="17"/>
      <c r="BX5" s="18"/>
      <c r="BY5" s="18"/>
      <c r="BZ5" s="18"/>
      <c r="CA5" s="18"/>
      <c r="CB5" s="17"/>
      <c r="CC5" s="17"/>
      <c r="CD5" s="17"/>
      <c r="CE5" s="18"/>
      <c r="CF5" s="18"/>
      <c r="CG5" s="18"/>
      <c r="CH5" s="18"/>
      <c r="CI5" s="18"/>
      <c r="CJ5" s="18"/>
      <c r="CK5" s="18"/>
      <c r="CL5" s="18"/>
      <c r="CM5" s="18"/>
      <c r="CN5" s="76" t="s">
        <v>1790</v>
      </c>
      <c r="CO5" s="18"/>
      <c r="CP5" s="18"/>
      <c r="CQ5" s="18"/>
      <c r="CR5" s="18"/>
      <c r="CS5" s="18"/>
      <c r="CT5" s="18"/>
      <c r="CU5" s="18"/>
      <c r="CV5" s="18"/>
      <c r="CW5" s="18"/>
      <c r="CX5" s="76" t="s">
        <v>1789</v>
      </c>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row>
    <row r="6" spans="1:130" ht="15" customHeight="1" x14ac:dyDescent="0.3">
      <c r="A6" s="16"/>
      <c r="B6" s="16"/>
      <c r="C6" s="22"/>
      <c r="D6" s="16"/>
      <c r="E6" s="41"/>
      <c r="F6" s="16"/>
      <c r="G6" s="16"/>
      <c r="H6" s="16"/>
      <c r="I6" s="16"/>
      <c r="J6" s="16"/>
      <c r="K6" s="16"/>
      <c r="L6" s="16"/>
      <c r="M6" s="16"/>
      <c r="N6" s="17"/>
      <c r="O6" s="17"/>
      <c r="P6" s="17"/>
      <c r="Q6" s="17"/>
      <c r="R6" s="17"/>
      <c r="S6" s="423" t="s">
        <v>308</v>
      </c>
      <c r="T6" s="43">
        <v>21.715399999999999</v>
      </c>
      <c r="U6" s="43" t="e">
        <v>#N/A</v>
      </c>
      <c r="V6" s="43" t="e">
        <v>#N/A</v>
      </c>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7"/>
      <c r="BT6" s="17"/>
      <c r="BU6" s="17"/>
      <c r="BV6" s="17"/>
      <c r="BW6" s="17"/>
      <c r="BX6" s="18"/>
      <c r="BY6" s="18"/>
      <c r="BZ6" s="18"/>
      <c r="CA6" s="18"/>
      <c r="CB6" s="17"/>
      <c r="CC6" s="17"/>
      <c r="CD6" s="17"/>
      <c r="CE6" s="18"/>
      <c r="CF6" s="18"/>
      <c r="CG6" s="18"/>
      <c r="CH6" s="18"/>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c r="DI6" s="18"/>
      <c r="DJ6" s="18"/>
      <c r="DK6" s="18"/>
      <c r="DL6" s="18"/>
      <c r="DM6" s="18"/>
      <c r="DN6" s="18"/>
      <c r="DO6" s="18"/>
      <c r="DP6" s="18"/>
      <c r="DQ6" s="18"/>
      <c r="DR6" s="18"/>
      <c r="DS6" s="18"/>
      <c r="DT6" s="18"/>
      <c r="DU6" s="18"/>
      <c r="DV6" s="18"/>
      <c r="DW6" s="18"/>
      <c r="DX6" s="18"/>
      <c r="DY6" s="18"/>
      <c r="DZ6" s="18"/>
    </row>
    <row r="7" spans="1:130" ht="15" customHeight="1" x14ac:dyDescent="0.3">
      <c r="A7" s="23" t="s">
        <v>414</v>
      </c>
      <c r="B7" s="16"/>
      <c r="C7" s="16"/>
      <c r="D7" s="16"/>
      <c r="E7" s="16"/>
      <c r="F7" s="16"/>
      <c r="G7" s="16"/>
      <c r="H7" s="16"/>
      <c r="I7" s="16"/>
      <c r="J7" s="16"/>
      <c r="K7" s="16"/>
      <c r="L7" s="16"/>
      <c r="M7" s="16"/>
      <c r="N7" s="17"/>
      <c r="O7" s="17"/>
      <c r="P7" s="17"/>
      <c r="Q7" s="17"/>
      <c r="R7" s="17"/>
      <c r="S7" s="423" t="s">
        <v>821</v>
      </c>
      <c r="T7" s="43">
        <v>0.1348</v>
      </c>
      <c r="U7" s="43" t="e">
        <v>#N/A</v>
      </c>
      <c r="V7" s="43" t="e">
        <v>#N/A</v>
      </c>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7"/>
      <c r="BT7" s="17"/>
      <c r="BU7" s="17"/>
      <c r="BV7" s="17"/>
      <c r="BW7" s="17"/>
      <c r="BX7" s="18"/>
      <c r="BY7" s="18"/>
      <c r="BZ7" s="18" t="s">
        <v>804</v>
      </c>
      <c r="CA7" s="18" t="s">
        <v>428</v>
      </c>
      <c r="CB7" s="17"/>
      <c r="CC7" s="18" t="s">
        <v>804</v>
      </c>
      <c r="CD7" s="18" t="s">
        <v>428</v>
      </c>
      <c r="CE7" s="18"/>
      <c r="CF7" s="18"/>
      <c r="CG7" s="18"/>
      <c r="CH7" s="18"/>
      <c r="CI7" s="18"/>
      <c r="CJ7" s="18"/>
      <c r="CK7" s="18"/>
      <c r="CL7" s="18"/>
      <c r="CM7" s="18"/>
      <c r="CN7" s="18"/>
      <c r="CO7" s="18"/>
      <c r="CP7" s="18"/>
      <c r="CQ7" s="18"/>
      <c r="CR7" s="18"/>
      <c r="CS7" s="18"/>
      <c r="CT7" s="18"/>
      <c r="CU7" s="18"/>
      <c r="CV7" s="18"/>
      <c r="CW7" s="18"/>
      <c r="CX7" s="612" t="s">
        <v>1788</v>
      </c>
      <c r="CY7" s="612">
        <v>198</v>
      </c>
      <c r="CZ7" s="18"/>
      <c r="DA7" s="612"/>
      <c r="DB7" s="612">
        <f>$B$5-$U$2+60</f>
        <v>198</v>
      </c>
      <c r="DC7" s="18"/>
      <c r="DD7" s="612"/>
      <c r="DE7" s="612">
        <f>$B$5-$U$2+60</f>
        <v>198</v>
      </c>
      <c r="DF7" s="18"/>
      <c r="DG7" s="612"/>
      <c r="DH7" s="612">
        <f>$B$5-$U$2+60</f>
        <v>198</v>
      </c>
      <c r="DI7" s="18"/>
      <c r="DJ7" s="612"/>
      <c r="DK7" s="612">
        <f>$B$5-$U$2+60</f>
        <v>198</v>
      </c>
      <c r="DL7" s="18"/>
      <c r="DM7" s="18"/>
      <c r="DN7" s="18"/>
      <c r="DO7" s="18"/>
      <c r="DP7" s="18"/>
      <c r="DQ7" s="18"/>
      <c r="DR7" s="18"/>
      <c r="DS7" s="18"/>
      <c r="DT7" s="18"/>
      <c r="DU7" s="18"/>
      <c r="DV7" s="18"/>
      <c r="DW7" s="18"/>
      <c r="DX7" s="18"/>
      <c r="DY7" s="18"/>
      <c r="DZ7" s="18"/>
    </row>
    <row r="8" spans="1:130" ht="15" customHeight="1" x14ac:dyDescent="0.3">
      <c r="A8" s="24" t="s">
        <v>339</v>
      </c>
      <c r="B8" s="25" t="s">
        <v>1909</v>
      </c>
      <c r="C8" s="26"/>
      <c r="D8" s="26"/>
      <c r="E8" s="26"/>
      <c r="F8" s="26"/>
      <c r="G8" s="26"/>
      <c r="H8" s="26"/>
      <c r="I8" s="26"/>
      <c r="J8" s="26"/>
      <c r="K8" s="26"/>
      <c r="L8" s="26"/>
      <c r="M8" s="2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7"/>
      <c r="BT8" s="17"/>
      <c r="BU8" s="17"/>
      <c r="BV8" s="17"/>
      <c r="BW8" s="29" t="s">
        <v>1808</v>
      </c>
      <c r="BX8" s="18"/>
      <c r="BY8" s="18"/>
      <c r="BZ8" s="18" t="s">
        <v>803</v>
      </c>
      <c r="CA8" s="18" t="s">
        <v>428</v>
      </c>
      <c r="CB8" s="17"/>
      <c r="CC8" s="18" t="s">
        <v>803</v>
      </c>
      <c r="CD8" s="18" t="s">
        <v>428</v>
      </c>
      <c r="CE8" s="18"/>
      <c r="CF8" s="18"/>
      <c r="CG8" s="18"/>
      <c r="CH8" s="18"/>
      <c r="CI8" s="18"/>
      <c r="CJ8" s="18"/>
      <c r="CK8" s="18"/>
      <c r="CL8" s="18"/>
      <c r="CM8" s="18"/>
      <c r="CN8" s="18"/>
      <c r="CO8" s="18"/>
      <c r="CP8" s="18"/>
      <c r="CQ8" s="18"/>
      <c r="CR8" s="18"/>
      <c r="CS8" s="18"/>
      <c r="CT8" s="18"/>
      <c r="CU8" s="18"/>
      <c r="CV8" s="18"/>
      <c r="CW8" s="18"/>
      <c r="CX8" s="18"/>
      <c r="CY8" s="612" t="s">
        <v>820</v>
      </c>
      <c r="CZ8" s="18"/>
      <c r="DA8" s="18"/>
      <c r="DB8" s="612" t="str">
        <f>S4</f>
        <v>CHFZAR Curncy</v>
      </c>
      <c r="DC8" s="18"/>
      <c r="DD8" s="18"/>
      <c r="DE8" s="612" t="str">
        <f>S5</f>
        <v>USDZAR Curncy</v>
      </c>
      <c r="DF8" s="18"/>
      <c r="DG8" s="18"/>
      <c r="DH8" s="612" t="str">
        <f>S6</f>
        <v>GBPZAR Curncy</v>
      </c>
      <c r="DI8" s="18"/>
      <c r="DJ8" s="18"/>
      <c r="DK8" s="612" t="str">
        <f>S7</f>
        <v>JPYZAR Curncy</v>
      </c>
      <c r="DL8" s="18"/>
      <c r="DM8" s="18"/>
      <c r="DN8" s="18"/>
      <c r="DO8" s="18"/>
      <c r="DP8" s="18"/>
      <c r="DQ8" s="18"/>
      <c r="DR8" s="18"/>
      <c r="DS8" s="18"/>
      <c r="DT8" s="18"/>
      <c r="DU8" s="18"/>
      <c r="DV8" s="18"/>
      <c r="DW8" s="18"/>
      <c r="DX8" s="18"/>
      <c r="DY8" s="18"/>
      <c r="DZ8" s="18"/>
    </row>
    <row r="9" spans="1:130" ht="15" customHeight="1" x14ac:dyDescent="0.3">
      <c r="A9" s="30" t="s">
        <v>340</v>
      </c>
      <c r="B9" s="31" t="s">
        <v>1919</v>
      </c>
      <c r="C9" s="32"/>
      <c r="D9" s="32"/>
      <c r="E9" s="32"/>
      <c r="F9" s="32"/>
      <c r="G9" s="32"/>
      <c r="H9" s="32"/>
      <c r="I9" s="33"/>
      <c r="J9" s="33"/>
      <c r="K9" s="33"/>
      <c r="L9" s="33"/>
      <c r="M9" s="34"/>
      <c r="N9" s="17"/>
      <c r="O9" s="17"/>
      <c r="P9" s="17"/>
      <c r="Q9" s="17"/>
      <c r="R9" s="17"/>
      <c r="S9" s="17"/>
      <c r="T9" s="17"/>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9" t="s">
        <v>731</v>
      </c>
      <c r="BR9" s="19"/>
      <c r="BS9" s="17"/>
      <c r="BT9" s="19" t="s">
        <v>732</v>
      </c>
      <c r="BU9" s="19"/>
      <c r="BV9" s="18"/>
      <c r="BW9" s="19" t="s">
        <v>802</v>
      </c>
      <c r="BX9" s="19"/>
      <c r="BY9" s="18"/>
      <c r="BZ9" s="19" t="s">
        <v>1809</v>
      </c>
      <c r="CA9" s="19"/>
      <c r="CB9" s="17"/>
      <c r="CC9" s="19" t="s">
        <v>1810</v>
      </c>
      <c r="CD9" s="19"/>
      <c r="CE9" s="18"/>
      <c r="CF9" s="18"/>
      <c r="CG9" s="18"/>
      <c r="CH9" s="18"/>
      <c r="CI9" s="18"/>
      <c r="CJ9" s="18"/>
      <c r="CK9" s="18"/>
      <c r="CL9" s="18"/>
      <c r="CM9" s="18"/>
      <c r="CN9" s="19" t="s">
        <v>730</v>
      </c>
      <c r="CO9" s="19"/>
      <c r="CP9" s="17"/>
      <c r="CQ9" s="19" t="s">
        <v>733</v>
      </c>
      <c r="CR9" s="19"/>
      <c r="CS9" s="18"/>
      <c r="CT9" s="18"/>
      <c r="CU9" s="18"/>
      <c r="CV9" s="18"/>
      <c r="CW9" s="18"/>
      <c r="CX9" s="18"/>
      <c r="CY9" s="19" t="s">
        <v>1786</v>
      </c>
      <c r="CZ9" s="19"/>
      <c r="DA9" s="18"/>
      <c r="DB9" s="19" t="s">
        <v>1786</v>
      </c>
      <c r="DC9" s="19"/>
      <c r="DD9" s="18"/>
      <c r="DE9" s="19" t="s">
        <v>1786</v>
      </c>
      <c r="DF9" s="19"/>
      <c r="DG9" s="18"/>
      <c r="DH9" s="19" t="s">
        <v>1786</v>
      </c>
      <c r="DI9" s="19"/>
      <c r="DJ9" s="18"/>
      <c r="DK9" s="19" t="s">
        <v>1786</v>
      </c>
      <c r="DL9" s="19"/>
      <c r="DM9" s="18"/>
      <c r="DN9" s="18"/>
      <c r="DO9" s="18"/>
      <c r="DP9" s="18"/>
      <c r="DQ9" s="18"/>
      <c r="DR9" s="18"/>
      <c r="DS9" s="18"/>
      <c r="DT9" s="18"/>
      <c r="DU9" s="18"/>
      <c r="DV9" s="18"/>
      <c r="DW9" s="18"/>
      <c r="DX9" s="18"/>
      <c r="DY9" s="18"/>
      <c r="DZ9" s="18"/>
    </row>
    <row r="10" spans="1:130" ht="15" customHeight="1" x14ac:dyDescent="0.3">
      <c r="A10" s="30" t="s">
        <v>341</v>
      </c>
      <c r="B10" s="31" t="s">
        <v>1908</v>
      </c>
      <c r="C10" s="32"/>
      <c r="D10" s="32"/>
      <c r="E10" s="32"/>
      <c r="F10" s="32"/>
      <c r="G10" s="32"/>
      <c r="H10" s="32"/>
      <c r="I10" s="33"/>
      <c r="J10" s="33"/>
      <c r="K10" s="33"/>
      <c r="L10" s="33"/>
      <c r="M10" s="34"/>
      <c r="N10" s="17"/>
      <c r="O10" s="17"/>
      <c r="P10" s="17"/>
      <c r="Q10" s="17"/>
      <c r="R10" s="17"/>
      <c r="S10" s="17"/>
      <c r="T10" s="17"/>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20" t="s">
        <v>1925</v>
      </c>
      <c r="BR10" s="20"/>
      <c r="BS10" s="35"/>
      <c r="BT10" s="20" t="s">
        <v>1926</v>
      </c>
      <c r="BU10" s="20"/>
      <c r="BV10" s="35"/>
      <c r="BW10" s="20" t="s">
        <v>1927</v>
      </c>
      <c r="BX10" s="20"/>
      <c r="BY10" s="18" t="s">
        <v>300</v>
      </c>
      <c r="BZ10" s="20"/>
      <c r="CA10" s="20"/>
      <c r="CB10" s="35"/>
      <c r="CC10" s="20"/>
      <c r="CD10" s="20"/>
      <c r="CE10" s="17"/>
      <c r="CF10" s="18"/>
      <c r="CG10" s="18"/>
      <c r="CH10" s="18"/>
      <c r="CI10" s="18"/>
      <c r="CJ10" s="18"/>
      <c r="CK10" s="18"/>
      <c r="CL10" s="18"/>
      <c r="CM10" s="18"/>
      <c r="CN10" s="20" t="s">
        <v>1928</v>
      </c>
      <c r="CO10" s="20"/>
      <c r="CP10" s="35"/>
      <c r="CQ10" s="20" t="s">
        <v>1929</v>
      </c>
      <c r="CR10" s="36"/>
      <c r="CS10" s="18"/>
      <c r="CT10" s="18"/>
      <c r="CU10" s="18"/>
      <c r="CV10" s="18"/>
      <c r="CW10" s="18"/>
      <c r="CX10" s="18"/>
      <c r="CY10" s="20" t="s">
        <v>1930</v>
      </c>
      <c r="CZ10" s="36"/>
      <c r="DA10" s="18"/>
      <c r="DB10" s="20" t="str">
        <f>_xlfn.CONCAT("GET|","PX_Last","|", DB$8, "|START|",TEXT($B$5 - 1,"yyyymmdd"),"|DAYS|",DB$7)</f>
        <v>GET|PX_Last|CHFZAR Curncy|START|20230215|DAYS|198</v>
      </c>
      <c r="DC10" s="36"/>
      <c r="DD10" s="18"/>
      <c r="DE10" s="20" t="str">
        <f>_xlfn.CONCAT("GET|","PX_Last","|", DE$8, "|START|",TEXT($B$5 - 1,"yyyymmdd"),"|DAYS|",DE$7)</f>
        <v>GET|PX_Last|USDZAR Curncy|START|20230215|DAYS|198</v>
      </c>
      <c r="DF10" s="36"/>
      <c r="DG10" s="18"/>
      <c r="DH10" s="20" t="str">
        <f>_xlfn.CONCAT("GET|","PX_Last","|", DH$8, "|START|",TEXT($B$5 - 1,"yyyymmdd"),"|DAYS|",DH$7)</f>
        <v>GET|PX_Last|GBPZAR Curncy|START|20230215|DAYS|198</v>
      </c>
      <c r="DI10" s="36"/>
      <c r="DJ10" s="18"/>
      <c r="DK10" s="20" t="str">
        <f>_xlfn.CONCAT("GET|","PX_Last","|", DK$8, "|START|",TEXT($B$5 - 1,"yyyymmdd"),"|DAYS|",DK$7)</f>
        <v>GET|PX_Last|JPYZAR Curncy|START|20230215|DAYS|198</v>
      </c>
      <c r="DL10" s="36"/>
      <c r="DM10" s="18"/>
      <c r="DN10" s="18"/>
      <c r="DO10" s="18"/>
      <c r="DP10" s="18"/>
      <c r="DQ10" s="18"/>
      <c r="DR10" s="18"/>
      <c r="DS10" s="18"/>
      <c r="DT10" s="18"/>
      <c r="DU10" s="18"/>
      <c r="DV10" s="18"/>
      <c r="DW10" s="18"/>
      <c r="DX10" s="18"/>
      <c r="DY10" s="18"/>
      <c r="DZ10" s="18"/>
    </row>
    <row r="11" spans="1:130" ht="15" customHeight="1" x14ac:dyDescent="0.3">
      <c r="A11" s="30" t="s">
        <v>617</v>
      </c>
      <c r="B11" s="31" t="s">
        <v>1910</v>
      </c>
      <c r="C11" s="32"/>
      <c r="D11" s="32"/>
      <c r="E11" s="32"/>
      <c r="F11" s="32"/>
      <c r="G11" s="32"/>
      <c r="H11" s="32"/>
      <c r="I11" s="33"/>
      <c r="J11" s="33"/>
      <c r="K11" s="33"/>
      <c r="L11" s="33"/>
      <c r="M11" s="34"/>
      <c r="N11" s="17"/>
      <c r="O11" s="17"/>
      <c r="P11" s="17"/>
      <c r="Q11" s="17"/>
      <c r="R11" s="17"/>
      <c r="S11" s="17"/>
      <c r="T11" s="17"/>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37">
        <v>40235</v>
      </c>
      <c r="BR11" s="38">
        <v>18366.466400000001</v>
      </c>
      <c r="BS11" s="17"/>
      <c r="BT11" s="37">
        <v>40235</v>
      </c>
      <c r="BU11" s="38">
        <v>1284</v>
      </c>
      <c r="BV11" s="18"/>
      <c r="BW11" s="37"/>
      <c r="BX11" s="38"/>
      <c r="BY11" s="18"/>
      <c r="BZ11" s="39">
        <v>40235</v>
      </c>
      <c r="CA11" s="40">
        <v>18366.466400000001</v>
      </c>
      <c r="CB11" s="17"/>
      <c r="CC11" s="39">
        <v>40235</v>
      </c>
      <c r="CD11" s="40">
        <v>12.84</v>
      </c>
      <c r="CE11" s="18"/>
      <c r="CF11" s="18"/>
      <c r="CG11" s="18"/>
      <c r="CH11" s="18"/>
      <c r="CI11" s="18"/>
      <c r="CJ11" s="18"/>
      <c r="CK11" s="18"/>
      <c r="CL11" s="18"/>
      <c r="CM11" s="18"/>
      <c r="CN11" s="37">
        <v>44942</v>
      </c>
      <c r="CO11" s="38">
        <v>21888.560000000001</v>
      </c>
      <c r="CP11" s="17"/>
      <c r="CQ11" s="37">
        <v>44942</v>
      </c>
      <c r="CR11" s="38">
        <v>1521</v>
      </c>
      <c r="CS11" s="18"/>
      <c r="CT11" s="18"/>
      <c r="CU11" s="18"/>
      <c r="CV11" s="18"/>
      <c r="CW11" s="18"/>
      <c r="CX11" s="18"/>
      <c r="CY11" s="37">
        <v>44774</v>
      </c>
      <c r="CZ11" s="38">
        <v>16.963200000000001</v>
      </c>
      <c r="DA11" s="18"/>
      <c r="DB11" s="37">
        <v>43861</v>
      </c>
      <c r="DC11" s="38">
        <v>15.589399999999999</v>
      </c>
      <c r="DD11" s="18"/>
      <c r="DE11" s="37">
        <v>43861</v>
      </c>
      <c r="DF11" s="38">
        <v>15.0282</v>
      </c>
      <c r="DG11" s="18"/>
      <c r="DH11" s="37">
        <v>43861</v>
      </c>
      <c r="DI11" s="38">
        <v>19.8187</v>
      </c>
      <c r="DJ11" s="18"/>
      <c r="DK11" s="37">
        <v>43861</v>
      </c>
      <c r="DL11" s="38">
        <v>0.13869999999999999</v>
      </c>
      <c r="DM11" s="18"/>
      <c r="DN11" s="18"/>
      <c r="DO11" s="18"/>
      <c r="DP11" s="18"/>
      <c r="DQ11" s="18"/>
      <c r="DR11" s="18"/>
      <c r="DS11" s="18"/>
      <c r="DT11" s="18"/>
      <c r="DU11" s="18"/>
      <c r="DV11" s="18"/>
      <c r="DW11" s="18"/>
      <c r="DX11" s="18"/>
      <c r="DY11" s="18"/>
      <c r="DZ11" s="18"/>
    </row>
    <row r="12" spans="1:130" ht="15" customHeight="1" x14ac:dyDescent="0.3">
      <c r="A12" s="30" t="s">
        <v>618</v>
      </c>
      <c r="B12" s="31" t="s">
        <v>1910</v>
      </c>
      <c r="C12" s="32"/>
      <c r="D12" s="32"/>
      <c r="E12" s="32"/>
      <c r="F12" s="32"/>
      <c r="G12" s="32"/>
      <c r="H12" s="32"/>
      <c r="I12" s="33"/>
      <c r="J12" s="33"/>
      <c r="K12" s="33"/>
      <c r="L12" s="33"/>
      <c r="M12" s="34"/>
      <c r="N12" s="17"/>
      <c r="O12" s="17"/>
      <c r="P12" s="17"/>
      <c r="Q12" s="17"/>
      <c r="R12" s="17"/>
      <c r="S12" s="17"/>
      <c r="T12" s="17"/>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37">
        <v>40268</v>
      </c>
      <c r="BR12" s="38">
        <v>18881.414100000002</v>
      </c>
      <c r="BS12" s="17"/>
      <c r="BT12" s="37">
        <v>40268</v>
      </c>
      <c r="BU12" s="38">
        <v>1320</v>
      </c>
      <c r="BV12" s="18"/>
      <c r="BW12" s="37"/>
      <c r="BX12" s="38"/>
      <c r="BY12" s="18"/>
      <c r="BZ12" s="39">
        <v>40268</v>
      </c>
      <c r="CA12" s="40">
        <v>18881.414100000002</v>
      </c>
      <c r="CB12" s="17"/>
      <c r="CC12" s="39">
        <v>40268</v>
      </c>
      <c r="CD12" s="40">
        <v>13.200000000000001</v>
      </c>
      <c r="CE12" s="18"/>
      <c r="CF12" s="18"/>
      <c r="CG12" s="18"/>
      <c r="CH12" s="18"/>
      <c r="CI12" s="18"/>
      <c r="CJ12" s="18"/>
      <c r="CK12" s="18"/>
      <c r="CL12" s="18"/>
      <c r="CM12" s="18"/>
      <c r="CN12" s="37">
        <v>44943</v>
      </c>
      <c r="CO12" s="38">
        <v>21845.39</v>
      </c>
      <c r="CP12" s="17"/>
      <c r="CQ12" s="37">
        <v>44943</v>
      </c>
      <c r="CR12" s="38">
        <v>1518</v>
      </c>
      <c r="CS12" s="18"/>
      <c r="CT12" s="18"/>
      <c r="CU12" s="18"/>
      <c r="CV12" s="18"/>
      <c r="CW12" s="18"/>
      <c r="CX12" s="18"/>
      <c r="CY12" s="37">
        <v>44775</v>
      </c>
      <c r="CZ12" s="38">
        <v>17.110299999999999</v>
      </c>
      <c r="DA12" s="18"/>
      <c r="DB12" s="37">
        <v>43864</v>
      </c>
      <c r="DC12" s="38">
        <v>15.4069</v>
      </c>
      <c r="DD12" s="18"/>
      <c r="DE12" s="37">
        <v>43864</v>
      </c>
      <c r="DF12" s="38">
        <v>14.8843</v>
      </c>
      <c r="DG12" s="18"/>
      <c r="DH12" s="37">
        <v>43864</v>
      </c>
      <c r="DI12" s="38">
        <v>19.336400000000001</v>
      </c>
      <c r="DJ12" s="18"/>
      <c r="DK12" s="37">
        <v>43864</v>
      </c>
      <c r="DL12" s="38">
        <v>0.13700000000000001</v>
      </c>
      <c r="DM12" s="18"/>
      <c r="DN12" s="18"/>
      <c r="DO12" s="18"/>
      <c r="DP12" s="18"/>
      <c r="DQ12" s="18"/>
      <c r="DR12" s="18"/>
      <c r="DS12" s="18"/>
      <c r="DT12" s="18"/>
      <c r="DU12" s="18"/>
      <c r="DV12" s="18"/>
      <c r="DW12" s="18"/>
      <c r="DX12" s="18"/>
      <c r="DY12" s="18"/>
      <c r="DZ12" s="18"/>
    </row>
    <row r="13" spans="1:130" ht="15" customHeight="1" x14ac:dyDescent="0.3">
      <c r="A13" s="30" t="s">
        <v>619</v>
      </c>
      <c r="B13" s="31" t="s">
        <v>1911</v>
      </c>
      <c r="C13" s="32"/>
      <c r="D13" s="32"/>
      <c r="E13" s="32"/>
      <c r="F13" s="32"/>
      <c r="G13" s="32"/>
      <c r="H13" s="32"/>
      <c r="I13" s="33"/>
      <c r="J13" s="33"/>
      <c r="K13" s="33"/>
      <c r="L13" s="33"/>
      <c r="M13" s="34"/>
      <c r="N13" s="17"/>
      <c r="O13" s="17"/>
      <c r="P13" s="17"/>
      <c r="Q13" s="17"/>
      <c r="R13" s="17"/>
      <c r="S13" s="17"/>
      <c r="T13" s="17"/>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37">
        <v>40298</v>
      </c>
      <c r="BR13" s="38">
        <v>19382.0576</v>
      </c>
      <c r="BS13" s="17"/>
      <c r="BT13" s="37">
        <v>40298</v>
      </c>
      <c r="BU13" s="38">
        <v>1355</v>
      </c>
      <c r="BV13" s="18"/>
      <c r="BW13" s="37"/>
      <c r="BX13" s="38"/>
      <c r="BY13" s="18"/>
      <c r="BZ13" s="39">
        <v>40298</v>
      </c>
      <c r="CA13" s="40">
        <v>19382.0576</v>
      </c>
      <c r="CB13" s="17"/>
      <c r="CC13" s="39">
        <v>40298</v>
      </c>
      <c r="CD13" s="40">
        <v>13.55</v>
      </c>
      <c r="CE13" s="18"/>
      <c r="CF13" s="18"/>
      <c r="CG13" s="18"/>
      <c r="CH13" s="18"/>
      <c r="CI13" s="18"/>
      <c r="CJ13" s="18"/>
      <c r="CK13" s="18"/>
      <c r="CL13" s="18"/>
      <c r="CM13" s="18"/>
      <c r="CN13" s="37">
        <v>44944</v>
      </c>
      <c r="CO13" s="38">
        <v>21874.17</v>
      </c>
      <c r="CP13" s="17"/>
      <c r="CQ13" s="37">
        <v>44944</v>
      </c>
      <c r="CR13" s="38">
        <v>1520</v>
      </c>
      <c r="CS13" s="18"/>
      <c r="CT13" s="18"/>
      <c r="CU13" s="18"/>
      <c r="CV13" s="18"/>
      <c r="CW13" s="18"/>
      <c r="CX13" s="18"/>
      <c r="CY13" s="37">
        <v>44776</v>
      </c>
      <c r="CZ13" s="38">
        <v>17.0413</v>
      </c>
      <c r="DA13" s="18"/>
      <c r="DB13" s="37">
        <v>43865</v>
      </c>
      <c r="DC13" s="38">
        <v>15.2499</v>
      </c>
      <c r="DD13" s="18"/>
      <c r="DE13" s="37">
        <v>43865</v>
      </c>
      <c r="DF13" s="38">
        <v>14.783099999999999</v>
      </c>
      <c r="DG13" s="18"/>
      <c r="DH13" s="37">
        <v>43865</v>
      </c>
      <c r="DI13" s="38">
        <v>19.263000000000002</v>
      </c>
      <c r="DJ13" s="18"/>
      <c r="DK13" s="37">
        <v>43865</v>
      </c>
      <c r="DL13" s="38">
        <v>0.13500000000000001</v>
      </c>
      <c r="DM13" s="18"/>
      <c r="DN13" s="18"/>
      <c r="DO13" s="18"/>
      <c r="DP13" s="18"/>
      <c r="DQ13" s="18"/>
      <c r="DR13" s="18"/>
      <c r="DS13" s="18"/>
      <c r="DT13" s="18"/>
      <c r="DU13" s="18"/>
      <c r="DV13" s="18"/>
      <c r="DW13" s="18"/>
      <c r="DX13" s="18"/>
      <c r="DY13" s="18"/>
      <c r="DZ13" s="18"/>
    </row>
    <row r="14" spans="1:130" ht="15" customHeight="1" x14ac:dyDescent="0.3">
      <c r="A14" s="30" t="s">
        <v>620</v>
      </c>
      <c r="B14" s="31" t="s">
        <v>1920</v>
      </c>
      <c r="C14" s="32"/>
      <c r="D14" s="32"/>
      <c r="E14" s="32"/>
      <c r="F14" s="32"/>
      <c r="G14" s="32"/>
      <c r="H14" s="32"/>
      <c r="I14" s="33"/>
      <c r="J14" s="33"/>
      <c r="K14" s="33"/>
      <c r="L14" s="33"/>
      <c r="M14" s="34"/>
      <c r="N14" s="17"/>
      <c r="O14" s="17"/>
      <c r="P14" s="17"/>
      <c r="Q14" s="17"/>
      <c r="R14" s="17"/>
      <c r="S14" s="17"/>
      <c r="T14" s="17"/>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37">
        <v>40329</v>
      </c>
      <c r="BR14" s="38">
        <v>19179.919600000001</v>
      </c>
      <c r="BS14" s="17"/>
      <c r="BT14" s="37">
        <v>40329</v>
      </c>
      <c r="BU14" s="38">
        <v>1340</v>
      </c>
      <c r="BV14" s="18"/>
      <c r="BW14" s="37"/>
      <c r="BX14" s="38"/>
      <c r="BY14" s="18"/>
      <c r="BZ14" s="39">
        <v>40329</v>
      </c>
      <c r="CA14" s="40">
        <v>19179.919600000001</v>
      </c>
      <c r="CB14" s="17"/>
      <c r="CC14" s="39">
        <v>40329</v>
      </c>
      <c r="CD14" s="40">
        <v>13.4</v>
      </c>
      <c r="CE14" s="18"/>
      <c r="CF14" s="18"/>
      <c r="CG14" s="18"/>
      <c r="CH14" s="18"/>
      <c r="CI14" s="18"/>
      <c r="CJ14" s="18"/>
      <c r="CK14" s="18"/>
      <c r="CL14" s="18"/>
      <c r="CM14" s="18"/>
      <c r="CN14" s="37">
        <v>44945</v>
      </c>
      <c r="CO14" s="38">
        <v>21802.21</v>
      </c>
      <c r="CP14" s="17"/>
      <c r="CQ14" s="37">
        <v>44945</v>
      </c>
      <c r="CR14" s="38">
        <v>1515</v>
      </c>
      <c r="CS14" s="18"/>
      <c r="CT14" s="18"/>
      <c r="CU14" s="18"/>
      <c r="CV14" s="18"/>
      <c r="CW14" s="18"/>
      <c r="CX14" s="18"/>
      <c r="CY14" s="37">
        <v>44777</v>
      </c>
      <c r="CZ14" s="38">
        <v>17.0259</v>
      </c>
      <c r="DA14" s="18"/>
      <c r="DB14" s="37">
        <v>43866</v>
      </c>
      <c r="DC14" s="38">
        <v>15.168699999999999</v>
      </c>
      <c r="DD14" s="18"/>
      <c r="DE14" s="37">
        <v>43866</v>
      </c>
      <c r="DF14" s="38">
        <v>14.7767</v>
      </c>
      <c r="DG14" s="18"/>
      <c r="DH14" s="37">
        <v>43866</v>
      </c>
      <c r="DI14" s="38">
        <v>19.180299999999999</v>
      </c>
      <c r="DJ14" s="18"/>
      <c r="DK14" s="37">
        <v>43866</v>
      </c>
      <c r="DL14" s="38">
        <v>0.1343</v>
      </c>
      <c r="DM14" s="18"/>
      <c r="DN14" s="18"/>
      <c r="DO14" s="18"/>
      <c r="DP14" s="18"/>
      <c r="DQ14" s="18"/>
      <c r="DR14" s="18"/>
      <c r="DS14" s="18"/>
      <c r="DT14" s="18"/>
      <c r="DU14" s="18"/>
      <c r="DV14" s="18"/>
      <c r="DW14" s="18"/>
      <c r="DX14" s="18"/>
      <c r="DY14" s="18"/>
      <c r="DZ14" s="18"/>
    </row>
    <row r="15" spans="1:130" ht="15" customHeight="1" x14ac:dyDescent="0.3">
      <c r="A15" s="30" t="s">
        <v>342</v>
      </c>
      <c r="B15" s="31" t="s">
        <v>343</v>
      </c>
      <c r="C15" s="32"/>
      <c r="D15" s="32"/>
      <c r="E15" s="32"/>
      <c r="F15" s="32"/>
      <c r="G15" s="32"/>
      <c r="H15" s="32"/>
      <c r="I15" s="33"/>
      <c r="J15" s="33"/>
      <c r="K15" s="33"/>
      <c r="L15" s="33"/>
      <c r="M15" s="34"/>
      <c r="N15" s="17"/>
      <c r="O15" s="17"/>
      <c r="P15" s="17"/>
      <c r="Q15" s="17"/>
      <c r="R15" s="17"/>
      <c r="S15" s="17"/>
      <c r="T15" s="17"/>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37">
        <v>40359</v>
      </c>
      <c r="BR15" s="38">
        <v>18464.250899999999</v>
      </c>
      <c r="BS15" s="17"/>
      <c r="BT15" s="37">
        <v>40359</v>
      </c>
      <c r="BU15" s="38">
        <v>1290</v>
      </c>
      <c r="BV15" s="18"/>
      <c r="BW15" s="37"/>
      <c r="BX15" s="38"/>
      <c r="BY15" s="18"/>
      <c r="BZ15" s="39">
        <v>40359</v>
      </c>
      <c r="CA15" s="40">
        <v>18464.250899999999</v>
      </c>
      <c r="CB15" s="17"/>
      <c r="CC15" s="39">
        <v>40359</v>
      </c>
      <c r="CD15" s="40">
        <v>12.9</v>
      </c>
      <c r="CE15" s="18"/>
      <c r="CF15" s="18"/>
      <c r="CG15" s="18"/>
      <c r="CH15" s="18"/>
      <c r="CI15" s="18"/>
      <c r="CJ15" s="18"/>
      <c r="CK15" s="18"/>
      <c r="CL15" s="18"/>
      <c r="CM15" s="18"/>
      <c r="CN15" s="37">
        <v>44946</v>
      </c>
      <c r="CO15" s="38">
        <v>21327.31</v>
      </c>
      <c r="CP15" s="17"/>
      <c r="CQ15" s="37">
        <v>44946</v>
      </c>
      <c r="CR15" s="38">
        <v>1482</v>
      </c>
      <c r="CS15" s="18"/>
      <c r="CT15" s="18"/>
      <c r="CU15" s="18"/>
      <c r="CV15" s="18"/>
      <c r="CW15" s="18"/>
      <c r="CX15" s="18"/>
      <c r="CY15" s="37">
        <v>44778</v>
      </c>
      <c r="CZ15" s="38">
        <v>17.0823</v>
      </c>
      <c r="DA15" s="18"/>
      <c r="DB15" s="37">
        <v>43867</v>
      </c>
      <c r="DC15" s="38">
        <v>15.301</v>
      </c>
      <c r="DD15" s="18"/>
      <c r="DE15" s="37">
        <v>43867</v>
      </c>
      <c r="DF15" s="38">
        <v>14.9146</v>
      </c>
      <c r="DG15" s="18"/>
      <c r="DH15" s="37">
        <v>43867</v>
      </c>
      <c r="DI15" s="38">
        <v>19.282900000000001</v>
      </c>
      <c r="DJ15" s="18"/>
      <c r="DK15" s="37">
        <v>43867</v>
      </c>
      <c r="DL15" s="38">
        <v>0.1356</v>
      </c>
      <c r="DM15" s="18"/>
      <c r="DN15" s="18"/>
      <c r="DO15" s="18"/>
      <c r="DP15" s="18"/>
      <c r="DQ15" s="18"/>
      <c r="DR15" s="18"/>
      <c r="DS15" s="18"/>
      <c r="DT15" s="18"/>
      <c r="DU15" s="18"/>
      <c r="DV15" s="18"/>
      <c r="DW15" s="18"/>
      <c r="DX15" s="18"/>
      <c r="DY15" s="18"/>
      <c r="DZ15" s="18"/>
    </row>
    <row r="16" spans="1:130" ht="15" customHeight="1" x14ac:dyDescent="0.3">
      <c r="A16" s="30"/>
      <c r="B16" s="31"/>
      <c r="C16" s="32"/>
      <c r="D16" s="32"/>
      <c r="E16" s="32"/>
      <c r="F16" s="32"/>
      <c r="G16" s="32"/>
      <c r="H16" s="32"/>
      <c r="I16" s="33"/>
      <c r="J16" s="33"/>
      <c r="K16" s="33"/>
      <c r="L16" s="33"/>
      <c r="M16" s="34"/>
      <c r="N16" s="17"/>
      <c r="O16" s="17"/>
      <c r="P16" s="17"/>
      <c r="Q16" s="17"/>
      <c r="R16" s="17"/>
      <c r="S16" s="17"/>
      <c r="T16" s="17"/>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37">
        <v>40389</v>
      </c>
      <c r="BR16" s="38">
        <v>19468.215700000001</v>
      </c>
      <c r="BS16" s="17"/>
      <c r="BT16" s="37">
        <v>40389</v>
      </c>
      <c r="BU16" s="38">
        <v>1360</v>
      </c>
      <c r="BV16" s="18"/>
      <c r="BW16" s="37"/>
      <c r="BX16" s="38"/>
      <c r="BY16" s="18"/>
      <c r="BZ16" s="39">
        <v>40389</v>
      </c>
      <c r="CA16" s="40">
        <v>19468.215700000001</v>
      </c>
      <c r="CB16" s="17"/>
      <c r="CC16" s="39">
        <v>40389</v>
      </c>
      <c r="CD16" s="40">
        <v>13.6</v>
      </c>
      <c r="CE16" s="18"/>
      <c r="CF16" s="18"/>
      <c r="CG16" s="18"/>
      <c r="CH16" s="18"/>
      <c r="CI16" s="18"/>
      <c r="CJ16" s="18"/>
      <c r="CK16" s="18"/>
      <c r="CL16" s="18"/>
      <c r="CM16" s="18"/>
      <c r="CN16" s="37">
        <v>44949</v>
      </c>
      <c r="CO16" s="38">
        <v>21298.53</v>
      </c>
      <c r="CP16" s="17"/>
      <c r="CQ16" s="37">
        <v>44949</v>
      </c>
      <c r="CR16" s="38">
        <v>1480</v>
      </c>
      <c r="CS16" s="18"/>
      <c r="CT16" s="18"/>
      <c r="CU16" s="18"/>
      <c r="CV16" s="18"/>
      <c r="CW16" s="18"/>
      <c r="CX16" s="18"/>
      <c r="CY16" s="37">
        <v>44781</v>
      </c>
      <c r="CZ16" s="38">
        <v>16.9815</v>
      </c>
      <c r="DA16" s="18"/>
      <c r="DB16" s="37">
        <v>43868</v>
      </c>
      <c r="DC16" s="38">
        <v>15.416700000000001</v>
      </c>
      <c r="DD16" s="18"/>
      <c r="DE16" s="37">
        <v>43868</v>
      </c>
      <c r="DF16" s="38">
        <v>15.063599999999999</v>
      </c>
      <c r="DG16" s="18"/>
      <c r="DH16" s="37">
        <v>43868</v>
      </c>
      <c r="DI16" s="38">
        <v>19.4131</v>
      </c>
      <c r="DJ16" s="18"/>
      <c r="DK16" s="37">
        <v>43868</v>
      </c>
      <c r="DL16" s="38">
        <v>0.13730000000000001</v>
      </c>
      <c r="DM16" s="18"/>
      <c r="DN16" s="18"/>
      <c r="DO16" s="18"/>
      <c r="DP16" s="18"/>
      <c r="DQ16" s="18"/>
      <c r="DR16" s="18"/>
      <c r="DS16" s="18"/>
      <c r="DT16" s="18"/>
      <c r="DU16" s="18"/>
      <c r="DV16" s="18"/>
      <c r="DW16" s="18"/>
      <c r="DX16" s="18"/>
      <c r="DY16" s="18"/>
      <c r="DZ16" s="18"/>
    </row>
    <row r="17" spans="1:130" ht="15" customHeight="1" x14ac:dyDescent="0.3">
      <c r="A17" s="30" t="s">
        <v>624</v>
      </c>
      <c r="B17" s="31" t="s">
        <v>625</v>
      </c>
      <c r="C17" s="32" t="s">
        <v>626</v>
      </c>
      <c r="D17" s="32" t="s">
        <v>626</v>
      </c>
      <c r="E17" s="32" t="s">
        <v>626</v>
      </c>
      <c r="F17" s="32" t="s">
        <v>626</v>
      </c>
      <c r="G17" s="32" t="s">
        <v>626</v>
      </c>
      <c r="H17" s="32" t="s">
        <v>626</v>
      </c>
      <c r="I17" s="33" t="s">
        <v>626</v>
      </c>
      <c r="J17" s="33" t="s">
        <v>626</v>
      </c>
      <c r="K17" s="33" t="s">
        <v>626</v>
      </c>
      <c r="L17" s="33" t="s">
        <v>626</v>
      </c>
      <c r="M17" s="34" t="s">
        <v>626</v>
      </c>
      <c r="N17" s="17"/>
      <c r="O17" s="17"/>
      <c r="P17" s="17"/>
      <c r="Q17" s="17"/>
      <c r="R17" s="17"/>
      <c r="S17" s="17"/>
      <c r="T17" s="17"/>
      <c r="U17" s="17"/>
      <c r="V17" s="17"/>
      <c r="W17" s="17"/>
      <c r="X17" s="17"/>
      <c r="Y17" s="17"/>
      <c r="Z17" s="17"/>
      <c r="AA17" s="17"/>
      <c r="AB17" s="17"/>
      <c r="AC17" s="17"/>
      <c r="AD17" s="17"/>
      <c r="AE17" s="18" t="s">
        <v>468</v>
      </c>
      <c r="AF17" s="28"/>
      <c r="AG17" s="28"/>
      <c r="AH17" s="28"/>
      <c r="AI17" s="28"/>
      <c r="AJ17" s="28"/>
      <c r="AK17" s="28"/>
      <c r="AL17" s="28"/>
      <c r="AM17" s="28"/>
      <c r="AN17" s="18"/>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37">
        <v>40421</v>
      </c>
      <c r="BR17" s="38">
        <v>18938.565699999999</v>
      </c>
      <c r="BS17" s="17"/>
      <c r="BT17" s="37">
        <v>40421</v>
      </c>
      <c r="BU17" s="38">
        <v>1323</v>
      </c>
      <c r="BV17" s="18"/>
      <c r="BW17" s="37"/>
      <c r="BX17" s="38"/>
      <c r="BY17" s="18"/>
      <c r="BZ17" s="39">
        <v>40421</v>
      </c>
      <c r="CA17" s="40">
        <v>18938.565699999999</v>
      </c>
      <c r="CB17" s="17"/>
      <c r="CC17" s="39">
        <v>40421</v>
      </c>
      <c r="CD17" s="40">
        <v>13.23</v>
      </c>
      <c r="CE17" s="18"/>
      <c r="CF17" s="18"/>
      <c r="CG17" s="18"/>
      <c r="CH17" s="18"/>
      <c r="CI17" s="18"/>
      <c r="CJ17" s="18"/>
      <c r="CK17" s="18"/>
      <c r="CL17" s="18"/>
      <c r="CM17" s="18"/>
      <c r="CN17" s="37">
        <v>44950</v>
      </c>
      <c r="CO17" s="38">
        <v>21226.58</v>
      </c>
      <c r="CP17" s="17"/>
      <c r="CQ17" s="37">
        <v>44950</v>
      </c>
      <c r="CR17" s="38">
        <v>1475</v>
      </c>
      <c r="CS17" s="18"/>
      <c r="CT17" s="18"/>
      <c r="CU17" s="18"/>
      <c r="CV17" s="18"/>
      <c r="CW17" s="18"/>
      <c r="CX17" s="18"/>
      <c r="CY17" s="37">
        <v>44783</v>
      </c>
      <c r="CZ17" s="38">
        <v>16.6951</v>
      </c>
      <c r="DA17" s="18"/>
      <c r="DB17" s="37">
        <v>43871</v>
      </c>
      <c r="DC17" s="38">
        <v>15.321899999999999</v>
      </c>
      <c r="DD17" s="18"/>
      <c r="DE17" s="37">
        <v>43871</v>
      </c>
      <c r="DF17" s="38">
        <v>14.978199999999999</v>
      </c>
      <c r="DG17" s="18"/>
      <c r="DH17" s="37">
        <v>43871</v>
      </c>
      <c r="DI17" s="38">
        <v>19.343699999999998</v>
      </c>
      <c r="DJ17" s="18"/>
      <c r="DK17" s="37">
        <v>43871</v>
      </c>
      <c r="DL17" s="38">
        <v>0.13650000000000001</v>
      </c>
      <c r="DM17" s="18"/>
      <c r="DN17" s="18"/>
      <c r="DO17" s="18"/>
      <c r="DP17" s="18"/>
      <c r="DQ17" s="18"/>
      <c r="DR17" s="18"/>
      <c r="DS17" s="18"/>
      <c r="DT17" s="18"/>
      <c r="DU17" s="18"/>
      <c r="DV17" s="18"/>
      <c r="DW17" s="18"/>
      <c r="DX17" s="18"/>
      <c r="DY17" s="18"/>
      <c r="DZ17" s="18"/>
    </row>
    <row r="18" spans="1:130" ht="15" customHeight="1" x14ac:dyDescent="0.3">
      <c r="A18" s="30" t="s">
        <v>627</v>
      </c>
      <c r="B18" s="31" t="s">
        <v>628</v>
      </c>
      <c r="C18" s="32" t="s">
        <v>428</v>
      </c>
      <c r="D18" s="32" t="s">
        <v>428</v>
      </c>
      <c r="E18" s="32" t="s">
        <v>428</v>
      </c>
      <c r="F18" s="32" t="s">
        <v>428</v>
      </c>
      <c r="G18" s="32" t="s">
        <v>428</v>
      </c>
      <c r="H18" s="32" t="s">
        <v>428</v>
      </c>
      <c r="I18" s="33" t="s">
        <v>428</v>
      </c>
      <c r="J18" s="33" t="s">
        <v>428</v>
      </c>
      <c r="K18" s="33" t="s">
        <v>428</v>
      </c>
      <c r="L18" s="33" t="s">
        <v>428</v>
      </c>
      <c r="M18" s="34" t="s">
        <v>428</v>
      </c>
      <c r="N18" s="17"/>
      <c r="O18" s="17"/>
      <c r="P18" s="17"/>
      <c r="Q18" s="17"/>
      <c r="R18" s="17"/>
      <c r="S18" s="17"/>
      <c r="T18" s="17"/>
      <c r="U18" s="17"/>
      <c r="V18" s="17"/>
      <c r="W18" s="17"/>
      <c r="X18" s="17"/>
      <c r="Y18" s="17"/>
      <c r="Z18" s="17"/>
      <c r="AA18" s="17"/>
      <c r="AB18" s="17"/>
      <c r="AC18" s="17"/>
      <c r="AD18" s="17"/>
      <c r="AE18" s="18"/>
      <c r="AF18" s="28">
        <v>2022</v>
      </c>
      <c r="AG18" s="28">
        <v>2021</v>
      </c>
      <c r="AH18" s="28">
        <v>2020</v>
      </c>
      <c r="AI18" s="28">
        <v>2019</v>
      </c>
      <c r="AJ18" s="28">
        <v>2018</v>
      </c>
      <c r="AK18" s="28">
        <v>2017</v>
      </c>
      <c r="AL18" s="28">
        <v>2016</v>
      </c>
      <c r="AM18" s="28">
        <v>2015</v>
      </c>
      <c r="AN18" s="18"/>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37">
        <v>40451</v>
      </c>
      <c r="BR18" s="38">
        <v>19883.124800000001</v>
      </c>
      <c r="BS18" s="17"/>
      <c r="BT18" s="37">
        <v>40451</v>
      </c>
      <c r="BU18" s="38">
        <v>1384</v>
      </c>
      <c r="BV18" s="18"/>
      <c r="BW18" s="37"/>
      <c r="BX18" s="38"/>
      <c r="BY18" s="18"/>
      <c r="BZ18" s="39">
        <v>40451</v>
      </c>
      <c r="CA18" s="40">
        <v>19883.124800000001</v>
      </c>
      <c r="CB18" s="17"/>
      <c r="CC18" s="39">
        <v>40451</v>
      </c>
      <c r="CD18" s="40">
        <v>13.84</v>
      </c>
      <c r="CE18" s="18"/>
      <c r="CF18" s="18"/>
      <c r="CG18" s="18"/>
      <c r="CH18" s="18"/>
      <c r="CI18" s="18"/>
      <c r="CJ18" s="18"/>
      <c r="CK18" s="18"/>
      <c r="CL18" s="18"/>
      <c r="CM18" s="18"/>
      <c r="CN18" s="37">
        <v>44951</v>
      </c>
      <c r="CO18" s="38">
        <v>20478.25</v>
      </c>
      <c r="CP18" s="17"/>
      <c r="CQ18" s="37">
        <v>44951</v>
      </c>
      <c r="CR18" s="38">
        <v>1423</v>
      </c>
      <c r="CS18" s="18"/>
      <c r="CT18" s="18"/>
      <c r="CU18" s="18"/>
      <c r="CV18" s="18"/>
      <c r="CW18" s="18"/>
      <c r="CX18" s="18"/>
      <c r="CY18" s="37">
        <v>44784</v>
      </c>
      <c r="CZ18" s="38">
        <v>16.775500000000001</v>
      </c>
      <c r="DA18" s="18"/>
      <c r="DB18" s="37">
        <v>43872</v>
      </c>
      <c r="DC18" s="38">
        <v>15.1793</v>
      </c>
      <c r="DD18" s="18"/>
      <c r="DE18" s="37">
        <v>43872</v>
      </c>
      <c r="DF18" s="38">
        <v>14.8096</v>
      </c>
      <c r="DG18" s="18"/>
      <c r="DH18" s="37">
        <v>43872</v>
      </c>
      <c r="DI18" s="38">
        <v>19.194800000000001</v>
      </c>
      <c r="DJ18" s="18"/>
      <c r="DK18" s="37">
        <v>43872</v>
      </c>
      <c r="DL18" s="38">
        <v>0.13489999999999999</v>
      </c>
      <c r="DM18" s="18"/>
      <c r="DN18" s="18"/>
      <c r="DO18" s="18"/>
      <c r="DP18" s="18"/>
      <c r="DQ18" s="18"/>
      <c r="DR18" s="18"/>
      <c r="DS18" s="18"/>
      <c r="DT18" s="18"/>
      <c r="DU18" s="18"/>
      <c r="DV18" s="18"/>
      <c r="DW18" s="18"/>
      <c r="DX18" s="18"/>
      <c r="DY18" s="18"/>
      <c r="DZ18" s="18"/>
    </row>
    <row r="19" spans="1:130" ht="15" customHeight="1" x14ac:dyDescent="0.3">
      <c r="A19" s="41"/>
      <c r="B19" s="42" t="s">
        <v>738</v>
      </c>
      <c r="C19" s="43">
        <v>0.01</v>
      </c>
      <c r="D19" s="32"/>
      <c r="E19" s="32"/>
      <c r="F19" s="32"/>
      <c r="G19" s="32"/>
      <c r="H19" s="32"/>
      <c r="I19" s="33"/>
      <c r="J19" s="33"/>
      <c r="K19" s="33"/>
      <c r="L19" s="33"/>
      <c r="M19" s="34"/>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37">
        <v>40480</v>
      </c>
      <c r="BR19" s="38">
        <v>20931.873500000002</v>
      </c>
      <c r="BS19" s="17"/>
      <c r="BT19" s="37">
        <v>40480</v>
      </c>
      <c r="BU19" s="38">
        <v>1457</v>
      </c>
      <c r="BV19" s="18"/>
      <c r="BW19" s="37"/>
      <c r="BX19" s="38"/>
      <c r="BY19" s="18"/>
      <c r="BZ19" s="39">
        <v>40480</v>
      </c>
      <c r="CA19" s="40">
        <v>20931.873500000002</v>
      </c>
      <c r="CB19" s="17"/>
      <c r="CC19" s="39">
        <v>40480</v>
      </c>
      <c r="CD19" s="40">
        <v>14.57</v>
      </c>
      <c r="CE19" s="18"/>
      <c r="CF19" s="18"/>
      <c r="CG19" s="18"/>
      <c r="CH19" s="18"/>
      <c r="CI19" s="18"/>
      <c r="CJ19" s="18"/>
      <c r="CK19" s="18"/>
      <c r="CL19" s="18"/>
      <c r="CM19" s="18"/>
      <c r="CN19" s="37">
        <v>44952</v>
      </c>
      <c r="CO19" s="38">
        <v>20938.759999999998</v>
      </c>
      <c r="CP19" s="17"/>
      <c r="CQ19" s="37">
        <v>44952</v>
      </c>
      <c r="CR19" s="38">
        <v>1455</v>
      </c>
      <c r="CS19" s="18"/>
      <c r="CT19" s="18"/>
      <c r="CU19" s="18"/>
      <c r="CV19" s="18"/>
      <c r="CW19" s="18"/>
      <c r="CX19" s="18"/>
      <c r="CY19" s="37">
        <v>44785</v>
      </c>
      <c r="CZ19" s="38">
        <v>16.642800000000001</v>
      </c>
      <c r="DA19" s="18"/>
      <c r="DB19" s="37">
        <v>43873</v>
      </c>
      <c r="DC19" s="38">
        <v>15.186199999999999</v>
      </c>
      <c r="DD19" s="18"/>
      <c r="DE19" s="37">
        <v>43873</v>
      </c>
      <c r="DF19" s="38">
        <v>14.852399999999999</v>
      </c>
      <c r="DG19" s="18"/>
      <c r="DH19" s="37">
        <v>43873</v>
      </c>
      <c r="DI19" s="38">
        <v>19.250699999999998</v>
      </c>
      <c r="DJ19" s="18"/>
      <c r="DK19" s="37">
        <v>43873</v>
      </c>
      <c r="DL19" s="38">
        <v>0.13489999999999999</v>
      </c>
      <c r="DM19" s="18"/>
      <c r="DN19" s="18"/>
      <c r="DO19" s="18"/>
      <c r="DP19" s="18"/>
      <c r="DQ19" s="18"/>
      <c r="DR19" s="18"/>
      <c r="DS19" s="18"/>
      <c r="DT19" s="18"/>
      <c r="DU19" s="18"/>
      <c r="DV19" s="18"/>
      <c r="DW19" s="18"/>
      <c r="DX19" s="18"/>
      <c r="DY19" s="18"/>
      <c r="DZ19" s="18"/>
    </row>
    <row r="20" spans="1:130" ht="15" customHeight="1" x14ac:dyDescent="0.3">
      <c r="A20" s="45"/>
      <c r="B20" s="42" t="s">
        <v>830</v>
      </c>
      <c r="C20" s="43">
        <v>14.71</v>
      </c>
      <c r="D20" s="46">
        <v>44972</v>
      </c>
      <c r="E20" s="32"/>
      <c r="F20" s="32"/>
      <c r="G20" s="32"/>
      <c r="H20" s="32"/>
      <c r="I20" s="33"/>
      <c r="J20" s="33"/>
      <c r="K20" s="33"/>
      <c r="L20" s="33"/>
      <c r="M20" s="34"/>
      <c r="N20" s="17"/>
      <c r="O20" s="17"/>
      <c r="P20" s="17"/>
      <c r="Q20" s="17"/>
      <c r="R20" s="17"/>
      <c r="S20" s="17"/>
      <c r="T20" s="17"/>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37">
        <v>40512</v>
      </c>
      <c r="BR20" s="38">
        <v>21079.195599999999</v>
      </c>
      <c r="BS20" s="17"/>
      <c r="BT20" s="37">
        <v>40512</v>
      </c>
      <c r="BU20" s="38">
        <v>1466</v>
      </c>
      <c r="BV20" s="18"/>
      <c r="BW20" s="37"/>
      <c r="BX20" s="38"/>
      <c r="BY20" s="18"/>
      <c r="BZ20" s="39">
        <v>40512</v>
      </c>
      <c r="CA20" s="40">
        <v>21079.195599999999</v>
      </c>
      <c r="CB20" s="17"/>
      <c r="CC20" s="39">
        <v>40512</v>
      </c>
      <c r="CD20" s="40">
        <v>14.66</v>
      </c>
      <c r="CE20" s="18"/>
      <c r="CF20" s="18"/>
      <c r="CG20" s="18"/>
      <c r="CH20" s="18"/>
      <c r="CI20" s="18"/>
      <c r="CJ20" s="18"/>
      <c r="CK20" s="18"/>
      <c r="CL20" s="18"/>
      <c r="CM20" s="18"/>
      <c r="CN20" s="37">
        <v>44953</v>
      </c>
      <c r="CO20" s="38">
        <v>20967.54</v>
      </c>
      <c r="CP20" s="17"/>
      <c r="CQ20" s="37">
        <v>44953</v>
      </c>
      <c r="CR20" s="38">
        <v>1457</v>
      </c>
      <c r="CS20" s="18"/>
      <c r="CT20" s="18"/>
      <c r="CU20" s="18"/>
      <c r="CV20" s="18"/>
      <c r="CW20" s="18"/>
      <c r="CX20" s="18"/>
      <c r="CY20" s="37">
        <v>44788</v>
      </c>
      <c r="CZ20" s="38">
        <v>16.696999999999999</v>
      </c>
      <c r="DA20" s="18"/>
      <c r="DB20" s="37">
        <v>43874</v>
      </c>
      <c r="DC20" s="38">
        <v>15.2674</v>
      </c>
      <c r="DD20" s="18"/>
      <c r="DE20" s="37">
        <v>43874</v>
      </c>
      <c r="DF20" s="38">
        <v>14.9557</v>
      </c>
      <c r="DG20" s="18"/>
      <c r="DH20" s="37">
        <v>43874</v>
      </c>
      <c r="DI20" s="38">
        <v>19.500399999999999</v>
      </c>
      <c r="DJ20" s="18"/>
      <c r="DK20" s="37">
        <v>43874</v>
      </c>
      <c r="DL20" s="38">
        <v>0.13619999999999999</v>
      </c>
      <c r="DM20" s="18"/>
      <c r="DN20" s="18"/>
      <c r="DO20" s="18"/>
      <c r="DP20" s="18"/>
      <c r="DQ20" s="18"/>
      <c r="DR20" s="18"/>
      <c r="DS20" s="18"/>
      <c r="DT20" s="18"/>
      <c r="DU20" s="18"/>
      <c r="DV20" s="18"/>
      <c r="DW20" s="18"/>
      <c r="DX20" s="18"/>
      <c r="DY20" s="18"/>
      <c r="DZ20" s="18"/>
    </row>
    <row r="21" spans="1:130" ht="15" customHeight="1" x14ac:dyDescent="0.3">
      <c r="A21" s="45"/>
      <c r="B21" s="42" t="s">
        <v>831</v>
      </c>
      <c r="C21" s="43">
        <v>21169.01</v>
      </c>
      <c r="D21" s="46">
        <v>44972</v>
      </c>
      <c r="E21" s="32"/>
      <c r="F21" s="32"/>
      <c r="G21" s="32"/>
      <c r="H21" s="32"/>
      <c r="I21" s="33"/>
      <c r="J21" s="33"/>
      <c r="K21" s="33"/>
      <c r="L21" s="33"/>
      <c r="M21" s="34"/>
      <c r="N21" s="17"/>
      <c r="O21" s="17"/>
      <c r="P21" s="17"/>
      <c r="Q21" s="17"/>
      <c r="R21" s="17"/>
      <c r="S21" s="17"/>
      <c r="T21" s="17"/>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37">
        <v>40543</v>
      </c>
      <c r="BR21" s="38">
        <v>22161.006300000001</v>
      </c>
      <c r="BS21" s="17"/>
      <c r="BT21" s="37">
        <v>40543</v>
      </c>
      <c r="BU21" s="38">
        <v>1539</v>
      </c>
      <c r="BV21" s="18"/>
      <c r="BW21" s="37"/>
      <c r="BX21" s="38"/>
      <c r="BY21" s="18"/>
      <c r="BZ21" s="39">
        <v>40543</v>
      </c>
      <c r="CA21" s="40">
        <v>22161.006300000001</v>
      </c>
      <c r="CB21" s="17"/>
      <c r="CC21" s="39">
        <v>40543</v>
      </c>
      <c r="CD21" s="40">
        <v>15.39</v>
      </c>
      <c r="CE21" s="18"/>
      <c r="CF21" s="18"/>
      <c r="CG21" s="18"/>
      <c r="CH21" s="18"/>
      <c r="CI21" s="18"/>
      <c r="CJ21" s="18"/>
      <c r="CK21" s="18"/>
      <c r="CL21" s="18"/>
      <c r="CM21" s="18"/>
      <c r="CN21" s="37">
        <v>44956</v>
      </c>
      <c r="CO21" s="38">
        <v>20809.240000000002</v>
      </c>
      <c r="CP21" s="17"/>
      <c r="CQ21" s="37">
        <v>44956</v>
      </c>
      <c r="CR21" s="38">
        <v>1446</v>
      </c>
      <c r="CS21" s="18"/>
      <c r="CT21" s="18"/>
      <c r="CU21" s="18"/>
      <c r="CV21" s="18"/>
      <c r="CW21" s="18"/>
      <c r="CX21" s="18"/>
      <c r="CY21" s="37">
        <v>44789</v>
      </c>
      <c r="CZ21" s="38">
        <v>16.655899999999999</v>
      </c>
      <c r="DA21" s="18"/>
      <c r="DB21" s="37">
        <v>43875</v>
      </c>
      <c r="DC21" s="38">
        <v>15.179600000000001</v>
      </c>
      <c r="DD21" s="18"/>
      <c r="DE21" s="37">
        <v>43875</v>
      </c>
      <c r="DF21" s="38">
        <v>14.911799999999999</v>
      </c>
      <c r="DG21" s="18"/>
      <c r="DH21" s="37">
        <v>43875</v>
      </c>
      <c r="DI21" s="38">
        <v>19.458500000000001</v>
      </c>
      <c r="DJ21" s="18"/>
      <c r="DK21" s="37">
        <v>43875</v>
      </c>
      <c r="DL21" s="38">
        <v>0.1358</v>
      </c>
      <c r="DM21" s="18"/>
      <c r="DN21" s="18"/>
      <c r="DO21" s="18"/>
      <c r="DP21" s="18"/>
      <c r="DQ21" s="18"/>
      <c r="DR21" s="18"/>
      <c r="DS21" s="18"/>
      <c r="DT21" s="18"/>
      <c r="DU21" s="18"/>
      <c r="DV21" s="18"/>
      <c r="DW21" s="18"/>
      <c r="DX21" s="18"/>
      <c r="DY21" s="18"/>
      <c r="DZ21" s="18"/>
    </row>
    <row r="22" spans="1:130" ht="15" customHeight="1" x14ac:dyDescent="0.3">
      <c r="A22" s="30" t="s">
        <v>344</v>
      </c>
      <c r="B22" s="47" t="s">
        <v>345</v>
      </c>
      <c r="C22" s="48">
        <v>2022</v>
      </c>
      <c r="D22" s="48">
        <v>2021</v>
      </c>
      <c r="E22" s="48">
        <v>2020</v>
      </c>
      <c r="F22" s="48">
        <v>2019</v>
      </c>
      <c r="G22" s="48">
        <v>2018</v>
      </c>
      <c r="H22" s="48">
        <v>2017</v>
      </c>
      <c r="I22" s="48">
        <v>2016</v>
      </c>
      <c r="J22" s="48">
        <v>2015</v>
      </c>
      <c r="K22" s="48">
        <v>2014</v>
      </c>
      <c r="L22" s="48">
        <v>2013</v>
      </c>
      <c r="M22" s="49">
        <v>2012</v>
      </c>
      <c r="N22" s="17"/>
      <c r="O22" s="17"/>
      <c r="P22" s="17"/>
      <c r="Q22" s="17"/>
      <c r="R22" s="17"/>
      <c r="S22" s="17"/>
      <c r="T22" s="17"/>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37">
        <v>40574</v>
      </c>
      <c r="BR22" s="38">
        <v>20817.369900000002</v>
      </c>
      <c r="BS22" s="17"/>
      <c r="BT22" s="37">
        <v>40574</v>
      </c>
      <c r="BU22" s="38">
        <v>1445</v>
      </c>
      <c r="BV22" s="18"/>
      <c r="BW22" s="37"/>
      <c r="BX22" s="38"/>
      <c r="BY22" s="18"/>
      <c r="BZ22" s="39">
        <v>40574</v>
      </c>
      <c r="CA22" s="40">
        <v>20817.369900000002</v>
      </c>
      <c r="CB22" s="17"/>
      <c r="CC22" s="39">
        <v>40574</v>
      </c>
      <c r="CD22" s="40">
        <v>14.450000000000001</v>
      </c>
      <c r="CE22" s="18"/>
      <c r="CF22" s="18"/>
      <c r="CG22" s="18"/>
      <c r="CH22" s="18"/>
      <c r="CI22" s="18"/>
      <c r="CJ22" s="18"/>
      <c r="CK22" s="18"/>
      <c r="CL22" s="18"/>
      <c r="CM22" s="18"/>
      <c r="CN22" s="37">
        <v>44957</v>
      </c>
      <c r="CO22" s="38">
        <v>20564.599999999999</v>
      </c>
      <c r="CP22" s="17"/>
      <c r="CQ22" s="37">
        <v>44957</v>
      </c>
      <c r="CR22" s="38">
        <v>1429</v>
      </c>
      <c r="CS22" s="18"/>
      <c r="CT22" s="18"/>
      <c r="CU22" s="18"/>
      <c r="CV22" s="18"/>
      <c r="CW22" s="18"/>
      <c r="CX22" s="18"/>
      <c r="CY22" s="37">
        <v>44790</v>
      </c>
      <c r="CZ22" s="38">
        <v>16.956299999999999</v>
      </c>
      <c r="DA22" s="18"/>
      <c r="DB22" s="37">
        <v>43878</v>
      </c>
      <c r="DC22" s="38">
        <v>15.2842</v>
      </c>
      <c r="DD22" s="18"/>
      <c r="DE22" s="37">
        <v>43878</v>
      </c>
      <c r="DF22" s="38">
        <v>14.987500000000001</v>
      </c>
      <c r="DG22" s="18"/>
      <c r="DH22" s="37">
        <v>43878</v>
      </c>
      <c r="DI22" s="38">
        <v>19.495799999999999</v>
      </c>
      <c r="DJ22" s="18"/>
      <c r="DK22" s="37">
        <v>43878</v>
      </c>
      <c r="DL22" s="38">
        <v>0.13639999999999999</v>
      </c>
      <c r="DM22" s="18"/>
      <c r="DN22" s="18"/>
      <c r="DO22" s="18"/>
      <c r="DP22" s="18"/>
      <c r="DQ22" s="18"/>
      <c r="DR22" s="18"/>
      <c r="DS22" s="18"/>
      <c r="DT22" s="18"/>
      <c r="DU22" s="18"/>
      <c r="DV22" s="18"/>
      <c r="DW22" s="18"/>
      <c r="DX22" s="18"/>
      <c r="DY22" s="18"/>
      <c r="DZ22" s="18"/>
    </row>
    <row r="23" spans="1:130" ht="15" customHeight="1" x14ac:dyDescent="0.3">
      <c r="A23" s="30" t="s">
        <v>621</v>
      </c>
      <c r="B23" s="47" t="s">
        <v>622</v>
      </c>
      <c r="C23" s="50">
        <v>44926</v>
      </c>
      <c r="D23" s="50">
        <v>44538</v>
      </c>
      <c r="E23" s="50">
        <v>44196</v>
      </c>
      <c r="F23" s="50">
        <v>43830</v>
      </c>
      <c r="G23" s="50">
        <v>43465</v>
      </c>
      <c r="H23" s="50">
        <v>43100</v>
      </c>
      <c r="I23" s="50">
        <v>42735</v>
      </c>
      <c r="J23" s="50">
        <v>42369</v>
      </c>
      <c r="K23" s="50">
        <v>42004</v>
      </c>
      <c r="L23" s="50">
        <v>41639</v>
      </c>
      <c r="M23" s="51">
        <v>41274</v>
      </c>
      <c r="N23" s="17"/>
      <c r="O23" s="17"/>
      <c r="P23" s="17"/>
      <c r="Q23" s="17"/>
      <c r="R23" s="17"/>
      <c r="S23" s="17"/>
      <c r="T23" s="17"/>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37">
        <v>40602</v>
      </c>
      <c r="BR23" s="38">
        <v>21022.512299999999</v>
      </c>
      <c r="BS23" s="17"/>
      <c r="BT23" s="37">
        <v>40602</v>
      </c>
      <c r="BU23" s="38">
        <v>1459</v>
      </c>
      <c r="BV23" s="18"/>
      <c r="BW23" s="37"/>
      <c r="BX23" s="38"/>
      <c r="BY23" s="18"/>
      <c r="BZ23" s="39">
        <v>40602</v>
      </c>
      <c r="CA23" s="40">
        <v>21022.512299999999</v>
      </c>
      <c r="CB23" s="17"/>
      <c r="CC23" s="39">
        <v>40602</v>
      </c>
      <c r="CD23" s="40">
        <v>14.59</v>
      </c>
      <c r="CE23" s="18"/>
      <c r="CF23" s="18"/>
      <c r="CG23" s="18"/>
      <c r="CH23" s="18"/>
      <c r="CI23" s="18"/>
      <c r="CJ23" s="18"/>
      <c r="CK23" s="18"/>
      <c r="CL23" s="18"/>
      <c r="CM23" s="18"/>
      <c r="CN23" s="37">
        <v>44958</v>
      </c>
      <c r="CO23" s="38">
        <v>20708.509999999998</v>
      </c>
      <c r="CP23" s="17"/>
      <c r="CQ23" s="37">
        <v>44958</v>
      </c>
      <c r="CR23" s="38">
        <v>1439</v>
      </c>
      <c r="CS23" s="18"/>
      <c r="CT23" s="18"/>
      <c r="CU23" s="18"/>
      <c r="CV23" s="18"/>
      <c r="CW23" s="18"/>
      <c r="CX23" s="18"/>
      <c r="CY23" s="37">
        <v>44791</v>
      </c>
      <c r="CZ23" s="38">
        <v>17.0244</v>
      </c>
      <c r="DA23" s="18"/>
      <c r="DB23" s="37">
        <v>43879</v>
      </c>
      <c r="DC23" s="38">
        <v>15.262700000000001</v>
      </c>
      <c r="DD23" s="18"/>
      <c r="DE23" s="37">
        <v>43879</v>
      </c>
      <c r="DF23" s="38">
        <v>15.007</v>
      </c>
      <c r="DG23" s="18"/>
      <c r="DH23" s="37">
        <v>43879</v>
      </c>
      <c r="DI23" s="38">
        <v>19.511900000000001</v>
      </c>
      <c r="DJ23" s="18"/>
      <c r="DK23" s="37">
        <v>43879</v>
      </c>
      <c r="DL23" s="38">
        <v>0.1366</v>
      </c>
      <c r="DM23" s="18"/>
      <c r="DN23" s="18"/>
      <c r="DO23" s="18"/>
      <c r="DP23" s="18"/>
      <c r="DQ23" s="18"/>
      <c r="DR23" s="18"/>
      <c r="DS23" s="18"/>
      <c r="DT23" s="18"/>
      <c r="DU23" s="18"/>
      <c r="DV23" s="18"/>
      <c r="DW23" s="18"/>
      <c r="DX23" s="18"/>
      <c r="DY23" s="18"/>
      <c r="DZ23" s="18"/>
    </row>
    <row r="24" spans="1:130" ht="15" customHeight="1" x14ac:dyDescent="0.3">
      <c r="A24" s="30" t="s">
        <v>823</v>
      </c>
      <c r="B24" s="31" t="s">
        <v>824</v>
      </c>
      <c r="C24" s="50">
        <v>45170</v>
      </c>
      <c r="D24" s="50">
        <v>45170</v>
      </c>
      <c r="E24" s="50">
        <v>45170</v>
      </c>
      <c r="F24" s="50">
        <v>44440</v>
      </c>
      <c r="G24" s="50">
        <v>44440</v>
      </c>
      <c r="H24" s="50">
        <v>44440</v>
      </c>
      <c r="I24" s="52">
        <v>44440</v>
      </c>
      <c r="J24" s="52">
        <v>44440</v>
      </c>
      <c r="K24" s="52">
        <v>44440</v>
      </c>
      <c r="L24" s="52">
        <v>44440</v>
      </c>
      <c r="M24" s="53">
        <v>44440</v>
      </c>
      <c r="N24" s="17"/>
      <c r="O24" s="17"/>
      <c r="P24" s="17"/>
      <c r="Q24" s="17"/>
      <c r="R24" s="17"/>
      <c r="S24" s="17"/>
      <c r="T24" s="17"/>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37">
        <v>40633</v>
      </c>
      <c r="BR24" s="38">
        <v>20896.544399999999</v>
      </c>
      <c r="BS24" s="17"/>
      <c r="BT24" s="37">
        <v>40633</v>
      </c>
      <c r="BU24" s="38">
        <v>1450</v>
      </c>
      <c r="BV24" s="18"/>
      <c r="BW24" s="37"/>
      <c r="BX24" s="38"/>
      <c r="BY24" s="18"/>
      <c r="BZ24" s="39">
        <v>40633</v>
      </c>
      <c r="CA24" s="40">
        <v>20896.544399999999</v>
      </c>
      <c r="CB24" s="17"/>
      <c r="CC24" s="39">
        <v>40633</v>
      </c>
      <c r="CD24" s="40">
        <v>14.5</v>
      </c>
      <c r="CE24" s="18"/>
      <c r="CF24" s="18"/>
      <c r="CG24" s="18"/>
      <c r="CH24" s="18"/>
      <c r="CI24" s="18"/>
      <c r="CJ24" s="18"/>
      <c r="CK24" s="18"/>
      <c r="CL24" s="18"/>
      <c r="CM24" s="18"/>
      <c r="CN24" s="37">
        <v>44959</v>
      </c>
      <c r="CO24" s="38">
        <v>20938.759999999998</v>
      </c>
      <c r="CP24" s="17"/>
      <c r="CQ24" s="37">
        <v>44959</v>
      </c>
      <c r="CR24" s="38">
        <v>1455</v>
      </c>
      <c r="CS24" s="18"/>
      <c r="CT24" s="18"/>
      <c r="CU24" s="18"/>
      <c r="CV24" s="18"/>
      <c r="CW24" s="18"/>
      <c r="CX24" s="18"/>
      <c r="CY24" s="37">
        <v>44792</v>
      </c>
      <c r="CZ24" s="38">
        <v>17.063600000000001</v>
      </c>
      <c r="DA24" s="18"/>
      <c r="DB24" s="37">
        <v>43880</v>
      </c>
      <c r="DC24" s="38">
        <v>15.2242</v>
      </c>
      <c r="DD24" s="18"/>
      <c r="DE24" s="37">
        <v>43880</v>
      </c>
      <c r="DF24" s="38">
        <v>14.9833</v>
      </c>
      <c r="DG24" s="18"/>
      <c r="DH24" s="37">
        <v>43880</v>
      </c>
      <c r="DI24" s="38">
        <v>19.359200000000001</v>
      </c>
      <c r="DJ24" s="18"/>
      <c r="DK24" s="37">
        <v>43880</v>
      </c>
      <c r="DL24" s="38">
        <v>0.13450000000000001</v>
      </c>
      <c r="DM24" s="18"/>
      <c r="DN24" s="18"/>
      <c r="DO24" s="18"/>
      <c r="DP24" s="18"/>
      <c r="DQ24" s="18"/>
      <c r="DR24" s="18"/>
      <c r="DS24" s="18"/>
      <c r="DT24" s="18"/>
      <c r="DU24" s="18"/>
      <c r="DV24" s="18"/>
      <c r="DW24" s="18"/>
      <c r="DX24" s="18"/>
      <c r="DY24" s="18"/>
      <c r="DZ24" s="18"/>
    </row>
    <row r="25" spans="1:130" ht="15" customHeight="1" x14ac:dyDescent="0.3">
      <c r="A25" s="45"/>
      <c r="B25" s="42" t="s">
        <v>729</v>
      </c>
      <c r="C25" s="46">
        <v>44834</v>
      </c>
      <c r="D25" s="46">
        <v>44469</v>
      </c>
      <c r="E25" s="46">
        <v>44104</v>
      </c>
      <c r="F25" s="46">
        <v>43738</v>
      </c>
      <c r="G25" s="46">
        <v>43373</v>
      </c>
      <c r="H25" s="46">
        <v>43008</v>
      </c>
      <c r="I25" s="46">
        <v>42643</v>
      </c>
      <c r="J25" s="46">
        <v>42277</v>
      </c>
      <c r="K25" s="46">
        <v>41912</v>
      </c>
      <c r="L25" s="46">
        <v>41547</v>
      </c>
      <c r="M25" s="54">
        <v>41182</v>
      </c>
      <c r="N25" s="17"/>
      <c r="O25" s="17"/>
      <c r="P25" s="17"/>
      <c r="Q25" s="17"/>
      <c r="R25" s="17"/>
      <c r="S25" s="17"/>
      <c r="T25" s="17"/>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37">
        <v>40662</v>
      </c>
      <c r="BR25" s="38">
        <v>20469.8547</v>
      </c>
      <c r="BS25" s="17"/>
      <c r="BT25" s="37">
        <v>40662</v>
      </c>
      <c r="BU25" s="38">
        <v>1420</v>
      </c>
      <c r="BV25" s="18"/>
      <c r="BW25" s="37"/>
      <c r="BX25" s="38"/>
      <c r="BY25" s="18"/>
      <c r="BZ25" s="39">
        <v>40662</v>
      </c>
      <c r="CA25" s="40">
        <v>20469.8547</v>
      </c>
      <c r="CB25" s="17"/>
      <c r="CC25" s="39">
        <v>40662</v>
      </c>
      <c r="CD25" s="40">
        <v>14.200000000000001</v>
      </c>
      <c r="CE25" s="18"/>
      <c r="CF25" s="18"/>
      <c r="CG25" s="18"/>
      <c r="CH25" s="18"/>
      <c r="CI25" s="18"/>
      <c r="CJ25" s="18"/>
      <c r="CK25" s="18"/>
      <c r="CL25" s="18"/>
      <c r="CM25" s="18"/>
      <c r="CN25" s="37">
        <v>44960</v>
      </c>
      <c r="CO25" s="38">
        <v>20391.91</v>
      </c>
      <c r="CP25" s="17"/>
      <c r="CQ25" s="37">
        <v>44960</v>
      </c>
      <c r="CR25" s="38">
        <v>1417</v>
      </c>
      <c r="CS25" s="18"/>
      <c r="CT25" s="18"/>
      <c r="CU25" s="18"/>
      <c r="CV25" s="18"/>
      <c r="CW25" s="18"/>
      <c r="CX25" s="18"/>
      <c r="CY25" s="37">
        <v>44795</v>
      </c>
      <c r="CZ25" s="38">
        <v>16.897300000000001</v>
      </c>
      <c r="DA25" s="18"/>
      <c r="DB25" s="37">
        <v>43881</v>
      </c>
      <c r="DC25" s="38">
        <v>15.373100000000001</v>
      </c>
      <c r="DD25" s="18"/>
      <c r="DE25" s="37">
        <v>43881</v>
      </c>
      <c r="DF25" s="38">
        <v>15.128299999999999</v>
      </c>
      <c r="DG25" s="18"/>
      <c r="DH25" s="37">
        <v>43881</v>
      </c>
      <c r="DI25" s="38">
        <v>19.490400000000001</v>
      </c>
      <c r="DJ25" s="18"/>
      <c r="DK25" s="37">
        <v>43881</v>
      </c>
      <c r="DL25" s="38">
        <v>0.13500000000000001</v>
      </c>
      <c r="DM25" s="18"/>
      <c r="DN25" s="18"/>
      <c r="DO25" s="18"/>
      <c r="DP25" s="18"/>
      <c r="DQ25" s="18"/>
      <c r="DR25" s="18"/>
      <c r="DS25" s="18"/>
      <c r="DT25" s="18"/>
      <c r="DU25" s="18"/>
      <c r="DV25" s="18"/>
      <c r="DW25" s="18"/>
      <c r="DX25" s="18"/>
      <c r="DY25" s="18"/>
      <c r="DZ25" s="18"/>
    </row>
    <row r="26" spans="1:130" ht="15" customHeight="1" x14ac:dyDescent="0.3">
      <c r="A26" s="45"/>
      <c r="B26" s="42" t="s">
        <v>832</v>
      </c>
      <c r="C26" s="43">
        <v>15.102499999999999</v>
      </c>
      <c r="D26" s="43">
        <v>14.288333333333332</v>
      </c>
      <c r="E26" s="43">
        <v>16.025833333333335</v>
      </c>
      <c r="F26" s="43">
        <v>21.795833333333334</v>
      </c>
      <c r="G26" s="43">
        <v>26.742500000000003</v>
      </c>
      <c r="H26" s="43">
        <v>28.255833333333339</v>
      </c>
      <c r="I26" s="55">
        <v>34.173333333333332</v>
      </c>
      <c r="J26" s="55">
        <v>38.724166666666669</v>
      </c>
      <c r="K26" s="55">
        <v>26.789166666666663</v>
      </c>
      <c r="L26" s="55">
        <v>21.019166666666667</v>
      </c>
      <c r="M26" s="56">
        <v>14.906666666666668</v>
      </c>
      <c r="N26" s="17"/>
      <c r="O26" s="17"/>
      <c r="P26" s="17"/>
      <c r="Q26" s="17"/>
      <c r="R26" s="17"/>
      <c r="S26" s="17"/>
      <c r="T26" s="17"/>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37">
        <v>40694</v>
      </c>
      <c r="BR26" s="38">
        <v>20629.0173</v>
      </c>
      <c r="BS26" s="17"/>
      <c r="BT26" s="37">
        <v>40694</v>
      </c>
      <c r="BU26" s="38">
        <v>1430</v>
      </c>
      <c r="BV26" s="18"/>
      <c r="BW26" s="37"/>
      <c r="BX26" s="38"/>
      <c r="BY26" s="18"/>
      <c r="BZ26" s="39">
        <v>40694</v>
      </c>
      <c r="CA26" s="40">
        <v>20629.0173</v>
      </c>
      <c r="CB26" s="17"/>
      <c r="CC26" s="39">
        <v>40694</v>
      </c>
      <c r="CD26" s="40">
        <v>14.3</v>
      </c>
      <c r="CE26" s="18"/>
      <c r="CF26" s="18"/>
      <c r="CG26" s="18"/>
      <c r="CH26" s="18"/>
      <c r="CI26" s="18"/>
      <c r="CJ26" s="18"/>
      <c r="CK26" s="18"/>
      <c r="CL26" s="18"/>
      <c r="CM26" s="18"/>
      <c r="CN26" s="37">
        <v>44963</v>
      </c>
      <c r="CO26" s="38">
        <v>20463.86</v>
      </c>
      <c r="CP26" s="17"/>
      <c r="CQ26" s="37">
        <v>44963</v>
      </c>
      <c r="CR26" s="38">
        <v>1422</v>
      </c>
      <c r="CS26" s="18"/>
      <c r="CT26" s="18"/>
      <c r="CU26" s="18"/>
      <c r="CV26" s="18"/>
      <c r="CW26" s="18"/>
      <c r="CX26" s="18"/>
      <c r="CY26" s="37">
        <v>44796</v>
      </c>
      <c r="CZ26" s="38">
        <v>16.940999999999999</v>
      </c>
      <c r="DA26" s="18"/>
      <c r="DB26" s="37">
        <v>43882</v>
      </c>
      <c r="DC26" s="38">
        <v>15.337400000000001</v>
      </c>
      <c r="DD26" s="18"/>
      <c r="DE26" s="37">
        <v>43882</v>
      </c>
      <c r="DF26" s="38">
        <v>15.0052</v>
      </c>
      <c r="DG26" s="18"/>
      <c r="DH26" s="37">
        <v>43882</v>
      </c>
      <c r="DI26" s="38">
        <v>19.447099999999999</v>
      </c>
      <c r="DJ26" s="18"/>
      <c r="DK26" s="37">
        <v>43882</v>
      </c>
      <c r="DL26" s="38">
        <v>0.13450000000000001</v>
      </c>
      <c r="DM26" s="18"/>
      <c r="DN26" s="18"/>
      <c r="DO26" s="18"/>
      <c r="DP26" s="18"/>
      <c r="DQ26" s="18"/>
      <c r="DR26" s="18"/>
      <c r="DS26" s="18"/>
      <c r="DT26" s="18"/>
      <c r="DU26" s="18"/>
      <c r="DV26" s="18"/>
      <c r="DW26" s="18"/>
      <c r="DX26" s="18"/>
      <c r="DY26" s="18"/>
      <c r="DZ26" s="18"/>
    </row>
    <row r="27" spans="1:130" ht="15" customHeight="1" x14ac:dyDescent="0.3">
      <c r="A27" s="57"/>
      <c r="B27" s="58" t="s">
        <v>833</v>
      </c>
      <c r="C27" s="59">
        <v>21733.856366666663</v>
      </c>
      <c r="D27" s="59">
        <v>20562.197725000002</v>
      </c>
      <c r="E27" s="59">
        <v>23102.055958333338</v>
      </c>
      <c r="F27" s="59">
        <v>31808.173000000006</v>
      </c>
      <c r="G27" s="59">
        <v>39301.960849999996</v>
      </c>
      <c r="H27" s="59">
        <v>41326.168233333337</v>
      </c>
      <c r="I27" s="60">
        <v>49908.159658333323</v>
      </c>
      <c r="J27" s="60">
        <v>57050.528308333342</v>
      </c>
      <c r="K27" s="60">
        <v>39559.327891666668</v>
      </c>
      <c r="L27" s="60">
        <v>30859.875283333331</v>
      </c>
      <c r="M27" s="61">
        <v>21636.320408333329</v>
      </c>
      <c r="N27" s="17"/>
      <c r="O27" s="17"/>
      <c r="P27" s="17"/>
      <c r="Q27" s="17"/>
      <c r="R27" s="17"/>
      <c r="S27" s="17"/>
      <c r="T27" s="17"/>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37">
        <v>40724</v>
      </c>
      <c r="BR27" s="38">
        <v>21641.079699999998</v>
      </c>
      <c r="BS27" s="17"/>
      <c r="BT27" s="37">
        <v>40724</v>
      </c>
      <c r="BU27" s="38">
        <v>1500</v>
      </c>
      <c r="BV27" s="18"/>
      <c r="BW27" s="37"/>
      <c r="BX27" s="38"/>
      <c r="BY27" s="18"/>
      <c r="BZ27" s="39">
        <v>40724</v>
      </c>
      <c r="CA27" s="40">
        <v>21641.079699999998</v>
      </c>
      <c r="CB27" s="17"/>
      <c r="CC27" s="39">
        <v>40724</v>
      </c>
      <c r="CD27" s="40">
        <v>15</v>
      </c>
      <c r="CE27" s="18"/>
      <c r="CF27" s="18"/>
      <c r="CG27" s="18"/>
      <c r="CH27" s="18"/>
      <c r="CI27" s="18"/>
      <c r="CJ27" s="18"/>
      <c r="CK27" s="18"/>
      <c r="CL27" s="18"/>
      <c r="CM27" s="18"/>
      <c r="CN27" s="37">
        <v>44964</v>
      </c>
      <c r="CO27" s="38">
        <v>20391.91</v>
      </c>
      <c r="CP27" s="17"/>
      <c r="CQ27" s="37">
        <v>44964</v>
      </c>
      <c r="CR27" s="38">
        <v>1417</v>
      </c>
      <c r="CS27" s="18"/>
      <c r="CT27" s="18"/>
      <c r="CU27" s="18"/>
      <c r="CV27" s="18"/>
      <c r="CW27" s="18"/>
      <c r="CX27" s="18"/>
      <c r="CY27" s="37">
        <v>44797</v>
      </c>
      <c r="CZ27" s="38">
        <v>16.893000000000001</v>
      </c>
      <c r="DA27" s="18"/>
      <c r="DB27" s="37">
        <v>43885</v>
      </c>
      <c r="DC27" s="38">
        <v>15.4747</v>
      </c>
      <c r="DD27" s="18"/>
      <c r="DE27" s="37">
        <v>43885</v>
      </c>
      <c r="DF27" s="38">
        <v>15.149900000000001</v>
      </c>
      <c r="DG27" s="18"/>
      <c r="DH27" s="37">
        <v>43885</v>
      </c>
      <c r="DI27" s="38">
        <v>19.589300000000001</v>
      </c>
      <c r="DJ27" s="18"/>
      <c r="DK27" s="37">
        <v>43885</v>
      </c>
      <c r="DL27" s="38">
        <v>0.1368</v>
      </c>
      <c r="DM27" s="18"/>
      <c r="DN27" s="18"/>
      <c r="DO27" s="18"/>
      <c r="DP27" s="18"/>
      <c r="DQ27" s="18"/>
      <c r="DR27" s="18"/>
      <c r="DS27" s="18"/>
      <c r="DT27" s="18"/>
      <c r="DU27" s="18"/>
      <c r="DV27" s="18"/>
      <c r="DW27" s="18"/>
      <c r="DX27" s="18"/>
      <c r="DY27" s="18"/>
      <c r="DZ27" s="18"/>
    </row>
    <row r="28" spans="1:130" ht="15" customHeight="1" x14ac:dyDescent="0.3">
      <c r="A28" s="16"/>
      <c r="B28" s="16"/>
      <c r="C28" s="62"/>
      <c r="D28" s="62"/>
      <c r="E28" s="62"/>
      <c r="F28" s="62"/>
      <c r="G28" s="62"/>
      <c r="H28" s="62"/>
      <c r="I28" s="62"/>
      <c r="J28" s="62"/>
      <c r="K28" s="62"/>
      <c r="L28" s="62"/>
      <c r="M28" s="62"/>
      <c r="N28" s="17"/>
      <c r="O28" s="17"/>
      <c r="P28" s="17"/>
      <c r="Q28" s="17"/>
      <c r="R28" s="17"/>
      <c r="S28" s="17"/>
      <c r="T28" s="17"/>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37">
        <v>40753</v>
      </c>
      <c r="BR28" s="38">
        <v>20951.512299999999</v>
      </c>
      <c r="BS28" s="17"/>
      <c r="BT28" s="37">
        <v>40753</v>
      </c>
      <c r="BU28" s="38">
        <v>1450</v>
      </c>
      <c r="BV28" s="18"/>
      <c r="BW28" s="37"/>
      <c r="BX28" s="38"/>
      <c r="BY28" s="18"/>
      <c r="BZ28" s="39">
        <v>40753</v>
      </c>
      <c r="CA28" s="40">
        <v>20951.512299999999</v>
      </c>
      <c r="CB28" s="17"/>
      <c r="CC28" s="39">
        <v>40753</v>
      </c>
      <c r="CD28" s="40">
        <v>14.5</v>
      </c>
      <c r="CE28" s="18"/>
      <c r="CF28" s="18"/>
      <c r="CG28" s="18"/>
      <c r="CH28" s="18"/>
      <c r="CI28" s="18"/>
      <c r="CJ28" s="18"/>
      <c r="CK28" s="18"/>
      <c r="CL28" s="18"/>
      <c r="CM28" s="18"/>
      <c r="CN28" s="37">
        <v>44965</v>
      </c>
      <c r="CO28" s="38">
        <v>19773.099999999999</v>
      </c>
      <c r="CP28" s="17"/>
      <c r="CQ28" s="37">
        <v>44965</v>
      </c>
      <c r="CR28" s="38">
        <v>1374</v>
      </c>
      <c r="CS28" s="18"/>
      <c r="CT28" s="18"/>
      <c r="CU28" s="18"/>
      <c r="CV28" s="18"/>
      <c r="CW28" s="18"/>
      <c r="CX28" s="18"/>
      <c r="CY28" s="37">
        <v>44798</v>
      </c>
      <c r="CZ28" s="38">
        <v>16.689399999999999</v>
      </c>
      <c r="DA28" s="18"/>
      <c r="DB28" s="37">
        <v>43886</v>
      </c>
      <c r="DC28" s="38">
        <v>15.586600000000001</v>
      </c>
      <c r="DD28" s="18"/>
      <c r="DE28" s="37">
        <v>43886</v>
      </c>
      <c r="DF28" s="38">
        <v>15.2148</v>
      </c>
      <c r="DG28" s="18"/>
      <c r="DH28" s="37">
        <v>43886</v>
      </c>
      <c r="DI28" s="38">
        <v>19.786999999999999</v>
      </c>
      <c r="DJ28" s="18"/>
      <c r="DK28" s="37">
        <v>43886</v>
      </c>
      <c r="DL28" s="38">
        <v>0.1381</v>
      </c>
      <c r="DM28" s="18"/>
      <c r="DN28" s="18"/>
      <c r="DO28" s="18"/>
      <c r="DP28" s="18"/>
      <c r="DQ28" s="18"/>
      <c r="DR28" s="18"/>
      <c r="DS28" s="18"/>
      <c r="DT28" s="18"/>
      <c r="DU28" s="18"/>
      <c r="DV28" s="18"/>
      <c r="DW28" s="18"/>
      <c r="DX28" s="18"/>
      <c r="DY28" s="18"/>
      <c r="DZ28" s="18"/>
    </row>
    <row r="29" spans="1:130" ht="15" customHeight="1" x14ac:dyDescent="0.3">
      <c r="A29" s="16"/>
      <c r="B29" s="16"/>
      <c r="C29" s="62"/>
      <c r="D29" s="62"/>
      <c r="E29" s="62"/>
      <c r="F29" s="62"/>
      <c r="G29" s="62"/>
      <c r="H29" s="62"/>
      <c r="I29" s="62"/>
      <c r="J29" s="62"/>
      <c r="K29" s="62"/>
      <c r="L29" s="62"/>
      <c r="M29" s="62"/>
      <c r="N29" s="17"/>
      <c r="O29" s="17"/>
      <c r="P29" s="17"/>
      <c r="Q29" s="17"/>
      <c r="R29" s="17"/>
      <c r="S29" s="17"/>
      <c r="T29" s="17"/>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37">
        <v>40786</v>
      </c>
      <c r="BR29" s="38">
        <v>19506.580399999999</v>
      </c>
      <c r="BS29" s="17"/>
      <c r="BT29" s="37">
        <v>40786</v>
      </c>
      <c r="BU29" s="38">
        <v>1350</v>
      </c>
      <c r="BV29" s="18"/>
      <c r="BW29" s="37"/>
      <c r="BX29" s="38"/>
      <c r="BY29" s="18"/>
      <c r="BZ29" s="39">
        <v>40786</v>
      </c>
      <c r="CA29" s="40">
        <v>19506.580399999999</v>
      </c>
      <c r="CB29" s="17"/>
      <c r="CC29" s="39">
        <v>40786</v>
      </c>
      <c r="CD29" s="40">
        <v>13.5</v>
      </c>
      <c r="CE29" s="18"/>
      <c r="CF29" s="18"/>
      <c r="CG29" s="18"/>
      <c r="CH29" s="18"/>
      <c r="CI29" s="18"/>
      <c r="CJ29" s="18"/>
      <c r="CK29" s="18"/>
      <c r="CL29" s="18"/>
      <c r="CM29" s="18"/>
      <c r="CN29" s="37">
        <v>44966</v>
      </c>
      <c r="CO29" s="38">
        <v>19773.099999999999</v>
      </c>
      <c r="CP29" s="17"/>
      <c r="CQ29" s="37">
        <v>44966</v>
      </c>
      <c r="CR29" s="38">
        <v>1374</v>
      </c>
      <c r="CS29" s="18"/>
      <c r="CT29" s="18"/>
      <c r="CU29" s="18"/>
      <c r="CV29" s="18"/>
      <c r="CW29" s="18"/>
      <c r="CX29" s="18"/>
      <c r="CY29" s="37">
        <v>44799</v>
      </c>
      <c r="CZ29" s="38">
        <v>16.834800000000001</v>
      </c>
      <c r="DA29" s="18"/>
      <c r="DB29" s="37">
        <v>43887</v>
      </c>
      <c r="DC29" s="38">
        <v>15.6775</v>
      </c>
      <c r="DD29" s="18"/>
      <c r="DE29" s="37">
        <v>43887</v>
      </c>
      <c r="DF29" s="38">
        <v>15.313700000000001</v>
      </c>
      <c r="DG29" s="18"/>
      <c r="DH29" s="37">
        <v>43887</v>
      </c>
      <c r="DI29" s="38">
        <v>19.7578</v>
      </c>
      <c r="DJ29" s="18"/>
      <c r="DK29" s="37">
        <v>43887</v>
      </c>
      <c r="DL29" s="38">
        <v>0.13869999999999999</v>
      </c>
      <c r="DM29" s="18"/>
      <c r="DN29" s="18"/>
      <c r="DO29" s="18"/>
      <c r="DP29" s="18"/>
      <c r="DQ29" s="18"/>
      <c r="DR29" s="18"/>
      <c r="DS29" s="18"/>
      <c r="DT29" s="18"/>
      <c r="DU29" s="18"/>
      <c r="DV29" s="18"/>
      <c r="DW29" s="18"/>
      <c r="DX29" s="18"/>
      <c r="DY29" s="18"/>
      <c r="DZ29" s="18"/>
    </row>
    <row r="30" spans="1:130" ht="15" customHeight="1" x14ac:dyDescent="0.3">
      <c r="A30" s="16"/>
      <c r="B30" s="16"/>
      <c r="C30" s="62"/>
      <c r="D30" s="62"/>
      <c r="E30" s="62"/>
      <c r="F30" s="62"/>
      <c r="G30" s="62"/>
      <c r="H30" s="62"/>
      <c r="I30" s="62"/>
      <c r="J30" s="62"/>
      <c r="K30" s="62"/>
      <c r="L30" s="62"/>
      <c r="M30" s="62"/>
      <c r="N30" s="17"/>
      <c r="O30" s="17"/>
      <c r="P30" s="17"/>
      <c r="Q30" s="17"/>
      <c r="R30" s="17"/>
      <c r="S30" s="17"/>
      <c r="T30" s="17"/>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37">
        <v>40816</v>
      </c>
      <c r="BR30" s="38">
        <v>18876.691200000001</v>
      </c>
      <c r="BS30" s="17"/>
      <c r="BT30" s="37">
        <v>40816</v>
      </c>
      <c r="BU30" s="38">
        <v>1305</v>
      </c>
      <c r="BV30" s="18"/>
      <c r="BW30" s="37"/>
      <c r="BX30" s="38"/>
      <c r="BY30" s="18"/>
      <c r="BZ30" s="39">
        <v>40816</v>
      </c>
      <c r="CA30" s="40">
        <v>18876.691200000001</v>
      </c>
      <c r="CB30" s="17"/>
      <c r="CC30" s="39">
        <v>40816</v>
      </c>
      <c r="CD30" s="40">
        <v>13.05</v>
      </c>
      <c r="CE30" s="18"/>
      <c r="CF30" s="18"/>
      <c r="CG30" s="18"/>
      <c r="CH30" s="18"/>
      <c r="CI30" s="18"/>
      <c r="CJ30" s="18"/>
      <c r="CK30" s="18"/>
      <c r="CL30" s="18"/>
      <c r="CM30" s="18"/>
      <c r="CN30" s="37">
        <v>44967</v>
      </c>
      <c r="CO30" s="38">
        <v>19787.490000000002</v>
      </c>
      <c r="CP30" s="17"/>
      <c r="CQ30" s="37">
        <v>44967</v>
      </c>
      <c r="CR30" s="38">
        <v>1375</v>
      </c>
      <c r="CS30" s="18"/>
      <c r="CT30" s="18"/>
      <c r="CU30" s="18"/>
      <c r="CV30" s="18"/>
      <c r="CW30" s="18"/>
      <c r="CX30" s="18"/>
      <c r="CY30" s="37">
        <v>44802</v>
      </c>
      <c r="CZ30" s="38">
        <v>16.8718</v>
      </c>
      <c r="DA30" s="18"/>
      <c r="DB30" s="37">
        <v>43888</v>
      </c>
      <c r="DC30" s="38">
        <v>15.9999</v>
      </c>
      <c r="DD30" s="18"/>
      <c r="DE30" s="37">
        <v>43888</v>
      </c>
      <c r="DF30" s="38">
        <v>15.4841</v>
      </c>
      <c r="DG30" s="18"/>
      <c r="DH30" s="37">
        <v>43888</v>
      </c>
      <c r="DI30" s="38">
        <v>19.951599999999999</v>
      </c>
      <c r="DJ30" s="18"/>
      <c r="DK30" s="37">
        <v>43888</v>
      </c>
      <c r="DL30" s="38">
        <v>0.14130000000000001</v>
      </c>
      <c r="DM30" s="18"/>
      <c r="DN30" s="18"/>
      <c r="DO30" s="18"/>
      <c r="DP30" s="18"/>
      <c r="DQ30" s="18"/>
      <c r="DR30" s="18"/>
      <c r="DS30" s="18"/>
      <c r="DT30" s="18"/>
      <c r="DU30" s="18"/>
      <c r="DV30" s="18"/>
      <c r="DW30" s="18"/>
      <c r="DX30" s="18"/>
      <c r="DY30" s="18"/>
      <c r="DZ30" s="18"/>
    </row>
    <row r="31" spans="1:130" ht="15" customHeight="1" thickBot="1" x14ac:dyDescent="0.35">
      <c r="A31" s="16"/>
      <c r="B31" s="16"/>
      <c r="C31" s="62"/>
      <c r="D31" s="62"/>
      <c r="E31" s="62"/>
      <c r="F31" s="62"/>
      <c r="G31" s="62"/>
      <c r="H31" s="62"/>
      <c r="I31" s="62"/>
      <c r="J31" s="62"/>
      <c r="K31" s="62"/>
      <c r="L31" s="62"/>
      <c r="M31" s="62"/>
      <c r="N31" s="17"/>
      <c r="O31" s="17"/>
      <c r="P31" s="17"/>
      <c r="Q31" s="17"/>
      <c r="R31" s="17"/>
      <c r="S31" s="17"/>
      <c r="T31" s="17"/>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37">
        <v>40847</v>
      </c>
      <c r="BR31" s="38">
        <v>20106.2075</v>
      </c>
      <c r="BS31" s="17"/>
      <c r="BT31" s="37">
        <v>40847</v>
      </c>
      <c r="BU31" s="38">
        <v>1390</v>
      </c>
      <c r="BV31" s="18"/>
      <c r="BW31" s="37"/>
      <c r="BX31" s="38"/>
      <c r="BY31" s="18"/>
      <c r="BZ31" s="39">
        <v>40847</v>
      </c>
      <c r="CA31" s="40">
        <v>20106.2075</v>
      </c>
      <c r="CB31" s="17"/>
      <c r="CC31" s="39">
        <v>40847</v>
      </c>
      <c r="CD31" s="40">
        <v>13.9</v>
      </c>
      <c r="CE31" s="18"/>
      <c r="CF31" s="18"/>
      <c r="CG31" s="18"/>
      <c r="CH31" s="18"/>
      <c r="CI31" s="18"/>
      <c r="CJ31" s="18"/>
      <c r="CK31" s="18"/>
      <c r="CL31" s="18"/>
      <c r="CM31" s="18"/>
      <c r="CN31" s="37">
        <v>44970</v>
      </c>
      <c r="CO31" s="38">
        <v>20147.259999999998</v>
      </c>
      <c r="CP31" s="17"/>
      <c r="CQ31" s="37">
        <v>44970</v>
      </c>
      <c r="CR31" s="38">
        <v>1400</v>
      </c>
      <c r="CS31" s="18"/>
      <c r="CT31" s="18"/>
      <c r="CU31" s="18"/>
      <c r="CV31" s="18"/>
      <c r="CW31" s="18"/>
      <c r="CX31" s="18"/>
      <c r="CY31" s="37">
        <v>44803</v>
      </c>
      <c r="CZ31" s="38">
        <v>17.026499999999999</v>
      </c>
      <c r="DA31" s="18"/>
      <c r="DB31" s="37">
        <v>43889</v>
      </c>
      <c r="DC31" s="38">
        <v>16.2256</v>
      </c>
      <c r="DD31" s="18"/>
      <c r="DE31" s="37">
        <v>43889</v>
      </c>
      <c r="DF31" s="38">
        <v>15.6609</v>
      </c>
      <c r="DG31" s="18"/>
      <c r="DH31" s="37">
        <v>43889</v>
      </c>
      <c r="DI31" s="38">
        <v>20.071400000000001</v>
      </c>
      <c r="DJ31" s="18"/>
      <c r="DK31" s="37">
        <v>43889</v>
      </c>
      <c r="DL31" s="38">
        <v>0.14499999999999999</v>
      </c>
      <c r="DM31" s="18"/>
      <c r="DN31" s="18"/>
      <c r="DO31" s="18"/>
      <c r="DP31" s="18"/>
      <c r="DQ31" s="18"/>
      <c r="DR31" s="18"/>
      <c r="DS31" s="18"/>
      <c r="DT31" s="18"/>
      <c r="DU31" s="18"/>
      <c r="DV31" s="18"/>
      <c r="DW31" s="18"/>
      <c r="DX31" s="18"/>
      <c r="DY31" s="18"/>
      <c r="DZ31" s="18"/>
    </row>
    <row r="32" spans="1:130" ht="15" customHeight="1" x14ac:dyDescent="0.3">
      <c r="A32" s="63"/>
      <c r="B32" s="64" t="s">
        <v>186</v>
      </c>
      <c r="C32" s="65"/>
      <c r="D32" s="65"/>
      <c r="E32" s="65"/>
      <c r="F32" s="65"/>
      <c r="G32" s="65"/>
      <c r="H32" s="65"/>
      <c r="I32" s="65"/>
      <c r="J32" s="65"/>
      <c r="K32" s="65"/>
      <c r="L32" s="65"/>
      <c r="M32" s="66"/>
      <c r="N32" s="17"/>
      <c r="O32" s="17"/>
      <c r="P32" s="17"/>
      <c r="Q32" s="17"/>
      <c r="R32" s="17"/>
      <c r="S32" s="17"/>
      <c r="T32" s="17"/>
      <c r="U32" s="18"/>
      <c r="V32" s="18"/>
      <c r="W32" s="18"/>
      <c r="X32" s="18"/>
      <c r="Y32" s="18"/>
      <c r="Z32" s="18"/>
      <c r="AA32" s="18"/>
      <c r="AB32" s="18"/>
      <c r="AC32" s="18"/>
      <c r="AD32" s="18"/>
      <c r="AE32" s="18"/>
      <c r="AF32" s="18"/>
      <c r="AG32" s="18"/>
      <c r="AH32" s="18"/>
      <c r="AI32" s="18"/>
      <c r="AJ32" s="18"/>
      <c r="AK32" s="18"/>
      <c r="AL32" s="18"/>
      <c r="AM32" s="18"/>
      <c r="AN32" s="18"/>
      <c r="AO32" s="18"/>
      <c r="AP32" s="67" t="s">
        <v>186</v>
      </c>
      <c r="AQ32" s="68"/>
      <c r="AR32" s="68"/>
      <c r="AS32" s="68"/>
      <c r="AT32" s="68"/>
      <c r="AU32" s="68"/>
      <c r="AV32" s="68"/>
      <c r="AW32" s="68"/>
      <c r="AX32" s="68"/>
      <c r="AY32" s="68"/>
      <c r="AZ32" s="68"/>
      <c r="BA32" s="69"/>
      <c r="BB32" s="18"/>
      <c r="BC32" s="18"/>
      <c r="BD32" s="67" t="s">
        <v>462</v>
      </c>
      <c r="BE32" s="70"/>
      <c r="BF32" s="70"/>
      <c r="BG32" s="70"/>
      <c r="BH32" s="70"/>
      <c r="BI32" s="70"/>
      <c r="BJ32" s="71"/>
      <c r="BK32" s="18"/>
      <c r="BL32" s="18"/>
      <c r="BM32" s="18"/>
      <c r="BN32" s="18"/>
      <c r="BO32" s="18"/>
      <c r="BP32" s="18"/>
      <c r="BQ32" s="37">
        <v>40877</v>
      </c>
      <c r="BR32" s="38">
        <v>18887.929899999999</v>
      </c>
      <c r="BS32" s="17"/>
      <c r="BT32" s="37">
        <v>40877</v>
      </c>
      <c r="BU32" s="38">
        <v>1305</v>
      </c>
      <c r="BV32" s="18"/>
      <c r="BW32" s="37"/>
      <c r="BX32" s="38"/>
      <c r="BY32" s="18"/>
      <c r="BZ32" s="39">
        <v>40877</v>
      </c>
      <c r="CA32" s="40">
        <v>18887.929899999999</v>
      </c>
      <c r="CB32" s="17"/>
      <c r="CC32" s="39">
        <v>40877</v>
      </c>
      <c r="CD32" s="40">
        <v>13.05</v>
      </c>
      <c r="CE32" s="18"/>
      <c r="CF32" s="18"/>
      <c r="CG32" s="18"/>
      <c r="CH32" s="18"/>
      <c r="CI32" s="18"/>
      <c r="CJ32" s="18"/>
      <c r="CK32" s="18"/>
      <c r="CL32" s="18"/>
      <c r="CM32" s="18"/>
      <c r="CN32" s="37">
        <v>44971</v>
      </c>
      <c r="CO32" s="38">
        <v>20233.61</v>
      </c>
      <c r="CP32" s="17"/>
      <c r="CQ32" s="37">
        <v>44971</v>
      </c>
      <c r="CR32" s="38">
        <v>1406</v>
      </c>
      <c r="CS32" s="18"/>
      <c r="CT32" s="18"/>
      <c r="CU32" s="18"/>
      <c r="CV32" s="18"/>
      <c r="CW32" s="18"/>
      <c r="CX32" s="18"/>
      <c r="CY32" s="37">
        <v>44804</v>
      </c>
      <c r="CZ32" s="38">
        <v>17.204899999999999</v>
      </c>
      <c r="DA32" s="18"/>
      <c r="DB32" s="37">
        <v>43892</v>
      </c>
      <c r="DC32" s="38">
        <v>16.035</v>
      </c>
      <c r="DD32" s="18"/>
      <c r="DE32" s="37">
        <v>43892</v>
      </c>
      <c r="DF32" s="38">
        <v>15.3794</v>
      </c>
      <c r="DG32" s="18"/>
      <c r="DH32" s="37">
        <v>43892</v>
      </c>
      <c r="DI32" s="38">
        <v>19.632000000000001</v>
      </c>
      <c r="DJ32" s="18"/>
      <c r="DK32" s="37">
        <v>43892</v>
      </c>
      <c r="DL32" s="38">
        <v>0.1421</v>
      </c>
      <c r="DM32" s="18"/>
      <c r="DN32" s="18"/>
      <c r="DO32" s="18"/>
      <c r="DP32" s="18"/>
      <c r="DQ32" s="18"/>
      <c r="DR32" s="18"/>
      <c r="DS32" s="18"/>
      <c r="DT32" s="18"/>
      <c r="DU32" s="18"/>
      <c r="DV32" s="18"/>
      <c r="DW32" s="18"/>
      <c r="DX32" s="18"/>
      <c r="DY32" s="18"/>
      <c r="DZ32" s="18"/>
    </row>
    <row r="33" spans="1:130" ht="15" customHeight="1" x14ac:dyDescent="0.3">
      <c r="A33" s="72"/>
      <c r="B33" s="73"/>
      <c r="C33" s="74"/>
      <c r="D33" s="74"/>
      <c r="E33" s="74"/>
      <c r="F33" s="74"/>
      <c r="G33" s="74"/>
      <c r="H33" s="74"/>
      <c r="I33" s="74"/>
      <c r="J33" s="74"/>
      <c r="K33" s="74"/>
      <c r="L33" s="74"/>
      <c r="M33" s="75"/>
      <c r="N33" s="17"/>
      <c r="O33" s="17"/>
      <c r="P33" s="17"/>
      <c r="Q33" s="17"/>
      <c r="R33" s="17"/>
      <c r="S33" s="17"/>
      <c r="T33" s="17"/>
      <c r="U33" s="18"/>
      <c r="V33" s="18"/>
      <c r="W33" s="18"/>
      <c r="X33" s="18"/>
      <c r="Y33" s="18"/>
      <c r="Z33" s="18"/>
      <c r="AA33" s="18"/>
      <c r="AB33" s="18"/>
      <c r="AC33" s="18"/>
      <c r="AD33" s="18"/>
      <c r="AE33" s="18" t="s">
        <v>468</v>
      </c>
      <c r="AF33" s="76"/>
      <c r="AG33" s="18"/>
      <c r="AH33" s="18"/>
      <c r="AI33" s="18"/>
      <c r="AJ33" s="18"/>
      <c r="AK33" s="18"/>
      <c r="AL33" s="18"/>
      <c r="AM33" s="18"/>
      <c r="AN33" s="18"/>
      <c r="AO33" s="18"/>
      <c r="AP33" s="77"/>
      <c r="AQ33" s="18"/>
      <c r="AR33" s="18"/>
      <c r="AS33" s="18"/>
      <c r="AT33" s="18"/>
      <c r="AU33" s="18"/>
      <c r="AV33" s="18"/>
      <c r="AW33" s="18"/>
      <c r="AX33" s="18"/>
      <c r="AY33" s="18"/>
      <c r="AZ33" s="18"/>
      <c r="BA33" s="78"/>
      <c r="BB33" s="18"/>
      <c r="BC33" s="18"/>
      <c r="BD33" s="79"/>
      <c r="BE33" s="80"/>
      <c r="BF33" s="81" t="s">
        <v>463</v>
      </c>
      <c r="BG33" s="81" t="s">
        <v>464</v>
      </c>
      <c r="BH33" s="81"/>
      <c r="BI33" s="80"/>
      <c r="BJ33" s="82"/>
      <c r="BK33" s="18"/>
      <c r="BL33" s="18"/>
      <c r="BM33" s="18"/>
      <c r="BN33" s="18"/>
      <c r="BO33" s="18"/>
      <c r="BP33" s="18"/>
      <c r="BQ33" s="37">
        <v>40907</v>
      </c>
      <c r="BR33" s="38">
        <v>19466.870299999999</v>
      </c>
      <c r="BS33" s="17"/>
      <c r="BT33" s="37">
        <v>40907</v>
      </c>
      <c r="BU33" s="38">
        <v>1345</v>
      </c>
      <c r="BV33" s="18"/>
      <c r="BW33" s="37"/>
      <c r="BX33" s="38"/>
      <c r="BY33" s="18"/>
      <c r="BZ33" s="39">
        <v>40907</v>
      </c>
      <c r="CA33" s="40">
        <v>19466.870299999999</v>
      </c>
      <c r="CB33" s="17"/>
      <c r="CC33" s="39">
        <v>40907</v>
      </c>
      <c r="CD33" s="40">
        <v>13.450000000000001</v>
      </c>
      <c r="CE33" s="18"/>
      <c r="CF33" s="18"/>
      <c r="CG33" s="18"/>
      <c r="CH33" s="18"/>
      <c r="CI33" s="18"/>
      <c r="CJ33" s="18"/>
      <c r="CK33" s="18"/>
      <c r="CL33" s="18"/>
      <c r="CM33" s="18"/>
      <c r="CN33" s="37">
        <v>44972</v>
      </c>
      <c r="CO33" s="38">
        <v>21169.01</v>
      </c>
      <c r="CP33" s="17"/>
      <c r="CQ33" s="37">
        <v>44972</v>
      </c>
      <c r="CR33" s="38">
        <v>1471</v>
      </c>
      <c r="CS33" s="18"/>
      <c r="CT33" s="18"/>
      <c r="CU33" s="18"/>
      <c r="CV33" s="18"/>
      <c r="CW33" s="18"/>
      <c r="CX33" s="18"/>
      <c r="CY33" s="37">
        <v>44805</v>
      </c>
      <c r="CZ33" s="38">
        <v>17.1844</v>
      </c>
      <c r="DA33" s="18"/>
      <c r="DB33" s="37">
        <v>43893</v>
      </c>
      <c r="DC33" s="38">
        <v>16.113099999999999</v>
      </c>
      <c r="DD33" s="18"/>
      <c r="DE33" s="37">
        <v>43893</v>
      </c>
      <c r="DF33" s="38">
        <v>15.406499999999999</v>
      </c>
      <c r="DG33" s="18"/>
      <c r="DH33" s="37">
        <v>43893</v>
      </c>
      <c r="DI33" s="38">
        <v>19.757200000000001</v>
      </c>
      <c r="DJ33" s="18"/>
      <c r="DK33" s="37">
        <v>43893</v>
      </c>
      <c r="DL33" s="38">
        <v>0.14380000000000001</v>
      </c>
      <c r="DM33" s="18"/>
      <c r="DN33" s="18"/>
      <c r="DO33" s="18"/>
      <c r="DP33" s="18"/>
      <c r="DQ33" s="18"/>
      <c r="DR33" s="18"/>
      <c r="DS33" s="18"/>
      <c r="DT33" s="18"/>
      <c r="DU33" s="18"/>
      <c r="DV33" s="18"/>
      <c r="DW33" s="18"/>
      <c r="DX33" s="18"/>
      <c r="DY33" s="18"/>
      <c r="DZ33" s="18"/>
    </row>
    <row r="34" spans="1:130" ht="15" customHeight="1" x14ac:dyDescent="0.3">
      <c r="A34" s="72" t="s">
        <v>344</v>
      </c>
      <c r="B34" s="73" t="s">
        <v>345</v>
      </c>
      <c r="C34" s="48">
        <v>2022</v>
      </c>
      <c r="D34" s="48">
        <v>2021</v>
      </c>
      <c r="E34" s="48">
        <v>2020</v>
      </c>
      <c r="F34" s="48">
        <v>2019</v>
      </c>
      <c r="G34" s="48">
        <v>2018</v>
      </c>
      <c r="H34" s="48">
        <v>2017</v>
      </c>
      <c r="I34" s="48">
        <v>2016</v>
      </c>
      <c r="J34" s="48">
        <v>2015</v>
      </c>
      <c r="K34" s="48">
        <v>2014</v>
      </c>
      <c r="L34" s="48">
        <v>2013</v>
      </c>
      <c r="M34" s="49">
        <v>2012</v>
      </c>
      <c r="N34" s="17"/>
      <c r="O34" s="17"/>
      <c r="P34" s="17"/>
      <c r="Q34" s="17"/>
      <c r="R34" s="17"/>
      <c r="S34" s="17"/>
      <c r="T34" s="17"/>
      <c r="U34" s="18"/>
      <c r="V34" s="18"/>
      <c r="W34" s="18"/>
      <c r="X34" s="18"/>
      <c r="Y34" s="18"/>
      <c r="Z34" s="18"/>
      <c r="AA34" s="18"/>
      <c r="AB34" s="18"/>
      <c r="AC34" s="18"/>
      <c r="AD34" s="18"/>
      <c r="AE34" s="18"/>
      <c r="AF34" s="76">
        <v>2022</v>
      </c>
      <c r="AG34" s="76">
        <v>2021</v>
      </c>
      <c r="AH34" s="76">
        <v>2020</v>
      </c>
      <c r="AI34" s="76">
        <v>2019</v>
      </c>
      <c r="AJ34" s="76">
        <v>2018</v>
      </c>
      <c r="AK34" s="76">
        <v>2017</v>
      </c>
      <c r="AL34" s="76">
        <v>2016</v>
      </c>
      <c r="AM34" s="76">
        <v>2015</v>
      </c>
      <c r="AN34" s="18"/>
      <c r="AO34" s="18"/>
      <c r="AP34" s="77"/>
      <c r="AQ34" s="76" t="s">
        <v>1924</v>
      </c>
      <c r="AR34" s="76" t="s">
        <v>1921</v>
      </c>
      <c r="AS34" s="76" t="s">
        <v>1821</v>
      </c>
      <c r="AT34" s="76" t="s">
        <v>1812</v>
      </c>
      <c r="AU34" s="76" t="s">
        <v>1813</v>
      </c>
      <c r="AV34" s="76" t="s">
        <v>1814</v>
      </c>
      <c r="AW34" s="76" t="s">
        <v>1815</v>
      </c>
      <c r="AX34" s="76" t="s">
        <v>1816</v>
      </c>
      <c r="AY34" s="76" t="s">
        <v>1817</v>
      </c>
      <c r="AZ34" s="76" t="s">
        <v>1818</v>
      </c>
      <c r="BA34" s="83" t="s">
        <v>1819</v>
      </c>
      <c r="BB34" s="18"/>
      <c r="BC34" s="18"/>
      <c r="BD34" s="84" t="s">
        <v>465</v>
      </c>
      <c r="BE34" s="80"/>
      <c r="BF34" s="80"/>
      <c r="BG34" s="80"/>
      <c r="BH34" s="80"/>
      <c r="BI34" s="80"/>
      <c r="BJ34" s="82"/>
      <c r="BK34" s="18"/>
      <c r="BL34" s="18"/>
      <c r="BM34" s="18"/>
      <c r="BN34" s="18"/>
      <c r="BO34" s="18"/>
      <c r="BP34" s="18"/>
      <c r="BQ34" s="37">
        <v>40939</v>
      </c>
      <c r="BR34" s="38">
        <v>19651.312999999998</v>
      </c>
      <c r="BS34" s="17"/>
      <c r="BT34" s="37">
        <v>40939</v>
      </c>
      <c r="BU34" s="38">
        <v>1357</v>
      </c>
      <c r="BV34" s="18"/>
      <c r="BW34" s="37"/>
      <c r="BX34" s="38"/>
      <c r="BY34" s="18"/>
      <c r="BZ34" s="39">
        <v>40939</v>
      </c>
      <c r="CA34" s="40">
        <v>19651.312999999998</v>
      </c>
      <c r="CB34" s="17"/>
      <c r="CC34" s="39">
        <v>40939</v>
      </c>
      <c r="CD34" s="40">
        <v>13.57</v>
      </c>
      <c r="CE34" s="18"/>
      <c r="CF34" s="18"/>
      <c r="CG34" s="18"/>
      <c r="CH34" s="18"/>
      <c r="CI34" s="18"/>
      <c r="CJ34" s="18"/>
      <c r="CK34" s="18"/>
      <c r="CL34" s="18"/>
      <c r="CM34" s="18"/>
      <c r="CN34" s="37"/>
      <c r="CO34" s="38"/>
      <c r="CP34" s="17"/>
      <c r="CQ34" s="37"/>
      <c r="CR34" s="38"/>
      <c r="CS34" s="18"/>
      <c r="CT34" s="18"/>
      <c r="CU34" s="18"/>
      <c r="CV34" s="18"/>
      <c r="CW34" s="18"/>
      <c r="CX34" s="18"/>
      <c r="CY34" s="37">
        <v>44806</v>
      </c>
      <c r="CZ34" s="38">
        <v>17.232099999999999</v>
      </c>
      <c r="DA34" s="18"/>
      <c r="DB34" s="37">
        <v>43894</v>
      </c>
      <c r="DC34" s="38">
        <v>15.9481</v>
      </c>
      <c r="DD34" s="18"/>
      <c r="DE34" s="37">
        <v>43894</v>
      </c>
      <c r="DF34" s="38">
        <v>15.263199999999999</v>
      </c>
      <c r="DG34" s="18"/>
      <c r="DH34" s="37">
        <v>43894</v>
      </c>
      <c r="DI34" s="38">
        <v>19.649100000000001</v>
      </c>
      <c r="DJ34" s="18"/>
      <c r="DK34" s="37">
        <v>43894</v>
      </c>
      <c r="DL34" s="38">
        <v>0.1419</v>
      </c>
      <c r="DM34" s="18"/>
      <c r="DN34" s="18"/>
      <c r="DO34" s="18"/>
      <c r="DP34" s="18"/>
      <c r="DQ34" s="18"/>
      <c r="DR34" s="18"/>
      <c r="DS34" s="18"/>
      <c r="DT34" s="18"/>
      <c r="DU34" s="18"/>
      <c r="DV34" s="18"/>
      <c r="DW34" s="18"/>
      <c r="DX34" s="18"/>
      <c r="DY34" s="18"/>
      <c r="DZ34" s="18"/>
    </row>
    <row r="35" spans="1:130" ht="15" customHeight="1" x14ac:dyDescent="0.3">
      <c r="A35" s="30" t="s">
        <v>408</v>
      </c>
      <c r="B35" s="73" t="s">
        <v>37</v>
      </c>
      <c r="C35" s="74">
        <v>21636</v>
      </c>
      <c r="D35" s="74">
        <v>21200</v>
      </c>
      <c r="E35" s="74">
        <v>18843</v>
      </c>
      <c r="F35" s="74">
        <v>21589</v>
      </c>
      <c r="G35" s="74">
        <v>20717</v>
      </c>
      <c r="H35" s="74">
        <v>19114</v>
      </c>
      <c r="I35" s="74">
        <v>37796</v>
      </c>
      <c r="J35" s="74">
        <v>33711</v>
      </c>
      <c r="K35" s="74">
        <v>31783</v>
      </c>
      <c r="L35" s="74">
        <v>27382</v>
      </c>
      <c r="M35" s="75">
        <v>25174</v>
      </c>
      <c r="N35" s="17"/>
      <c r="O35" s="17"/>
      <c r="P35" s="17"/>
      <c r="Q35" s="17"/>
      <c r="R35" s="17"/>
      <c r="S35" s="17"/>
      <c r="T35" s="17"/>
      <c r="U35" s="18"/>
      <c r="V35" s="18"/>
      <c r="W35" s="18"/>
      <c r="X35" s="18"/>
      <c r="Y35" s="18"/>
      <c r="Z35" s="18"/>
      <c r="AA35" s="18"/>
      <c r="AB35" s="18"/>
      <c r="AC35" s="18"/>
      <c r="AD35" s="18"/>
      <c r="AE35" s="85" t="s">
        <v>37</v>
      </c>
      <c r="AF35" s="85">
        <v>0</v>
      </c>
      <c r="AG35" s="85">
        <v>0</v>
      </c>
      <c r="AH35" s="85">
        <v>0</v>
      </c>
      <c r="AI35" s="85">
        <v>0</v>
      </c>
      <c r="AJ35" s="85">
        <v>0</v>
      </c>
      <c r="AK35" s="85">
        <v>0</v>
      </c>
      <c r="AL35" s="85">
        <v>0</v>
      </c>
      <c r="AM35" s="85">
        <v>0</v>
      </c>
      <c r="AN35" s="18"/>
      <c r="AO35" s="18"/>
      <c r="AP35" s="77" t="s">
        <v>37</v>
      </c>
      <c r="AQ35" s="18">
        <v>21636</v>
      </c>
      <c r="AR35" s="18">
        <v>21200</v>
      </c>
      <c r="AS35" s="18">
        <v>18843</v>
      </c>
      <c r="AT35" s="18">
        <v>21589</v>
      </c>
      <c r="AU35" s="18">
        <v>20717</v>
      </c>
      <c r="AV35" s="18">
        <v>19114</v>
      </c>
      <c r="AW35" s="18">
        <v>37796</v>
      </c>
      <c r="AX35" s="18">
        <v>33711</v>
      </c>
      <c r="AY35" s="18">
        <v>31783</v>
      </c>
      <c r="AZ35" s="18">
        <v>27382</v>
      </c>
      <c r="BA35" s="78">
        <v>25174</v>
      </c>
      <c r="BB35" s="18"/>
      <c r="BC35" s="18"/>
      <c r="BD35" s="84" t="s">
        <v>466</v>
      </c>
      <c r="BE35" s="80"/>
      <c r="BF35" s="80"/>
      <c r="BG35" s="80"/>
      <c r="BH35" s="80"/>
      <c r="BI35" s="80"/>
      <c r="BJ35" s="82"/>
      <c r="BK35" s="18"/>
      <c r="BL35" s="18"/>
      <c r="BM35" s="18"/>
      <c r="BN35" s="18"/>
      <c r="BO35" s="18"/>
      <c r="BP35" s="18"/>
      <c r="BQ35" s="37">
        <v>40968</v>
      </c>
      <c r="BR35" s="38">
        <v>19914.124</v>
      </c>
      <c r="BS35" s="17"/>
      <c r="BT35" s="37">
        <v>40968</v>
      </c>
      <c r="BU35" s="38">
        <v>1375</v>
      </c>
      <c r="BV35" s="18"/>
      <c r="BW35" s="37"/>
      <c r="BX35" s="38"/>
      <c r="BY35" s="18"/>
      <c r="BZ35" s="39">
        <v>40968</v>
      </c>
      <c r="CA35" s="40">
        <v>19914.124</v>
      </c>
      <c r="CB35" s="17"/>
      <c r="CC35" s="39">
        <v>40968</v>
      </c>
      <c r="CD35" s="40">
        <v>13.75</v>
      </c>
      <c r="CE35" s="18"/>
      <c r="CF35" s="18"/>
      <c r="CG35" s="18"/>
      <c r="CH35" s="18"/>
      <c r="CI35" s="18"/>
      <c r="CJ35" s="18"/>
      <c r="CK35" s="18"/>
      <c r="CL35" s="18"/>
      <c r="CM35" s="18"/>
      <c r="CN35" s="37"/>
      <c r="CO35" s="38"/>
      <c r="CP35" s="17"/>
      <c r="CQ35" s="37"/>
      <c r="CR35" s="38"/>
      <c r="CS35" s="18"/>
      <c r="CT35" s="18"/>
      <c r="CU35" s="18"/>
      <c r="CV35" s="18"/>
      <c r="CW35" s="18"/>
      <c r="CX35" s="18"/>
      <c r="CY35" s="37">
        <v>44809</v>
      </c>
      <c r="CZ35" s="38">
        <v>17.091100000000001</v>
      </c>
      <c r="DA35" s="18"/>
      <c r="DB35" s="37">
        <v>43895</v>
      </c>
      <c r="DC35" s="38">
        <v>16.523700000000002</v>
      </c>
      <c r="DD35" s="18"/>
      <c r="DE35" s="37">
        <v>43895</v>
      </c>
      <c r="DF35" s="38">
        <v>15.628</v>
      </c>
      <c r="DG35" s="18"/>
      <c r="DH35" s="37">
        <v>43895</v>
      </c>
      <c r="DI35" s="38">
        <v>20.2455</v>
      </c>
      <c r="DJ35" s="18"/>
      <c r="DK35" s="37">
        <v>43895</v>
      </c>
      <c r="DL35" s="38">
        <v>0.1472</v>
      </c>
      <c r="DM35" s="18"/>
      <c r="DN35" s="18"/>
      <c r="DO35" s="18"/>
      <c r="DP35" s="18"/>
      <c r="DQ35" s="18"/>
      <c r="DR35" s="18"/>
      <c r="DS35" s="18"/>
      <c r="DT35" s="18"/>
      <c r="DU35" s="18"/>
      <c r="DV35" s="18"/>
      <c r="DW35" s="18"/>
      <c r="DX35" s="18"/>
      <c r="DY35" s="18"/>
      <c r="DZ35" s="18"/>
    </row>
    <row r="36" spans="1:130" ht="15" customHeight="1" x14ac:dyDescent="0.3">
      <c r="A36" s="30" t="s">
        <v>410</v>
      </c>
      <c r="B36" s="73" t="s">
        <v>431</v>
      </c>
      <c r="C36" s="74">
        <v>11085</v>
      </c>
      <c r="D36" s="74">
        <v>10748</v>
      </c>
      <c r="E36" s="74">
        <v>9810</v>
      </c>
      <c r="F36" s="74">
        <v>10653</v>
      </c>
      <c r="G36" s="74">
        <v>10364</v>
      </c>
      <c r="H36" s="74">
        <v>9661</v>
      </c>
      <c r="I36" s="74">
        <v>21312</v>
      </c>
      <c r="J36" s="74">
        <v>18948</v>
      </c>
      <c r="K36" s="74">
        <v>18227</v>
      </c>
      <c r="L36" s="74">
        <v>15568</v>
      </c>
      <c r="M36" s="75">
        <v>14567</v>
      </c>
      <c r="N36" s="17"/>
      <c r="O36" s="17"/>
      <c r="P36" s="17"/>
      <c r="Q36" s="17"/>
      <c r="R36" s="17"/>
      <c r="S36" s="17"/>
      <c r="T36" s="17"/>
      <c r="U36" s="18"/>
      <c r="V36" s="18"/>
      <c r="W36" s="18"/>
      <c r="X36" s="18"/>
      <c r="Y36" s="18"/>
      <c r="Z36" s="18"/>
      <c r="AA36" s="18"/>
      <c r="AB36" s="18"/>
      <c r="AC36" s="18"/>
      <c r="AD36" s="18"/>
      <c r="AE36" s="85" t="s">
        <v>431</v>
      </c>
      <c r="AF36" s="85">
        <v>0</v>
      </c>
      <c r="AG36" s="85">
        <v>0</v>
      </c>
      <c r="AH36" s="85">
        <v>0</v>
      </c>
      <c r="AI36" s="85">
        <v>0</v>
      </c>
      <c r="AJ36" s="85">
        <v>0</v>
      </c>
      <c r="AK36" s="85">
        <v>0</v>
      </c>
      <c r="AL36" s="85">
        <v>0</v>
      </c>
      <c r="AM36" s="85">
        <v>0</v>
      </c>
      <c r="AN36" s="18"/>
      <c r="AO36" s="18"/>
      <c r="AP36" s="77" t="s">
        <v>431</v>
      </c>
      <c r="AQ36" s="86">
        <v>11085</v>
      </c>
      <c r="AR36" s="86">
        <v>10748</v>
      </c>
      <c r="AS36" s="86">
        <v>9810</v>
      </c>
      <c r="AT36" s="86">
        <v>10653</v>
      </c>
      <c r="AU36" s="86">
        <v>10364</v>
      </c>
      <c r="AV36" s="86">
        <v>9661</v>
      </c>
      <c r="AW36" s="86">
        <v>21312</v>
      </c>
      <c r="AX36" s="86">
        <v>18948</v>
      </c>
      <c r="AY36" s="86">
        <v>18227</v>
      </c>
      <c r="AZ36" s="86">
        <v>15568</v>
      </c>
      <c r="BA36" s="87">
        <v>14567</v>
      </c>
      <c r="BB36" s="18"/>
      <c r="BC36" s="18"/>
      <c r="BD36" s="84" t="s">
        <v>467</v>
      </c>
      <c r="BE36" s="88" t="s">
        <v>1908</v>
      </c>
      <c r="BF36" s="89">
        <v>14.58</v>
      </c>
      <c r="BG36" s="89">
        <v>20981.932331219999</v>
      </c>
      <c r="BH36" s="89"/>
      <c r="BI36" s="18"/>
      <c r="BJ36" s="83"/>
      <c r="BK36" s="18"/>
      <c r="BL36" s="18"/>
      <c r="BM36" s="18"/>
      <c r="BN36" s="18"/>
      <c r="BO36" s="18"/>
      <c r="BP36" s="18"/>
      <c r="BQ36" s="37">
        <v>40998</v>
      </c>
      <c r="BR36" s="38">
        <v>20609.308000000001</v>
      </c>
      <c r="BS36" s="17"/>
      <c r="BT36" s="37">
        <v>40998</v>
      </c>
      <c r="BU36" s="38">
        <v>1423</v>
      </c>
      <c r="BV36" s="18"/>
      <c r="BW36" s="37"/>
      <c r="BX36" s="38"/>
      <c r="BY36" s="18"/>
      <c r="BZ36" s="39">
        <v>40998</v>
      </c>
      <c r="CA36" s="40">
        <v>20609.308000000001</v>
      </c>
      <c r="CB36" s="17"/>
      <c r="CC36" s="39">
        <v>40998</v>
      </c>
      <c r="CD36" s="40">
        <v>14.23</v>
      </c>
      <c r="CE36" s="18"/>
      <c r="CF36" s="18"/>
      <c r="CG36" s="18"/>
      <c r="CH36" s="18"/>
      <c r="CI36" s="18"/>
      <c r="CJ36" s="18"/>
      <c r="CK36" s="18"/>
      <c r="CL36" s="18"/>
      <c r="CM36" s="18"/>
      <c r="CN36" s="37"/>
      <c r="CO36" s="38"/>
      <c r="CP36" s="17"/>
      <c r="CQ36" s="37"/>
      <c r="CR36" s="38"/>
      <c r="CS36" s="18"/>
      <c r="CT36" s="18"/>
      <c r="CU36" s="18"/>
      <c r="CV36" s="18"/>
      <c r="CW36" s="18"/>
      <c r="CX36" s="18"/>
      <c r="CY36" s="37">
        <v>44810</v>
      </c>
      <c r="CZ36" s="38">
        <v>17.1358</v>
      </c>
      <c r="DA36" s="18"/>
      <c r="DB36" s="37">
        <v>43896</v>
      </c>
      <c r="DC36" s="38">
        <v>16.708400000000001</v>
      </c>
      <c r="DD36" s="18"/>
      <c r="DE36" s="37">
        <v>43896</v>
      </c>
      <c r="DF36" s="38">
        <v>15.679</v>
      </c>
      <c r="DG36" s="18"/>
      <c r="DH36" s="37">
        <v>43896</v>
      </c>
      <c r="DI36" s="38">
        <v>20.454599999999999</v>
      </c>
      <c r="DJ36" s="18"/>
      <c r="DK36" s="37">
        <v>43896</v>
      </c>
      <c r="DL36" s="38">
        <v>0.1487</v>
      </c>
      <c r="DM36" s="18"/>
      <c r="DN36" s="18"/>
      <c r="DO36" s="18"/>
      <c r="DP36" s="18"/>
      <c r="DQ36" s="18"/>
      <c r="DR36" s="18"/>
      <c r="DS36" s="18"/>
      <c r="DT36" s="18"/>
      <c r="DU36" s="18"/>
      <c r="DV36" s="18"/>
      <c r="DW36" s="18"/>
      <c r="DX36" s="18"/>
      <c r="DY36" s="18"/>
      <c r="DZ36" s="18"/>
    </row>
    <row r="37" spans="1:130" ht="15" customHeight="1" x14ac:dyDescent="0.3">
      <c r="A37" s="30" t="s">
        <v>145</v>
      </c>
      <c r="B37" s="90" t="s">
        <v>432</v>
      </c>
      <c r="C37" s="91">
        <v>10551</v>
      </c>
      <c r="D37" s="91">
        <v>10452</v>
      </c>
      <c r="E37" s="91">
        <v>9033</v>
      </c>
      <c r="F37" s="91">
        <v>10936</v>
      </c>
      <c r="G37" s="91">
        <v>10353</v>
      </c>
      <c r="H37" s="91">
        <v>9453</v>
      </c>
      <c r="I37" s="91">
        <v>16484</v>
      </c>
      <c r="J37" s="91">
        <v>14763</v>
      </c>
      <c r="K37" s="91">
        <v>13556</v>
      </c>
      <c r="L37" s="91">
        <v>11814</v>
      </c>
      <c r="M37" s="92">
        <v>10607</v>
      </c>
      <c r="N37" s="17"/>
      <c r="O37" s="17"/>
      <c r="P37" s="17"/>
      <c r="Q37" s="17"/>
      <c r="R37" s="17"/>
      <c r="S37" s="17"/>
      <c r="T37" s="17"/>
      <c r="U37" s="18"/>
      <c r="V37" s="18"/>
      <c r="W37" s="18"/>
      <c r="X37" s="18"/>
      <c r="Y37" s="18"/>
      <c r="Z37" s="18"/>
      <c r="AA37" s="18"/>
      <c r="AB37" s="18"/>
      <c r="AC37" s="18"/>
      <c r="AD37" s="18"/>
      <c r="AE37" s="85" t="s">
        <v>432</v>
      </c>
      <c r="AF37" s="85">
        <v>0</v>
      </c>
      <c r="AG37" s="85">
        <v>0</v>
      </c>
      <c r="AH37" s="85">
        <v>0</v>
      </c>
      <c r="AI37" s="85">
        <v>0</v>
      </c>
      <c r="AJ37" s="85">
        <v>0</v>
      </c>
      <c r="AK37" s="85">
        <v>0</v>
      </c>
      <c r="AL37" s="85">
        <v>0</v>
      </c>
      <c r="AM37" s="85">
        <v>0</v>
      </c>
      <c r="AN37" s="18"/>
      <c r="AO37" s="18"/>
      <c r="AP37" s="93" t="s">
        <v>432</v>
      </c>
      <c r="AQ37" s="18">
        <v>10551</v>
      </c>
      <c r="AR37" s="18">
        <v>10452</v>
      </c>
      <c r="AS37" s="18">
        <v>9033</v>
      </c>
      <c r="AT37" s="18">
        <v>10936</v>
      </c>
      <c r="AU37" s="18">
        <v>10353</v>
      </c>
      <c r="AV37" s="18">
        <v>9453</v>
      </c>
      <c r="AW37" s="18">
        <v>16484</v>
      </c>
      <c r="AX37" s="18">
        <v>14763</v>
      </c>
      <c r="AY37" s="18">
        <v>13556</v>
      </c>
      <c r="AZ37" s="18">
        <v>11814</v>
      </c>
      <c r="BA37" s="78">
        <v>10607</v>
      </c>
      <c r="BB37" s="18"/>
      <c r="BC37" s="18"/>
      <c r="BD37" s="84" t="s">
        <v>417</v>
      </c>
      <c r="BE37" s="94" t="s">
        <v>428</v>
      </c>
      <c r="BF37" s="95"/>
      <c r="BG37" s="95"/>
      <c r="BH37" s="95"/>
      <c r="BI37" s="80"/>
      <c r="BJ37" s="82"/>
      <c r="BK37" s="18"/>
      <c r="BL37" s="18"/>
      <c r="BM37" s="18"/>
      <c r="BN37" s="18"/>
      <c r="BO37" s="18"/>
      <c r="BP37" s="18"/>
      <c r="BQ37" s="37">
        <v>41029</v>
      </c>
      <c r="BR37" s="38">
        <v>20391.1636</v>
      </c>
      <c r="BS37" s="17"/>
      <c r="BT37" s="37">
        <v>41029</v>
      </c>
      <c r="BU37" s="38">
        <v>1405</v>
      </c>
      <c r="BV37" s="18"/>
      <c r="BW37" s="37"/>
      <c r="BX37" s="38"/>
      <c r="BY37" s="18"/>
      <c r="BZ37" s="39">
        <v>41029</v>
      </c>
      <c r="CA37" s="40">
        <v>20391.1636</v>
      </c>
      <c r="CB37" s="17"/>
      <c r="CC37" s="39">
        <v>41029</v>
      </c>
      <c r="CD37" s="40">
        <v>14.05</v>
      </c>
      <c r="CE37" s="18"/>
      <c r="CF37" s="18"/>
      <c r="CG37" s="18"/>
      <c r="CH37" s="18"/>
      <c r="CI37" s="18"/>
      <c r="CJ37" s="18"/>
      <c r="CK37" s="18"/>
      <c r="CL37" s="18"/>
      <c r="CM37" s="18"/>
      <c r="CN37" s="37"/>
      <c r="CO37" s="38"/>
      <c r="CP37" s="17"/>
      <c r="CQ37" s="37"/>
      <c r="CR37" s="38"/>
      <c r="CS37" s="18"/>
      <c r="CT37" s="18"/>
      <c r="CU37" s="18"/>
      <c r="CV37" s="18"/>
      <c r="CW37" s="18"/>
      <c r="CX37" s="18"/>
      <c r="CY37" s="37">
        <v>44811</v>
      </c>
      <c r="CZ37" s="38">
        <v>17.269600000000001</v>
      </c>
      <c r="DA37" s="18"/>
      <c r="DB37" s="37">
        <v>43899</v>
      </c>
      <c r="DC37" s="38">
        <v>17.395499999999998</v>
      </c>
      <c r="DD37" s="18"/>
      <c r="DE37" s="37">
        <v>43899</v>
      </c>
      <c r="DF37" s="38">
        <v>16.092600000000001</v>
      </c>
      <c r="DG37" s="18"/>
      <c r="DH37" s="37">
        <v>43899</v>
      </c>
      <c r="DI37" s="38">
        <v>21.121600000000001</v>
      </c>
      <c r="DJ37" s="18"/>
      <c r="DK37" s="37">
        <v>43899</v>
      </c>
      <c r="DL37" s="38">
        <v>0.15720000000000001</v>
      </c>
      <c r="DM37" s="18"/>
      <c r="DN37" s="18"/>
      <c r="DO37" s="18"/>
      <c r="DP37" s="18"/>
      <c r="DQ37" s="18"/>
      <c r="DR37" s="18"/>
      <c r="DS37" s="18"/>
      <c r="DT37" s="18"/>
      <c r="DU37" s="18"/>
      <c r="DV37" s="18"/>
      <c r="DW37" s="18"/>
      <c r="DX37" s="18"/>
      <c r="DY37" s="18"/>
      <c r="DZ37" s="18"/>
    </row>
    <row r="38" spans="1:130" ht="15" customHeight="1" x14ac:dyDescent="0.3">
      <c r="A38" s="30" t="s">
        <v>148</v>
      </c>
      <c r="B38" s="73" t="s">
        <v>433</v>
      </c>
      <c r="C38" s="74">
        <v>435</v>
      </c>
      <c r="D38" s="74">
        <v>330</v>
      </c>
      <c r="E38" s="74">
        <v>386</v>
      </c>
      <c r="F38" s="74">
        <v>446</v>
      </c>
      <c r="G38" s="74">
        <v>511</v>
      </c>
      <c r="H38" s="74">
        <v>460</v>
      </c>
      <c r="I38" s="96">
        <v>457</v>
      </c>
      <c r="J38" s="96">
        <v>498</v>
      </c>
      <c r="K38" s="96">
        <v>350</v>
      </c>
      <c r="L38" s="96">
        <v>306</v>
      </c>
      <c r="M38" s="97">
        <v>288</v>
      </c>
      <c r="N38" s="17"/>
      <c r="O38" s="17"/>
      <c r="P38" s="17"/>
      <c r="Q38" s="17"/>
      <c r="R38" s="17"/>
      <c r="S38" s="17"/>
      <c r="T38" s="17"/>
      <c r="U38" s="18"/>
      <c r="V38" s="18"/>
      <c r="W38" s="18"/>
      <c r="X38" s="18"/>
      <c r="Y38" s="18"/>
      <c r="Z38" s="18"/>
      <c r="AA38" s="18"/>
      <c r="AB38" s="18"/>
      <c r="AC38" s="18"/>
      <c r="AD38" s="18"/>
      <c r="AE38" s="85" t="s">
        <v>433</v>
      </c>
      <c r="AF38" s="85">
        <v>0</v>
      </c>
      <c r="AG38" s="85">
        <v>0</v>
      </c>
      <c r="AH38" s="85">
        <v>0</v>
      </c>
      <c r="AI38" s="85">
        <v>0</v>
      </c>
      <c r="AJ38" s="85">
        <v>0</v>
      </c>
      <c r="AK38" s="85">
        <v>0</v>
      </c>
      <c r="AL38" s="85">
        <v>0</v>
      </c>
      <c r="AM38" s="85">
        <v>0</v>
      </c>
      <c r="AN38" s="18"/>
      <c r="AO38" s="18"/>
      <c r="AP38" s="77" t="s">
        <v>433</v>
      </c>
      <c r="AQ38" s="18">
        <v>435</v>
      </c>
      <c r="AR38" s="18">
        <v>330</v>
      </c>
      <c r="AS38" s="18">
        <v>386</v>
      </c>
      <c r="AT38" s="18">
        <v>446</v>
      </c>
      <c r="AU38" s="18">
        <v>511</v>
      </c>
      <c r="AV38" s="18">
        <v>460</v>
      </c>
      <c r="AW38" s="98">
        <v>457</v>
      </c>
      <c r="AX38" s="98">
        <v>498</v>
      </c>
      <c r="AY38" s="98">
        <v>350</v>
      </c>
      <c r="AZ38" s="98">
        <v>306</v>
      </c>
      <c r="BA38" s="99">
        <v>288</v>
      </c>
      <c r="BB38" s="18"/>
      <c r="BC38" s="18"/>
      <c r="BD38" s="79"/>
      <c r="BE38" s="80"/>
      <c r="BF38" s="80"/>
      <c r="BG38" s="80"/>
      <c r="BH38" s="80"/>
      <c r="BI38" s="80"/>
      <c r="BJ38" s="82"/>
      <c r="BK38" s="18"/>
      <c r="BL38" s="18"/>
      <c r="BM38" s="18"/>
      <c r="BN38" s="18"/>
      <c r="BO38" s="18"/>
      <c r="BP38" s="18"/>
      <c r="BQ38" s="37">
        <v>41060</v>
      </c>
      <c r="BR38" s="38">
        <v>22074.7045</v>
      </c>
      <c r="BS38" s="17"/>
      <c r="BT38" s="37">
        <v>41060</v>
      </c>
      <c r="BU38" s="38">
        <v>1521</v>
      </c>
      <c r="BV38" s="18"/>
      <c r="BW38" s="37"/>
      <c r="BX38" s="38"/>
      <c r="BY38" s="18"/>
      <c r="BZ38" s="39">
        <v>41060</v>
      </c>
      <c r="CA38" s="40">
        <v>22074.7045</v>
      </c>
      <c r="CB38" s="17"/>
      <c r="CC38" s="39">
        <v>41060</v>
      </c>
      <c r="CD38" s="40">
        <v>15.21</v>
      </c>
      <c r="CE38" s="18"/>
      <c r="CF38" s="18"/>
      <c r="CG38" s="18"/>
      <c r="CH38" s="18"/>
      <c r="CI38" s="18"/>
      <c r="CJ38" s="18"/>
      <c r="CK38" s="18"/>
      <c r="CL38" s="18"/>
      <c r="CM38" s="18"/>
      <c r="CN38" s="37"/>
      <c r="CO38" s="38"/>
      <c r="CP38" s="17"/>
      <c r="CQ38" s="37"/>
      <c r="CR38" s="38"/>
      <c r="CS38" s="18"/>
      <c r="CT38" s="18"/>
      <c r="CU38" s="18"/>
      <c r="CV38" s="18"/>
      <c r="CW38" s="18"/>
      <c r="CX38" s="18"/>
      <c r="CY38" s="37">
        <v>44812</v>
      </c>
      <c r="CZ38" s="38">
        <v>17.518899999999999</v>
      </c>
      <c r="DA38" s="18"/>
      <c r="DB38" s="37">
        <v>43900</v>
      </c>
      <c r="DC38" s="38">
        <v>16.964300000000001</v>
      </c>
      <c r="DD38" s="18"/>
      <c r="DE38" s="37">
        <v>43900</v>
      </c>
      <c r="DF38" s="38">
        <v>15.943199999999999</v>
      </c>
      <c r="DG38" s="18"/>
      <c r="DH38" s="37">
        <v>43900</v>
      </c>
      <c r="DI38" s="38">
        <v>20.578800000000001</v>
      </c>
      <c r="DJ38" s="18"/>
      <c r="DK38" s="37">
        <v>43900</v>
      </c>
      <c r="DL38" s="38">
        <v>0.15090000000000001</v>
      </c>
      <c r="DM38" s="18"/>
      <c r="DN38" s="18"/>
      <c r="DO38" s="18"/>
      <c r="DP38" s="18"/>
      <c r="DQ38" s="18"/>
      <c r="DR38" s="18"/>
      <c r="DS38" s="18"/>
      <c r="DT38" s="18"/>
      <c r="DU38" s="18"/>
      <c r="DV38" s="18"/>
      <c r="DW38" s="18"/>
      <c r="DX38" s="18"/>
      <c r="DY38" s="18"/>
      <c r="DZ38" s="18"/>
    </row>
    <row r="39" spans="1:130" ht="15" customHeight="1" x14ac:dyDescent="0.3">
      <c r="A39" s="100" t="s">
        <v>430</v>
      </c>
      <c r="B39" s="73" t="s">
        <v>187</v>
      </c>
      <c r="C39" s="74">
        <v>8704</v>
      </c>
      <c r="D39" s="74">
        <v>8706</v>
      </c>
      <c r="E39" s="74">
        <v>7852</v>
      </c>
      <c r="F39" s="74">
        <v>7742</v>
      </c>
      <c r="G39" s="74">
        <v>8922</v>
      </c>
      <c r="H39" s="74">
        <v>6379</v>
      </c>
      <c r="I39" s="74">
        <v>12793</v>
      </c>
      <c r="J39" s="74">
        <v>11533</v>
      </c>
      <c r="K39" s="74">
        <v>10653</v>
      </c>
      <c r="L39" s="74">
        <v>5866</v>
      </c>
      <c r="M39" s="75">
        <v>17856</v>
      </c>
      <c r="N39" s="17"/>
      <c r="O39" s="17"/>
      <c r="P39" s="17"/>
      <c r="Q39" s="17"/>
      <c r="R39" s="17"/>
      <c r="S39" s="17"/>
      <c r="T39" s="17"/>
      <c r="U39" s="18"/>
      <c r="V39" s="18"/>
      <c r="W39" s="18"/>
      <c r="X39" s="18"/>
      <c r="Y39" s="18"/>
      <c r="Z39" s="18"/>
      <c r="AA39" s="18"/>
      <c r="AB39" s="18"/>
      <c r="AC39" s="18"/>
      <c r="AD39" s="18"/>
      <c r="AE39" s="85" t="s">
        <v>187</v>
      </c>
      <c r="AF39" s="85">
        <v>0</v>
      </c>
      <c r="AG39" s="85">
        <v>0</v>
      </c>
      <c r="AH39" s="85">
        <v>0</v>
      </c>
      <c r="AI39" s="85">
        <v>0</v>
      </c>
      <c r="AJ39" s="85">
        <v>0</v>
      </c>
      <c r="AK39" s="85">
        <v>0</v>
      </c>
      <c r="AL39" s="85">
        <v>0</v>
      </c>
      <c r="AM39" s="85">
        <v>0</v>
      </c>
      <c r="AN39" s="18"/>
      <c r="AO39" s="18"/>
      <c r="AP39" s="77" t="s">
        <v>187</v>
      </c>
      <c r="AQ39" s="86">
        <v>8704</v>
      </c>
      <c r="AR39" s="86">
        <v>8706</v>
      </c>
      <c r="AS39" s="86">
        <v>7852</v>
      </c>
      <c r="AT39" s="86">
        <v>7742</v>
      </c>
      <c r="AU39" s="86">
        <v>8922</v>
      </c>
      <c r="AV39" s="86">
        <v>6379</v>
      </c>
      <c r="AW39" s="86">
        <v>12793</v>
      </c>
      <c r="AX39" s="86">
        <v>11533</v>
      </c>
      <c r="AY39" s="86">
        <v>10653</v>
      </c>
      <c r="AZ39" s="86">
        <v>5866</v>
      </c>
      <c r="BA39" s="87">
        <v>17856</v>
      </c>
      <c r="BB39" s="18"/>
      <c r="BC39" s="18"/>
      <c r="BD39" s="84"/>
      <c r="BE39" s="80"/>
      <c r="BF39" s="81"/>
      <c r="BG39" s="101"/>
      <c r="BH39" s="81"/>
      <c r="BI39" s="80"/>
      <c r="BJ39" s="82"/>
      <c r="BK39" s="18"/>
      <c r="BL39" s="18"/>
      <c r="BM39" s="18"/>
      <c r="BN39" s="18"/>
      <c r="BO39" s="18"/>
      <c r="BP39" s="18"/>
      <c r="BQ39" s="37">
        <v>41089</v>
      </c>
      <c r="BR39" s="38">
        <v>23270.789100000002</v>
      </c>
      <c r="BS39" s="17"/>
      <c r="BT39" s="37">
        <v>41089</v>
      </c>
      <c r="BU39" s="38">
        <v>1600</v>
      </c>
      <c r="BV39" s="18"/>
      <c r="BW39" s="37"/>
      <c r="BX39" s="38"/>
      <c r="BY39" s="18"/>
      <c r="BZ39" s="39">
        <v>41089</v>
      </c>
      <c r="CA39" s="40">
        <v>23270.789100000002</v>
      </c>
      <c r="CB39" s="17"/>
      <c r="CC39" s="39">
        <v>41089</v>
      </c>
      <c r="CD39" s="40">
        <v>16</v>
      </c>
      <c r="CE39" s="18"/>
      <c r="CF39" s="18"/>
      <c r="CG39" s="18"/>
      <c r="CH39" s="18"/>
      <c r="CI39" s="18"/>
      <c r="CJ39" s="18"/>
      <c r="CK39" s="18"/>
      <c r="CL39" s="18"/>
      <c r="CM39" s="18"/>
      <c r="CN39" s="37"/>
      <c r="CO39" s="38"/>
      <c r="CP39" s="17"/>
      <c r="CQ39" s="37"/>
      <c r="CR39" s="38"/>
      <c r="CS39" s="18"/>
      <c r="CT39" s="18"/>
      <c r="CU39" s="18"/>
      <c r="CV39" s="18"/>
      <c r="CW39" s="18"/>
      <c r="CX39" s="18"/>
      <c r="CY39" s="37">
        <v>44813</v>
      </c>
      <c r="CZ39" s="38">
        <v>17.383099999999999</v>
      </c>
      <c r="DA39" s="18"/>
      <c r="DB39" s="37">
        <v>43901</v>
      </c>
      <c r="DC39" s="38">
        <v>17.261800000000001</v>
      </c>
      <c r="DD39" s="18"/>
      <c r="DE39" s="37">
        <v>43901</v>
      </c>
      <c r="DF39" s="38">
        <v>16.1967</v>
      </c>
      <c r="DG39" s="18"/>
      <c r="DH39" s="37">
        <v>43901</v>
      </c>
      <c r="DI39" s="38">
        <v>20.7667</v>
      </c>
      <c r="DJ39" s="18"/>
      <c r="DK39" s="37">
        <v>43901</v>
      </c>
      <c r="DL39" s="38">
        <v>0.15490000000000001</v>
      </c>
      <c r="DM39" s="18"/>
      <c r="DN39" s="18"/>
      <c r="DO39" s="18"/>
      <c r="DP39" s="18"/>
      <c r="DQ39" s="18"/>
      <c r="DR39" s="18"/>
      <c r="DS39" s="18"/>
      <c r="DT39" s="18"/>
      <c r="DU39" s="18"/>
      <c r="DV39" s="18"/>
      <c r="DW39" s="18"/>
      <c r="DX39" s="18"/>
      <c r="DY39" s="18"/>
      <c r="DZ39" s="18"/>
    </row>
    <row r="40" spans="1:130" ht="15" customHeight="1" x14ac:dyDescent="0.3">
      <c r="A40" s="30" t="s">
        <v>147</v>
      </c>
      <c r="B40" s="90" t="s">
        <v>434</v>
      </c>
      <c r="C40" s="91">
        <v>2282</v>
      </c>
      <c r="D40" s="91">
        <v>2076</v>
      </c>
      <c r="E40" s="91">
        <v>1567</v>
      </c>
      <c r="F40" s="91">
        <v>3640</v>
      </c>
      <c r="G40" s="91">
        <v>1942</v>
      </c>
      <c r="H40" s="91">
        <v>3534</v>
      </c>
      <c r="I40" s="91">
        <v>4148</v>
      </c>
      <c r="J40" s="91">
        <v>3728</v>
      </c>
      <c r="K40" s="91">
        <v>3253</v>
      </c>
      <c r="L40" s="91">
        <v>6254</v>
      </c>
      <c r="M40" s="92">
        <v>-6961</v>
      </c>
      <c r="N40" s="17"/>
      <c r="O40" s="17"/>
      <c r="P40" s="17"/>
      <c r="Q40" s="17"/>
      <c r="R40" s="17"/>
      <c r="S40" s="17"/>
      <c r="T40" s="17"/>
      <c r="U40" s="18"/>
      <c r="V40" s="18"/>
      <c r="W40" s="18"/>
      <c r="X40" s="18"/>
      <c r="Y40" s="18"/>
      <c r="Z40" s="18"/>
      <c r="AA40" s="18"/>
      <c r="AB40" s="18"/>
      <c r="AC40" s="18"/>
      <c r="AD40" s="18"/>
      <c r="AE40" s="85" t="s">
        <v>434</v>
      </c>
      <c r="AF40" s="85">
        <v>0</v>
      </c>
      <c r="AG40" s="85">
        <v>0</v>
      </c>
      <c r="AH40" s="85">
        <v>0</v>
      </c>
      <c r="AI40" s="85">
        <v>0</v>
      </c>
      <c r="AJ40" s="85">
        <v>0</v>
      </c>
      <c r="AK40" s="85">
        <v>0</v>
      </c>
      <c r="AL40" s="85">
        <v>0</v>
      </c>
      <c r="AM40" s="85">
        <v>0</v>
      </c>
      <c r="AN40" s="18"/>
      <c r="AO40" s="18"/>
      <c r="AP40" s="102" t="s">
        <v>434</v>
      </c>
      <c r="AQ40" s="86">
        <v>2282</v>
      </c>
      <c r="AR40" s="86">
        <v>2076</v>
      </c>
      <c r="AS40" s="86">
        <v>1567</v>
      </c>
      <c r="AT40" s="86">
        <v>3640</v>
      </c>
      <c r="AU40" s="86">
        <v>1942</v>
      </c>
      <c r="AV40" s="86">
        <v>3534</v>
      </c>
      <c r="AW40" s="86">
        <v>4148</v>
      </c>
      <c r="AX40" s="86">
        <v>3728</v>
      </c>
      <c r="AY40" s="86">
        <v>3253</v>
      </c>
      <c r="AZ40" s="86">
        <v>6254</v>
      </c>
      <c r="BA40" s="87">
        <v>-6961</v>
      </c>
      <c r="BB40" s="18"/>
      <c r="BC40" s="18"/>
      <c r="BD40" s="84"/>
      <c r="BE40" s="94"/>
      <c r="BF40" s="103"/>
      <c r="BG40" s="103"/>
      <c r="BH40" s="103"/>
      <c r="BI40" s="80"/>
      <c r="BJ40" s="82"/>
      <c r="BK40" s="18"/>
      <c r="BL40" s="18"/>
      <c r="BM40" s="18"/>
      <c r="BN40" s="18"/>
      <c r="BO40" s="18"/>
      <c r="BP40" s="18"/>
      <c r="BQ40" s="37">
        <v>41121</v>
      </c>
      <c r="BR40" s="38">
        <v>23628.516100000001</v>
      </c>
      <c r="BS40" s="17"/>
      <c r="BT40" s="37">
        <v>41121</v>
      </c>
      <c r="BU40" s="38">
        <v>1624</v>
      </c>
      <c r="BV40" s="18"/>
      <c r="BW40" s="37"/>
      <c r="BX40" s="38"/>
      <c r="BY40" s="18"/>
      <c r="BZ40" s="39">
        <v>41121</v>
      </c>
      <c r="CA40" s="40">
        <v>23628.516100000001</v>
      </c>
      <c r="CB40" s="17"/>
      <c r="CC40" s="39">
        <v>41121</v>
      </c>
      <c r="CD40" s="40">
        <v>16.240000000000002</v>
      </c>
      <c r="CE40" s="18"/>
      <c r="CF40" s="18"/>
      <c r="CG40" s="18"/>
      <c r="CH40" s="18"/>
      <c r="CI40" s="18"/>
      <c r="CJ40" s="18"/>
      <c r="CK40" s="18"/>
      <c r="CL40" s="18"/>
      <c r="CM40" s="18"/>
      <c r="CN40" s="37"/>
      <c r="CO40" s="38"/>
      <c r="CP40" s="17"/>
      <c r="CQ40" s="37"/>
      <c r="CR40" s="38"/>
      <c r="CS40" s="18"/>
      <c r="CT40" s="18"/>
      <c r="CU40" s="18"/>
      <c r="CV40" s="18"/>
      <c r="CW40" s="18"/>
      <c r="CX40" s="18"/>
      <c r="CY40" s="37">
        <v>44816</v>
      </c>
      <c r="CZ40" s="38">
        <v>17.327999999999999</v>
      </c>
      <c r="DA40" s="18"/>
      <c r="DB40" s="37">
        <v>43902</v>
      </c>
      <c r="DC40" s="38">
        <v>17.5275</v>
      </c>
      <c r="DD40" s="18"/>
      <c r="DE40" s="37">
        <v>43902</v>
      </c>
      <c r="DF40" s="38">
        <v>16.543700000000001</v>
      </c>
      <c r="DG40" s="18"/>
      <c r="DH40" s="37">
        <v>43902</v>
      </c>
      <c r="DI40" s="38">
        <v>20.787400000000002</v>
      </c>
      <c r="DJ40" s="18"/>
      <c r="DK40" s="37">
        <v>43902</v>
      </c>
      <c r="DL40" s="38">
        <v>0.15809999999999999</v>
      </c>
      <c r="DM40" s="18"/>
      <c r="DN40" s="18"/>
      <c r="DO40" s="18"/>
      <c r="DP40" s="18"/>
      <c r="DQ40" s="18"/>
      <c r="DR40" s="18"/>
      <c r="DS40" s="18"/>
      <c r="DT40" s="18"/>
      <c r="DU40" s="18"/>
      <c r="DV40" s="18"/>
      <c r="DW40" s="18"/>
      <c r="DX40" s="18"/>
      <c r="DY40" s="18"/>
      <c r="DZ40" s="18"/>
    </row>
    <row r="41" spans="1:130" ht="15" customHeight="1" x14ac:dyDescent="0.3">
      <c r="A41" s="30" t="s">
        <v>149</v>
      </c>
      <c r="B41" s="90" t="s">
        <v>423</v>
      </c>
      <c r="C41" s="91">
        <v>827</v>
      </c>
      <c r="D41" s="91">
        <v>844</v>
      </c>
      <c r="E41" s="91">
        <v>979</v>
      </c>
      <c r="F41" s="91">
        <v>602</v>
      </c>
      <c r="G41" s="91">
        <v>548</v>
      </c>
      <c r="H41" s="91">
        <v>450</v>
      </c>
      <c r="I41" s="91">
        <v>678</v>
      </c>
      <c r="J41" s="91">
        <v>599</v>
      </c>
      <c r="K41" s="91">
        <v>564</v>
      </c>
      <c r="L41" s="91">
        <v>754</v>
      </c>
      <c r="M41" s="92">
        <v>1993</v>
      </c>
      <c r="N41" s="17"/>
      <c r="O41" s="17"/>
      <c r="P41" s="17"/>
      <c r="Q41" s="17"/>
      <c r="R41" s="17"/>
      <c r="S41" s="17"/>
      <c r="T41" s="17"/>
      <c r="U41" s="18"/>
      <c r="V41" s="18"/>
      <c r="W41" s="18"/>
      <c r="X41" s="18"/>
      <c r="Y41" s="18"/>
      <c r="Z41" s="18"/>
      <c r="AA41" s="18"/>
      <c r="AB41" s="18"/>
      <c r="AC41" s="18"/>
      <c r="AD41" s="18"/>
      <c r="AE41" s="85" t="s">
        <v>423</v>
      </c>
      <c r="AF41" s="85">
        <v>0</v>
      </c>
      <c r="AG41" s="85">
        <v>0</v>
      </c>
      <c r="AH41" s="85">
        <v>0</v>
      </c>
      <c r="AI41" s="85">
        <v>0</v>
      </c>
      <c r="AJ41" s="85">
        <v>0</v>
      </c>
      <c r="AK41" s="85">
        <v>0</v>
      </c>
      <c r="AL41" s="85">
        <v>0</v>
      </c>
      <c r="AM41" s="85">
        <v>0</v>
      </c>
      <c r="AN41" s="18"/>
      <c r="AO41" s="18"/>
      <c r="AP41" s="77" t="s">
        <v>423</v>
      </c>
      <c r="AQ41" s="18">
        <v>827</v>
      </c>
      <c r="AR41" s="18">
        <v>844</v>
      </c>
      <c r="AS41" s="18">
        <v>979</v>
      </c>
      <c r="AT41" s="18">
        <v>602</v>
      </c>
      <c r="AU41" s="18">
        <v>548</v>
      </c>
      <c r="AV41" s="18">
        <v>450</v>
      </c>
      <c r="AW41" s="18">
        <v>678</v>
      </c>
      <c r="AX41" s="18">
        <v>599</v>
      </c>
      <c r="AY41" s="18">
        <v>564</v>
      </c>
      <c r="AZ41" s="18">
        <v>754</v>
      </c>
      <c r="BA41" s="78">
        <v>1993</v>
      </c>
      <c r="BB41" s="18"/>
      <c r="BC41" s="18"/>
      <c r="BD41" s="84"/>
      <c r="BE41" s="94"/>
      <c r="BF41" s="103"/>
      <c r="BG41" s="103"/>
      <c r="BH41" s="103"/>
      <c r="BI41" s="80"/>
      <c r="BJ41" s="82"/>
      <c r="BK41" s="18"/>
      <c r="BL41" s="18"/>
      <c r="BM41" s="18"/>
      <c r="BN41" s="18"/>
      <c r="BO41" s="18"/>
      <c r="BP41" s="18"/>
      <c r="BQ41" s="37">
        <v>41152</v>
      </c>
      <c r="BR41" s="38">
        <v>25534.000700000001</v>
      </c>
      <c r="BS41" s="17"/>
      <c r="BT41" s="37">
        <v>41152</v>
      </c>
      <c r="BU41" s="38">
        <v>1753</v>
      </c>
      <c r="BV41" s="18"/>
      <c r="BW41" s="37"/>
      <c r="BX41" s="38"/>
      <c r="BY41" s="18"/>
      <c r="BZ41" s="39">
        <v>41152</v>
      </c>
      <c r="CA41" s="40">
        <v>25534.000700000001</v>
      </c>
      <c r="CB41" s="17"/>
      <c r="CC41" s="39">
        <v>41152</v>
      </c>
      <c r="CD41" s="40">
        <v>17.53</v>
      </c>
      <c r="CE41" s="18"/>
      <c r="CF41" s="18"/>
      <c r="CG41" s="18"/>
      <c r="CH41" s="18"/>
      <c r="CI41" s="18"/>
      <c r="CJ41" s="18"/>
      <c r="CK41" s="18"/>
      <c r="CL41" s="18"/>
      <c r="CM41" s="18"/>
      <c r="CN41" s="37"/>
      <c r="CO41" s="38"/>
      <c r="CP41" s="17"/>
      <c r="CQ41" s="37"/>
      <c r="CR41" s="38"/>
      <c r="CS41" s="18"/>
      <c r="CT41" s="18"/>
      <c r="CU41" s="18"/>
      <c r="CV41" s="18"/>
      <c r="CW41" s="18"/>
      <c r="CX41" s="18"/>
      <c r="CY41" s="37">
        <v>44817</v>
      </c>
      <c r="CZ41" s="38">
        <v>17.405000000000001</v>
      </c>
      <c r="DA41" s="18"/>
      <c r="DB41" s="37">
        <v>43903</v>
      </c>
      <c r="DC41" s="38">
        <v>17.0853</v>
      </c>
      <c r="DD41" s="18"/>
      <c r="DE41" s="37">
        <v>43903</v>
      </c>
      <c r="DF41" s="38">
        <v>16.276</v>
      </c>
      <c r="DG41" s="18"/>
      <c r="DH41" s="37">
        <v>43903</v>
      </c>
      <c r="DI41" s="38">
        <v>19.981400000000001</v>
      </c>
      <c r="DJ41" s="18"/>
      <c r="DK41" s="37">
        <v>43903</v>
      </c>
      <c r="DL41" s="38">
        <v>0.1507</v>
      </c>
      <c r="DM41" s="18"/>
      <c r="DN41" s="18"/>
      <c r="DO41" s="18"/>
      <c r="DP41" s="18"/>
      <c r="DQ41" s="18"/>
      <c r="DR41" s="18"/>
      <c r="DS41" s="18"/>
      <c r="DT41" s="18"/>
      <c r="DU41" s="18"/>
      <c r="DV41" s="18"/>
      <c r="DW41" s="18"/>
      <c r="DX41" s="18"/>
      <c r="DY41" s="18"/>
      <c r="DZ41" s="18"/>
    </row>
    <row r="42" spans="1:130" ht="15" customHeight="1" x14ac:dyDescent="0.3">
      <c r="A42" s="30" t="s">
        <v>185</v>
      </c>
      <c r="B42" s="73" t="s">
        <v>38</v>
      </c>
      <c r="C42" s="74">
        <v>115</v>
      </c>
      <c r="D42" s="74">
        <v>116</v>
      </c>
      <c r="E42" s="74">
        <v>156</v>
      </c>
      <c r="F42" s="74">
        <v>172</v>
      </c>
      <c r="G42" s="74">
        <v>271</v>
      </c>
      <c r="H42" s="74">
        <v>343</v>
      </c>
      <c r="I42" s="74">
        <v>339</v>
      </c>
      <c r="J42" s="74">
        <v>290</v>
      </c>
      <c r="K42" s="74">
        <v>143</v>
      </c>
      <c r="L42" s="74">
        <v>230</v>
      </c>
      <c r="M42" s="75">
        <v>185</v>
      </c>
      <c r="N42" s="17"/>
      <c r="O42" s="17"/>
      <c r="P42" s="17"/>
      <c r="Q42" s="17"/>
      <c r="R42" s="17"/>
      <c r="S42" s="17"/>
      <c r="T42" s="17"/>
      <c r="U42" s="18"/>
      <c r="V42" s="18"/>
      <c r="W42" s="18"/>
      <c r="X42" s="18"/>
      <c r="Y42" s="18"/>
      <c r="Z42" s="18"/>
      <c r="AA42" s="18"/>
      <c r="AB42" s="18"/>
      <c r="AC42" s="18"/>
      <c r="AD42" s="18"/>
      <c r="AE42" s="85"/>
      <c r="AF42" s="85"/>
      <c r="AG42" s="85"/>
      <c r="AH42" s="85"/>
      <c r="AI42" s="85"/>
      <c r="AJ42" s="85"/>
      <c r="AK42" s="85"/>
      <c r="AL42" s="85"/>
      <c r="AM42" s="85"/>
      <c r="AN42" s="18"/>
      <c r="AO42" s="18"/>
      <c r="AP42" s="77"/>
      <c r="AQ42" s="18"/>
      <c r="AR42" s="18"/>
      <c r="AS42" s="18"/>
      <c r="AT42" s="18"/>
      <c r="AU42" s="18"/>
      <c r="AV42" s="18"/>
      <c r="AW42" s="18"/>
      <c r="AX42" s="18"/>
      <c r="AY42" s="18"/>
      <c r="AZ42" s="18"/>
      <c r="BA42" s="78"/>
      <c r="BB42" s="18"/>
      <c r="BC42" s="18"/>
      <c r="BD42" s="84"/>
      <c r="BE42" s="94"/>
      <c r="BF42" s="103"/>
      <c r="BG42" s="103"/>
      <c r="BH42" s="103"/>
      <c r="BI42" s="80"/>
      <c r="BJ42" s="82"/>
      <c r="BK42" s="18"/>
      <c r="BL42" s="18"/>
      <c r="BM42" s="18"/>
      <c r="BN42" s="18"/>
      <c r="BO42" s="18"/>
      <c r="BP42" s="18"/>
      <c r="BQ42" s="37">
        <v>41180</v>
      </c>
      <c r="BR42" s="38">
        <v>26100.9182</v>
      </c>
      <c r="BS42" s="17"/>
      <c r="BT42" s="37">
        <v>41180</v>
      </c>
      <c r="BU42" s="38">
        <v>1790</v>
      </c>
      <c r="BV42" s="18"/>
      <c r="BW42" s="37"/>
      <c r="BX42" s="38"/>
      <c r="BY42" s="18"/>
      <c r="BZ42" s="39">
        <v>41180</v>
      </c>
      <c r="CA42" s="40">
        <v>26100.9182</v>
      </c>
      <c r="CB42" s="17"/>
      <c r="CC42" s="39">
        <v>41180</v>
      </c>
      <c r="CD42" s="40">
        <v>17.900000000000002</v>
      </c>
      <c r="CE42" s="18"/>
      <c r="CF42" s="18"/>
      <c r="CG42" s="18"/>
      <c r="CH42" s="18"/>
      <c r="CI42" s="18"/>
      <c r="CJ42" s="18"/>
      <c r="CK42" s="18"/>
      <c r="CL42" s="18"/>
      <c r="CM42" s="18"/>
      <c r="CN42" s="37"/>
      <c r="CO42" s="38"/>
      <c r="CP42" s="17"/>
      <c r="CQ42" s="37"/>
      <c r="CR42" s="38"/>
      <c r="CS42" s="18"/>
      <c r="CT42" s="18"/>
      <c r="CU42" s="18"/>
      <c r="CV42" s="18"/>
      <c r="CW42" s="18"/>
      <c r="CX42" s="18"/>
      <c r="CY42" s="37">
        <v>44818</v>
      </c>
      <c r="CZ42" s="38">
        <v>17.444700000000001</v>
      </c>
      <c r="DA42" s="18"/>
      <c r="DB42" s="37">
        <v>43906</v>
      </c>
      <c r="DC42" s="38">
        <v>17.641200000000001</v>
      </c>
      <c r="DD42" s="18"/>
      <c r="DE42" s="37">
        <v>43906</v>
      </c>
      <c r="DF42" s="38">
        <v>16.704499999999999</v>
      </c>
      <c r="DG42" s="18"/>
      <c r="DH42" s="37">
        <v>43906</v>
      </c>
      <c r="DI42" s="38">
        <v>20.488700000000001</v>
      </c>
      <c r="DJ42" s="18"/>
      <c r="DK42" s="37">
        <v>43906</v>
      </c>
      <c r="DL42" s="38">
        <v>0.15770000000000001</v>
      </c>
      <c r="DM42" s="18"/>
      <c r="DN42" s="18"/>
      <c r="DO42" s="18"/>
      <c r="DP42" s="18"/>
      <c r="DQ42" s="18"/>
      <c r="DR42" s="18"/>
      <c r="DS42" s="18"/>
      <c r="DT42" s="18"/>
      <c r="DU42" s="18"/>
      <c r="DV42" s="18"/>
      <c r="DW42" s="18"/>
      <c r="DX42" s="18"/>
      <c r="DY42" s="18"/>
      <c r="DZ42" s="18"/>
    </row>
    <row r="43" spans="1:130" ht="15" customHeight="1" x14ac:dyDescent="0.3">
      <c r="A43" s="30" t="s">
        <v>347</v>
      </c>
      <c r="B43" s="73" t="s">
        <v>188</v>
      </c>
      <c r="C43" s="74" t="s">
        <v>615</v>
      </c>
      <c r="D43" s="74" t="s">
        <v>615</v>
      </c>
      <c r="E43" s="74" t="s">
        <v>615</v>
      </c>
      <c r="F43" s="74">
        <v>-128</v>
      </c>
      <c r="G43" s="74" t="s">
        <v>615</v>
      </c>
      <c r="H43" s="74" t="s">
        <v>615</v>
      </c>
      <c r="I43" s="74" t="s">
        <v>615</v>
      </c>
      <c r="J43" s="74" t="s">
        <v>615</v>
      </c>
      <c r="K43" s="74" t="s">
        <v>615</v>
      </c>
      <c r="L43" s="74" t="s">
        <v>615</v>
      </c>
      <c r="M43" s="75" t="s">
        <v>615</v>
      </c>
      <c r="N43" s="17"/>
      <c r="O43" s="17"/>
      <c r="P43" s="17"/>
      <c r="Q43" s="17"/>
      <c r="R43" s="17"/>
      <c r="S43" s="17"/>
      <c r="T43" s="17"/>
      <c r="U43" s="18"/>
      <c r="V43" s="18"/>
      <c r="W43" s="18"/>
      <c r="X43" s="18"/>
      <c r="Y43" s="18"/>
      <c r="Z43" s="18"/>
      <c r="AA43" s="18"/>
      <c r="AB43" s="18"/>
      <c r="AC43" s="18"/>
      <c r="AD43" s="18"/>
      <c r="AE43" s="85" t="s">
        <v>188</v>
      </c>
      <c r="AF43" s="85" t="e">
        <v>#VALUE!</v>
      </c>
      <c r="AG43" s="85" t="e">
        <v>#VALUE!</v>
      </c>
      <c r="AH43" s="85" t="e">
        <v>#VALUE!</v>
      </c>
      <c r="AI43" s="85">
        <v>0</v>
      </c>
      <c r="AJ43" s="85" t="e">
        <v>#VALUE!</v>
      </c>
      <c r="AK43" s="85" t="e">
        <v>#VALUE!</v>
      </c>
      <c r="AL43" s="85" t="e">
        <v>#VALUE!</v>
      </c>
      <c r="AM43" s="85" t="e">
        <v>#VALUE!</v>
      </c>
      <c r="AN43" s="18"/>
      <c r="AO43" s="18"/>
      <c r="AP43" s="77" t="s">
        <v>188</v>
      </c>
      <c r="AQ43" s="18">
        <v>0</v>
      </c>
      <c r="AR43" s="18">
        <v>0</v>
      </c>
      <c r="AS43" s="18">
        <v>0</v>
      </c>
      <c r="AT43" s="18">
        <v>-128</v>
      </c>
      <c r="AU43" s="18">
        <v>0</v>
      </c>
      <c r="AV43" s="18">
        <v>0</v>
      </c>
      <c r="AW43" s="18">
        <v>0</v>
      </c>
      <c r="AX43" s="18">
        <v>0</v>
      </c>
      <c r="AY43" s="18">
        <v>0</v>
      </c>
      <c r="AZ43" s="18">
        <v>0</v>
      </c>
      <c r="BA43" s="78">
        <v>0</v>
      </c>
      <c r="BB43" s="18"/>
      <c r="BC43" s="18"/>
      <c r="BD43" s="84"/>
      <c r="BE43" s="94"/>
      <c r="BF43" s="103"/>
      <c r="BG43" s="103"/>
      <c r="BH43" s="103"/>
      <c r="BI43" s="80"/>
      <c r="BJ43" s="82"/>
      <c r="BK43" s="18"/>
      <c r="BL43" s="18"/>
      <c r="BM43" s="18"/>
      <c r="BN43" s="18"/>
      <c r="BO43" s="18"/>
      <c r="BP43" s="18"/>
      <c r="BQ43" s="37">
        <v>41213</v>
      </c>
      <c r="BR43" s="38">
        <v>26270.613300000001</v>
      </c>
      <c r="BS43" s="17"/>
      <c r="BT43" s="37">
        <v>41213</v>
      </c>
      <c r="BU43" s="38">
        <v>1800</v>
      </c>
      <c r="BV43" s="18"/>
      <c r="BW43" s="37"/>
      <c r="BX43" s="38"/>
      <c r="BY43" s="18"/>
      <c r="BZ43" s="39">
        <v>41213</v>
      </c>
      <c r="CA43" s="40">
        <v>26270.613300000001</v>
      </c>
      <c r="CB43" s="17"/>
      <c r="CC43" s="39">
        <v>41213</v>
      </c>
      <c r="CD43" s="40">
        <v>18</v>
      </c>
      <c r="CE43" s="18"/>
      <c r="CF43" s="18"/>
      <c r="CG43" s="18"/>
      <c r="CH43" s="18"/>
      <c r="CI43" s="18"/>
      <c r="CJ43" s="18"/>
      <c r="CK43" s="18"/>
      <c r="CL43" s="18"/>
      <c r="CM43" s="18"/>
      <c r="CN43" s="37"/>
      <c r="CO43" s="38"/>
      <c r="CP43" s="17"/>
      <c r="CQ43" s="37"/>
      <c r="CR43" s="38"/>
      <c r="CS43" s="18"/>
      <c r="CT43" s="18"/>
      <c r="CU43" s="18"/>
      <c r="CV43" s="18"/>
      <c r="CW43" s="18"/>
      <c r="CX43" s="18"/>
      <c r="CY43" s="37">
        <v>44819</v>
      </c>
      <c r="CZ43" s="38">
        <v>17.569099999999999</v>
      </c>
      <c r="DA43" s="18"/>
      <c r="DB43" s="37">
        <v>43907</v>
      </c>
      <c r="DC43" s="38">
        <v>17.2727</v>
      </c>
      <c r="DD43" s="18"/>
      <c r="DE43" s="37">
        <v>43907</v>
      </c>
      <c r="DF43" s="38">
        <v>16.6205</v>
      </c>
      <c r="DG43" s="18"/>
      <c r="DH43" s="37">
        <v>43907</v>
      </c>
      <c r="DI43" s="38">
        <v>20.008400000000002</v>
      </c>
      <c r="DJ43" s="18"/>
      <c r="DK43" s="37">
        <v>43907</v>
      </c>
      <c r="DL43" s="38">
        <v>0.1542</v>
      </c>
      <c r="DM43" s="18"/>
      <c r="DN43" s="18"/>
      <c r="DO43" s="18"/>
      <c r="DP43" s="18"/>
      <c r="DQ43" s="18"/>
      <c r="DR43" s="18"/>
      <c r="DS43" s="18"/>
      <c r="DT43" s="18"/>
      <c r="DU43" s="18"/>
      <c r="DV43" s="18"/>
      <c r="DW43" s="18"/>
      <c r="DX43" s="18"/>
      <c r="DY43" s="18"/>
      <c r="DZ43" s="18"/>
    </row>
    <row r="44" spans="1:130" ht="15" customHeight="1" thickBot="1" x14ac:dyDescent="0.35">
      <c r="A44" s="30" t="s">
        <v>162</v>
      </c>
      <c r="B44" s="73" t="s">
        <v>435</v>
      </c>
      <c r="C44" s="74">
        <v>-79</v>
      </c>
      <c r="D44" s="74">
        <v>56</v>
      </c>
      <c r="E44" s="74">
        <v>-142</v>
      </c>
      <c r="F44" s="74">
        <v>-191</v>
      </c>
      <c r="G44" s="74">
        <v>-294</v>
      </c>
      <c r="H44" s="74">
        <v>-396</v>
      </c>
      <c r="I44" s="74">
        <v>1586</v>
      </c>
      <c r="J44" s="74">
        <v>-246</v>
      </c>
      <c r="K44" s="74">
        <v>-208</v>
      </c>
      <c r="L44" s="74">
        <v>-190</v>
      </c>
      <c r="M44" s="75">
        <v>2775</v>
      </c>
      <c r="N44" s="17"/>
      <c r="O44" s="17"/>
      <c r="P44" s="17"/>
      <c r="Q44" s="17"/>
      <c r="R44" s="17"/>
      <c r="S44" s="17"/>
      <c r="T44" s="17"/>
      <c r="U44" s="18"/>
      <c r="V44" s="18"/>
      <c r="W44" s="18"/>
      <c r="X44" s="18"/>
      <c r="Y44" s="18"/>
      <c r="Z44" s="18"/>
      <c r="AA44" s="18"/>
      <c r="AB44" s="18"/>
      <c r="AC44" s="18"/>
      <c r="AD44" s="18"/>
      <c r="AE44" s="85" t="s">
        <v>435</v>
      </c>
      <c r="AF44" s="85">
        <v>0</v>
      </c>
      <c r="AG44" s="85">
        <v>0</v>
      </c>
      <c r="AH44" s="85">
        <v>0</v>
      </c>
      <c r="AI44" s="85">
        <v>0</v>
      </c>
      <c r="AJ44" s="85">
        <v>0</v>
      </c>
      <c r="AK44" s="85">
        <v>0</v>
      </c>
      <c r="AL44" s="85">
        <v>0</v>
      </c>
      <c r="AM44" s="85">
        <v>0</v>
      </c>
      <c r="AN44" s="18"/>
      <c r="AO44" s="18"/>
      <c r="AP44" s="104" t="s">
        <v>435</v>
      </c>
      <c r="AQ44" s="86">
        <v>-79</v>
      </c>
      <c r="AR44" s="86">
        <v>56</v>
      </c>
      <c r="AS44" s="86">
        <v>-142</v>
      </c>
      <c r="AT44" s="86">
        <v>-191</v>
      </c>
      <c r="AU44" s="86">
        <v>-294</v>
      </c>
      <c r="AV44" s="86">
        <v>-396</v>
      </c>
      <c r="AW44" s="86">
        <v>1586</v>
      </c>
      <c r="AX44" s="86">
        <v>-246</v>
      </c>
      <c r="AY44" s="86">
        <v>-208</v>
      </c>
      <c r="AZ44" s="86">
        <v>-190</v>
      </c>
      <c r="BA44" s="87">
        <v>2775</v>
      </c>
      <c r="BB44" s="18"/>
      <c r="BC44" s="18"/>
      <c r="BD44" s="84"/>
      <c r="BE44" s="94"/>
      <c r="BF44" s="103"/>
      <c r="BG44" s="103"/>
      <c r="BH44" s="103"/>
      <c r="BI44" s="80"/>
      <c r="BJ44" s="82"/>
      <c r="BK44" s="18"/>
      <c r="BL44" s="18"/>
      <c r="BM44" s="18"/>
      <c r="BN44" s="18"/>
      <c r="BO44" s="18"/>
      <c r="BP44" s="18"/>
      <c r="BQ44" s="37">
        <v>41243</v>
      </c>
      <c r="BR44" s="38">
        <v>25818.174900000002</v>
      </c>
      <c r="BS44" s="17"/>
      <c r="BT44" s="37">
        <v>41243</v>
      </c>
      <c r="BU44" s="38">
        <v>1769</v>
      </c>
      <c r="BV44" s="18"/>
      <c r="BW44" s="37"/>
      <c r="BX44" s="38"/>
      <c r="BY44" s="18"/>
      <c r="BZ44" s="39">
        <v>41243</v>
      </c>
      <c r="CA44" s="40">
        <v>25818.174900000002</v>
      </c>
      <c r="CB44" s="17"/>
      <c r="CC44" s="39">
        <v>41243</v>
      </c>
      <c r="CD44" s="40">
        <v>17.690000000000001</v>
      </c>
      <c r="CE44" s="18"/>
      <c r="CF44" s="18"/>
      <c r="CG44" s="18"/>
      <c r="CH44" s="18"/>
      <c r="CI44" s="18"/>
      <c r="CJ44" s="18"/>
      <c r="CK44" s="18"/>
      <c r="CL44" s="18"/>
      <c r="CM44" s="18"/>
      <c r="CN44" s="37"/>
      <c r="CO44" s="38"/>
      <c r="CP44" s="17"/>
      <c r="CQ44" s="37"/>
      <c r="CR44" s="38"/>
      <c r="CS44" s="18"/>
      <c r="CT44" s="18"/>
      <c r="CU44" s="18"/>
      <c r="CV44" s="18"/>
      <c r="CW44" s="18"/>
      <c r="CX44" s="18"/>
      <c r="CY44" s="37">
        <v>44820</v>
      </c>
      <c r="CZ44" s="38">
        <v>17.641300000000001</v>
      </c>
      <c r="DA44" s="18"/>
      <c r="DB44" s="37">
        <v>43908</v>
      </c>
      <c r="DC44" s="38">
        <v>17.654299999999999</v>
      </c>
      <c r="DD44" s="18"/>
      <c r="DE44" s="37">
        <v>43908</v>
      </c>
      <c r="DF44" s="38">
        <v>17.095400000000001</v>
      </c>
      <c r="DG44" s="18"/>
      <c r="DH44" s="37">
        <v>43908</v>
      </c>
      <c r="DI44" s="38">
        <v>19.875599999999999</v>
      </c>
      <c r="DJ44" s="18"/>
      <c r="DK44" s="37">
        <v>43908</v>
      </c>
      <c r="DL44" s="38">
        <v>0.15820000000000001</v>
      </c>
      <c r="DM44" s="18"/>
      <c r="DN44" s="18"/>
      <c r="DO44" s="18"/>
      <c r="DP44" s="18"/>
      <c r="DQ44" s="18"/>
      <c r="DR44" s="18"/>
      <c r="DS44" s="18"/>
      <c r="DT44" s="18"/>
      <c r="DU44" s="18"/>
      <c r="DV44" s="18"/>
      <c r="DW44" s="18"/>
      <c r="DX44" s="18"/>
      <c r="DY44" s="18"/>
      <c r="DZ44" s="18"/>
    </row>
    <row r="45" spans="1:130" ht="15" customHeight="1" x14ac:dyDescent="0.3">
      <c r="A45" s="30" t="s">
        <v>150</v>
      </c>
      <c r="B45" s="90" t="s">
        <v>436</v>
      </c>
      <c r="C45" s="91">
        <v>1534</v>
      </c>
      <c r="D45" s="91">
        <v>1176</v>
      </c>
      <c r="E45" s="91">
        <v>730</v>
      </c>
      <c r="F45" s="91">
        <v>3357</v>
      </c>
      <c r="G45" s="91">
        <v>1688</v>
      </c>
      <c r="H45" s="91">
        <v>3480</v>
      </c>
      <c r="I45" s="91">
        <v>1884</v>
      </c>
      <c r="J45" s="91">
        <v>3375</v>
      </c>
      <c r="K45" s="91">
        <v>2897</v>
      </c>
      <c r="L45" s="91">
        <v>5690</v>
      </c>
      <c r="M45" s="92">
        <v>-11729</v>
      </c>
      <c r="N45" s="17"/>
      <c r="O45" s="17"/>
      <c r="P45" s="17"/>
      <c r="Q45" s="17"/>
      <c r="R45" s="17"/>
      <c r="S45" s="17"/>
      <c r="T45" s="17"/>
      <c r="U45" s="18"/>
      <c r="V45" s="18"/>
      <c r="W45" s="18"/>
      <c r="X45" s="18"/>
      <c r="Y45" s="18"/>
      <c r="Z45" s="18"/>
      <c r="AA45" s="18"/>
      <c r="AB45" s="18"/>
      <c r="AC45" s="18"/>
      <c r="AD45" s="18"/>
      <c r="AE45" s="85" t="s">
        <v>436</v>
      </c>
      <c r="AF45" s="85">
        <v>0</v>
      </c>
      <c r="AG45" s="85">
        <v>0</v>
      </c>
      <c r="AH45" s="85">
        <v>0</v>
      </c>
      <c r="AI45" s="85">
        <v>0</v>
      </c>
      <c r="AJ45" s="85">
        <v>0</v>
      </c>
      <c r="AK45" s="85">
        <v>0</v>
      </c>
      <c r="AL45" s="85">
        <v>0</v>
      </c>
      <c r="AM45" s="85">
        <v>0</v>
      </c>
      <c r="AN45" s="18"/>
      <c r="AO45" s="18"/>
      <c r="AP45" s="77" t="s">
        <v>436</v>
      </c>
      <c r="AQ45" s="18">
        <v>1534</v>
      </c>
      <c r="AR45" s="18">
        <v>1176</v>
      </c>
      <c r="AS45" s="18">
        <v>730</v>
      </c>
      <c r="AT45" s="18">
        <v>3357</v>
      </c>
      <c r="AU45" s="18">
        <v>1688</v>
      </c>
      <c r="AV45" s="18">
        <v>3480</v>
      </c>
      <c r="AW45" s="18">
        <v>1884</v>
      </c>
      <c r="AX45" s="18">
        <v>3375</v>
      </c>
      <c r="AY45" s="18">
        <v>2897</v>
      </c>
      <c r="AZ45" s="18">
        <v>5690</v>
      </c>
      <c r="BA45" s="78">
        <v>-11729</v>
      </c>
      <c r="BB45" s="18"/>
      <c r="BC45" s="18"/>
      <c r="BD45" s="84"/>
      <c r="BE45" s="94"/>
      <c r="BF45" s="103"/>
      <c r="BG45" s="103"/>
      <c r="BH45" s="103"/>
      <c r="BI45" s="80"/>
      <c r="BJ45" s="82"/>
      <c r="BK45" s="18"/>
      <c r="BL45" s="18"/>
      <c r="BM45" s="18"/>
      <c r="BN45" s="18"/>
      <c r="BO45" s="18"/>
      <c r="BP45" s="18"/>
      <c r="BQ45" s="37">
        <v>41274</v>
      </c>
      <c r="BR45" s="38">
        <v>28814.928400000001</v>
      </c>
      <c r="BS45" s="17"/>
      <c r="BT45" s="37">
        <v>41274</v>
      </c>
      <c r="BU45" s="38">
        <v>1965</v>
      </c>
      <c r="BV45" s="18"/>
      <c r="BW45" s="37"/>
      <c r="BX45" s="38"/>
      <c r="BY45" s="18"/>
      <c r="BZ45" s="39">
        <v>41274</v>
      </c>
      <c r="CA45" s="40">
        <v>28814.928400000001</v>
      </c>
      <c r="CB45" s="17"/>
      <c r="CC45" s="39">
        <v>41274</v>
      </c>
      <c r="CD45" s="40">
        <v>19.650000000000002</v>
      </c>
      <c r="CE45" s="18"/>
      <c r="CF45" s="18"/>
      <c r="CG45" s="18"/>
      <c r="CH45" s="18"/>
      <c r="CI45" s="18"/>
      <c r="CJ45" s="18"/>
      <c r="CK45" s="18"/>
      <c r="CL45" s="18"/>
      <c r="CM45" s="18"/>
      <c r="CN45" s="17"/>
      <c r="CO45" s="17"/>
      <c r="CP45" s="17"/>
      <c r="CQ45" s="18"/>
      <c r="CR45" s="18"/>
      <c r="CS45" s="18"/>
      <c r="CT45" s="18"/>
      <c r="CU45" s="18"/>
      <c r="CV45" s="18"/>
      <c r="CW45" s="18"/>
      <c r="CX45" s="18"/>
      <c r="CY45" s="37">
        <v>44823</v>
      </c>
      <c r="CZ45" s="38">
        <v>17.724299999999999</v>
      </c>
      <c r="DA45" s="18"/>
      <c r="DB45" s="37">
        <v>43909</v>
      </c>
      <c r="DC45" s="38">
        <v>17.714300000000001</v>
      </c>
      <c r="DD45" s="18"/>
      <c r="DE45" s="37">
        <v>43909</v>
      </c>
      <c r="DF45" s="38">
        <v>17.466899999999999</v>
      </c>
      <c r="DG45" s="18"/>
      <c r="DH45" s="37">
        <v>43909</v>
      </c>
      <c r="DI45" s="38">
        <v>20.062000000000001</v>
      </c>
      <c r="DJ45" s="18"/>
      <c r="DK45" s="37">
        <v>43909</v>
      </c>
      <c r="DL45" s="38">
        <v>0.1578</v>
      </c>
      <c r="DM45" s="18"/>
      <c r="DN45" s="18"/>
      <c r="DO45" s="18"/>
      <c r="DP45" s="18"/>
      <c r="DQ45" s="18"/>
      <c r="DR45" s="18"/>
      <c r="DS45" s="18"/>
      <c r="DT45" s="18"/>
      <c r="DU45" s="18"/>
      <c r="DV45" s="18"/>
      <c r="DW45" s="18"/>
      <c r="DX45" s="18"/>
      <c r="DY45" s="18"/>
      <c r="DZ45" s="18"/>
    </row>
    <row r="46" spans="1:130" ht="15" customHeight="1" x14ac:dyDescent="0.3">
      <c r="A46" s="30" t="s">
        <v>151</v>
      </c>
      <c r="B46" s="73" t="s">
        <v>437</v>
      </c>
      <c r="C46" s="74">
        <v>484</v>
      </c>
      <c r="D46" s="74">
        <v>416</v>
      </c>
      <c r="E46" s="74">
        <v>291</v>
      </c>
      <c r="F46" s="74">
        <v>879</v>
      </c>
      <c r="G46" s="74">
        <v>682</v>
      </c>
      <c r="H46" s="74">
        <v>942</v>
      </c>
      <c r="I46" s="74">
        <v>836</v>
      </c>
      <c r="J46" s="74">
        <v>936</v>
      </c>
      <c r="K46" s="74">
        <v>801</v>
      </c>
      <c r="L46" s="74">
        <v>640</v>
      </c>
      <c r="M46" s="75">
        <v>-2016</v>
      </c>
      <c r="N46" s="17"/>
      <c r="O46" s="17"/>
      <c r="P46" s="17"/>
      <c r="Q46" s="17"/>
      <c r="R46" s="17"/>
      <c r="S46" s="17"/>
      <c r="T46" s="17"/>
      <c r="U46" s="18"/>
      <c r="V46" s="18"/>
      <c r="W46" s="18"/>
      <c r="X46" s="18"/>
      <c r="Y46" s="18"/>
      <c r="Z46" s="18"/>
      <c r="AA46" s="18"/>
      <c r="AB46" s="18"/>
      <c r="AC46" s="18"/>
      <c r="AD46" s="18"/>
      <c r="AE46" s="85" t="s">
        <v>437</v>
      </c>
      <c r="AF46" s="85">
        <v>0</v>
      </c>
      <c r="AG46" s="85">
        <v>0</v>
      </c>
      <c r="AH46" s="85">
        <v>0</v>
      </c>
      <c r="AI46" s="85">
        <v>0</v>
      </c>
      <c r="AJ46" s="85">
        <v>0</v>
      </c>
      <c r="AK46" s="85">
        <v>0</v>
      </c>
      <c r="AL46" s="85">
        <v>0</v>
      </c>
      <c r="AM46" s="85">
        <v>0</v>
      </c>
      <c r="AN46" s="18"/>
      <c r="AO46" s="18"/>
      <c r="AP46" s="77" t="s">
        <v>437</v>
      </c>
      <c r="AQ46" s="18">
        <v>484</v>
      </c>
      <c r="AR46" s="18">
        <v>416</v>
      </c>
      <c r="AS46" s="18">
        <v>291</v>
      </c>
      <c r="AT46" s="18">
        <v>879</v>
      </c>
      <c r="AU46" s="18">
        <v>682</v>
      </c>
      <c r="AV46" s="18">
        <v>942</v>
      </c>
      <c r="AW46" s="18">
        <v>836</v>
      </c>
      <c r="AX46" s="18">
        <v>936</v>
      </c>
      <c r="AY46" s="18">
        <v>801</v>
      </c>
      <c r="AZ46" s="18">
        <v>640</v>
      </c>
      <c r="BA46" s="78">
        <v>-2016</v>
      </c>
      <c r="BB46" s="18"/>
      <c r="BC46" s="18"/>
      <c r="BD46" s="84"/>
      <c r="BE46" s="18"/>
      <c r="BF46" s="103"/>
      <c r="BG46" s="103"/>
      <c r="BH46" s="103"/>
      <c r="BI46" s="80"/>
      <c r="BJ46" s="82"/>
      <c r="BK46" s="18"/>
      <c r="BL46" s="18"/>
      <c r="BM46" s="18"/>
      <c r="BN46" s="18"/>
      <c r="BO46" s="18"/>
      <c r="BP46" s="18"/>
      <c r="BQ46" s="37">
        <v>41305</v>
      </c>
      <c r="BR46" s="38">
        <v>28757.578399999999</v>
      </c>
      <c r="BS46" s="17"/>
      <c r="BT46" s="37">
        <v>41305</v>
      </c>
      <c r="BU46" s="38">
        <v>1960</v>
      </c>
      <c r="BV46" s="18"/>
      <c r="BW46" s="37"/>
      <c r="BX46" s="38"/>
      <c r="BY46" s="18"/>
      <c r="BZ46" s="39">
        <v>41305</v>
      </c>
      <c r="CA46" s="40">
        <v>28757.578399999999</v>
      </c>
      <c r="CB46" s="17"/>
      <c r="CC46" s="39">
        <v>41305</v>
      </c>
      <c r="CD46" s="40">
        <v>19.600000000000001</v>
      </c>
      <c r="CE46" s="18"/>
      <c r="CF46" s="18"/>
      <c r="CG46" s="18"/>
      <c r="CH46" s="18"/>
      <c r="CI46" s="18"/>
      <c r="CJ46" s="18"/>
      <c r="CK46" s="18"/>
      <c r="CL46" s="18"/>
      <c r="CM46" s="18"/>
      <c r="CN46" s="17"/>
      <c r="CO46" s="17"/>
      <c r="CP46" s="17"/>
      <c r="CQ46" s="18"/>
      <c r="CR46" s="18"/>
      <c r="CS46" s="18"/>
      <c r="CT46" s="18"/>
      <c r="CU46" s="18"/>
      <c r="CV46" s="18"/>
      <c r="CW46" s="18"/>
      <c r="CX46" s="18"/>
      <c r="CY46" s="37">
        <v>44824</v>
      </c>
      <c r="CZ46" s="38">
        <v>17.662299999999998</v>
      </c>
      <c r="DA46" s="18"/>
      <c r="DB46" s="37">
        <v>43910</v>
      </c>
      <c r="DC46" s="38">
        <v>17.837499999999999</v>
      </c>
      <c r="DD46" s="18"/>
      <c r="DE46" s="37">
        <v>43910</v>
      </c>
      <c r="DF46" s="38">
        <v>17.6099</v>
      </c>
      <c r="DG46" s="18"/>
      <c r="DH46" s="37">
        <v>43910</v>
      </c>
      <c r="DI46" s="38">
        <v>20.4861</v>
      </c>
      <c r="DJ46" s="18"/>
      <c r="DK46" s="37">
        <v>43910</v>
      </c>
      <c r="DL46" s="38">
        <v>0.1588</v>
      </c>
      <c r="DM46" s="18"/>
      <c r="DN46" s="18"/>
      <c r="DO46" s="18"/>
      <c r="DP46" s="18"/>
      <c r="DQ46" s="18"/>
      <c r="DR46" s="18"/>
      <c r="DS46" s="18"/>
      <c r="DT46" s="18"/>
      <c r="DU46" s="18"/>
      <c r="DV46" s="18"/>
      <c r="DW46" s="18"/>
      <c r="DX46" s="18"/>
      <c r="DY46" s="18"/>
      <c r="DZ46" s="18"/>
    </row>
    <row r="47" spans="1:130" ht="15" customHeight="1" x14ac:dyDescent="0.3">
      <c r="A47" s="30" t="s">
        <v>348</v>
      </c>
      <c r="B47" s="73" t="s">
        <v>189</v>
      </c>
      <c r="C47" s="74">
        <v>1050</v>
      </c>
      <c r="D47" s="74">
        <v>760</v>
      </c>
      <c r="E47" s="74">
        <v>439</v>
      </c>
      <c r="F47" s="74">
        <v>2478</v>
      </c>
      <c r="G47" s="74">
        <v>1006</v>
      </c>
      <c r="H47" s="74">
        <v>2538</v>
      </c>
      <c r="I47" s="74">
        <v>1048</v>
      </c>
      <c r="J47" s="74">
        <v>2439</v>
      </c>
      <c r="K47" s="74">
        <v>2096</v>
      </c>
      <c r="L47" s="74">
        <v>5050</v>
      </c>
      <c r="M47" s="75">
        <v>-9713</v>
      </c>
      <c r="N47" s="17"/>
      <c r="O47" s="17"/>
      <c r="P47" s="17"/>
      <c r="Q47" s="17"/>
      <c r="R47" s="17"/>
      <c r="S47" s="17"/>
      <c r="T47" s="17"/>
      <c r="U47" s="18"/>
      <c r="V47" s="18"/>
      <c r="W47" s="18"/>
      <c r="X47" s="18"/>
      <c r="Y47" s="18"/>
      <c r="Z47" s="18"/>
      <c r="AA47" s="18"/>
      <c r="AB47" s="18"/>
      <c r="AC47" s="18"/>
      <c r="AD47" s="18"/>
      <c r="AE47" s="85" t="s">
        <v>189</v>
      </c>
      <c r="AF47" s="85">
        <v>0</v>
      </c>
      <c r="AG47" s="85">
        <v>0</v>
      </c>
      <c r="AH47" s="85">
        <v>0</v>
      </c>
      <c r="AI47" s="85">
        <v>0</v>
      </c>
      <c r="AJ47" s="85">
        <v>0</v>
      </c>
      <c r="AK47" s="85">
        <v>0</v>
      </c>
      <c r="AL47" s="85">
        <v>0</v>
      </c>
      <c r="AM47" s="85">
        <v>0</v>
      </c>
      <c r="AN47" s="18"/>
      <c r="AO47" s="18"/>
      <c r="AP47" s="77" t="s">
        <v>189</v>
      </c>
      <c r="AQ47" s="18">
        <v>1050</v>
      </c>
      <c r="AR47" s="18">
        <v>760</v>
      </c>
      <c r="AS47" s="18">
        <v>439</v>
      </c>
      <c r="AT47" s="18">
        <v>2478</v>
      </c>
      <c r="AU47" s="18">
        <v>1006</v>
      </c>
      <c r="AV47" s="18">
        <v>2538</v>
      </c>
      <c r="AW47" s="18">
        <v>1048</v>
      </c>
      <c r="AX47" s="18">
        <v>2439</v>
      </c>
      <c r="AY47" s="18">
        <v>2096</v>
      </c>
      <c r="AZ47" s="18">
        <v>5050</v>
      </c>
      <c r="BA47" s="78">
        <v>-9713</v>
      </c>
      <c r="BB47" s="18"/>
      <c r="BC47" s="18"/>
      <c r="BD47" s="84"/>
      <c r="BE47" s="18"/>
      <c r="BF47" s="103"/>
      <c r="BG47" s="103"/>
      <c r="BH47" s="103"/>
      <c r="BI47" s="80"/>
      <c r="BJ47" s="82"/>
      <c r="BK47" s="18"/>
      <c r="BL47" s="18"/>
      <c r="BM47" s="18"/>
      <c r="BN47" s="18"/>
      <c r="BO47" s="18"/>
      <c r="BP47" s="18"/>
      <c r="BQ47" s="37">
        <v>41333</v>
      </c>
      <c r="BR47" s="38">
        <v>29344.467799999999</v>
      </c>
      <c r="BS47" s="17"/>
      <c r="BT47" s="37">
        <v>41333</v>
      </c>
      <c r="BU47" s="38">
        <v>2000</v>
      </c>
      <c r="BV47" s="18"/>
      <c r="BW47" s="37"/>
      <c r="BX47" s="38"/>
      <c r="BY47" s="18"/>
      <c r="BZ47" s="39">
        <v>41333</v>
      </c>
      <c r="CA47" s="40">
        <v>29344.467799999999</v>
      </c>
      <c r="CB47" s="17"/>
      <c r="CC47" s="39">
        <v>41333</v>
      </c>
      <c r="CD47" s="40">
        <v>20</v>
      </c>
      <c r="CE47" s="18"/>
      <c r="CF47" s="18"/>
      <c r="CG47" s="18"/>
      <c r="CH47" s="18"/>
      <c r="CI47" s="18"/>
      <c r="CJ47" s="18"/>
      <c r="CK47" s="18"/>
      <c r="CL47" s="18"/>
      <c r="CM47" s="18"/>
      <c r="CN47" s="17"/>
      <c r="CO47" s="17"/>
      <c r="CP47" s="17"/>
      <c r="CQ47" s="18"/>
      <c r="CR47" s="18"/>
      <c r="CS47" s="18"/>
      <c r="CT47" s="18"/>
      <c r="CU47" s="18"/>
      <c r="CV47" s="18"/>
      <c r="CW47" s="18"/>
      <c r="CX47" s="18"/>
      <c r="CY47" s="37">
        <v>44825</v>
      </c>
      <c r="CZ47" s="38">
        <v>17.451499999999999</v>
      </c>
      <c r="DA47" s="18"/>
      <c r="DB47" s="37">
        <v>43913</v>
      </c>
      <c r="DC47" s="38">
        <v>18.1126</v>
      </c>
      <c r="DD47" s="18"/>
      <c r="DE47" s="37">
        <v>43913</v>
      </c>
      <c r="DF47" s="38">
        <v>17.8369</v>
      </c>
      <c r="DG47" s="18"/>
      <c r="DH47" s="37">
        <v>43913</v>
      </c>
      <c r="DI47" s="38">
        <v>20.5931</v>
      </c>
      <c r="DJ47" s="18"/>
      <c r="DK47" s="37">
        <v>43913</v>
      </c>
      <c r="DL47" s="38">
        <v>0.16039999999999999</v>
      </c>
      <c r="DM47" s="18"/>
      <c r="DN47" s="18"/>
      <c r="DO47" s="18"/>
      <c r="DP47" s="18"/>
      <c r="DQ47" s="18"/>
      <c r="DR47" s="18"/>
      <c r="DS47" s="18"/>
      <c r="DT47" s="18"/>
      <c r="DU47" s="18"/>
      <c r="DV47" s="18"/>
      <c r="DW47" s="18"/>
      <c r="DX47" s="18"/>
      <c r="DY47" s="18"/>
      <c r="DZ47" s="18"/>
    </row>
    <row r="48" spans="1:130" ht="15" customHeight="1" x14ac:dyDescent="0.3">
      <c r="A48" s="30" t="s">
        <v>160</v>
      </c>
      <c r="B48" s="73" t="s">
        <v>438</v>
      </c>
      <c r="C48" s="74" t="s">
        <v>615</v>
      </c>
      <c r="D48" s="74" t="s">
        <v>615</v>
      </c>
      <c r="E48" s="74" t="s">
        <v>615</v>
      </c>
      <c r="F48" s="74" t="s">
        <v>615</v>
      </c>
      <c r="G48" s="74">
        <v>-3738</v>
      </c>
      <c r="H48" s="74">
        <v>5267</v>
      </c>
      <c r="I48" s="74" t="s">
        <v>615</v>
      </c>
      <c r="J48" s="74" t="s">
        <v>615</v>
      </c>
      <c r="K48" s="74" t="s">
        <v>615</v>
      </c>
      <c r="L48" s="74" t="s">
        <v>615</v>
      </c>
      <c r="M48" s="75">
        <v>-413</v>
      </c>
      <c r="N48" s="17"/>
      <c r="O48" s="17"/>
      <c r="P48" s="17"/>
      <c r="Q48" s="17"/>
      <c r="R48" s="17"/>
      <c r="S48" s="17"/>
      <c r="T48" s="17"/>
      <c r="U48" s="18"/>
      <c r="V48" s="18"/>
      <c r="W48" s="18"/>
      <c r="X48" s="18"/>
      <c r="Y48" s="18"/>
      <c r="Z48" s="18"/>
      <c r="AA48" s="18"/>
      <c r="AB48" s="18"/>
      <c r="AC48" s="18"/>
      <c r="AD48" s="18"/>
      <c r="AE48" s="85" t="s">
        <v>438</v>
      </c>
      <c r="AF48" s="85" t="e">
        <v>#VALUE!</v>
      </c>
      <c r="AG48" s="85" t="e">
        <v>#VALUE!</v>
      </c>
      <c r="AH48" s="85" t="e">
        <v>#VALUE!</v>
      </c>
      <c r="AI48" s="85" t="e">
        <v>#VALUE!</v>
      </c>
      <c r="AJ48" s="85">
        <v>0</v>
      </c>
      <c r="AK48" s="85">
        <v>0</v>
      </c>
      <c r="AL48" s="85" t="e">
        <v>#VALUE!</v>
      </c>
      <c r="AM48" s="85" t="e">
        <v>#VALUE!</v>
      </c>
      <c r="AN48" s="18"/>
      <c r="AO48" s="18"/>
      <c r="AP48" s="77" t="s">
        <v>438</v>
      </c>
      <c r="AQ48" s="18">
        <v>0</v>
      </c>
      <c r="AR48" s="18">
        <v>0</v>
      </c>
      <c r="AS48" s="18">
        <v>0</v>
      </c>
      <c r="AT48" s="18">
        <v>0</v>
      </c>
      <c r="AU48" s="18">
        <v>-3738</v>
      </c>
      <c r="AV48" s="18">
        <v>5267</v>
      </c>
      <c r="AW48" s="18">
        <v>0</v>
      </c>
      <c r="AX48" s="18">
        <v>0</v>
      </c>
      <c r="AY48" s="18">
        <v>0</v>
      </c>
      <c r="AZ48" s="18">
        <v>0</v>
      </c>
      <c r="BA48" s="78">
        <v>-413</v>
      </c>
      <c r="BB48" s="18"/>
      <c r="BC48" s="18"/>
      <c r="BD48" s="84"/>
      <c r="BE48" s="18"/>
      <c r="BF48" s="103"/>
      <c r="BG48" s="103"/>
      <c r="BH48" s="103"/>
      <c r="BI48" s="80"/>
      <c r="BJ48" s="82"/>
      <c r="BK48" s="18"/>
      <c r="BL48" s="18"/>
      <c r="BM48" s="18"/>
      <c r="BN48" s="18"/>
      <c r="BO48" s="18"/>
      <c r="BP48" s="18"/>
      <c r="BQ48" s="37">
        <v>41361</v>
      </c>
      <c r="BR48" s="38">
        <v>29096.7415</v>
      </c>
      <c r="BS48" s="17"/>
      <c r="BT48" s="37">
        <v>41361</v>
      </c>
      <c r="BU48" s="38">
        <v>1983</v>
      </c>
      <c r="BV48" s="18"/>
      <c r="BW48" s="37"/>
      <c r="BX48" s="38"/>
      <c r="BY48" s="18"/>
      <c r="BZ48" s="39">
        <v>41361</v>
      </c>
      <c r="CA48" s="40">
        <v>29096.7415</v>
      </c>
      <c r="CB48" s="17"/>
      <c r="CC48" s="39">
        <v>41361</v>
      </c>
      <c r="CD48" s="40">
        <v>19.830000000000002</v>
      </c>
      <c r="CE48" s="18"/>
      <c r="CF48" s="18"/>
      <c r="CG48" s="18"/>
      <c r="CH48" s="18"/>
      <c r="CI48" s="18"/>
      <c r="CJ48" s="18"/>
      <c r="CK48" s="18"/>
      <c r="CL48" s="18"/>
      <c r="CM48" s="18"/>
      <c r="CN48" s="17"/>
      <c r="CO48" s="17"/>
      <c r="CP48" s="17"/>
      <c r="CQ48" s="18"/>
      <c r="CR48" s="18"/>
      <c r="CS48" s="18"/>
      <c r="CT48" s="18"/>
      <c r="CU48" s="18"/>
      <c r="CV48" s="18"/>
      <c r="CW48" s="18"/>
      <c r="CX48" s="18"/>
      <c r="CY48" s="37">
        <v>44826</v>
      </c>
      <c r="CZ48" s="38">
        <v>17.315100000000001</v>
      </c>
      <c r="DA48" s="18"/>
      <c r="DB48" s="37">
        <v>43914</v>
      </c>
      <c r="DC48" s="38">
        <v>17.845700000000001</v>
      </c>
      <c r="DD48" s="18"/>
      <c r="DE48" s="37">
        <v>43914</v>
      </c>
      <c r="DF48" s="38">
        <v>17.522600000000001</v>
      </c>
      <c r="DG48" s="18"/>
      <c r="DH48" s="37">
        <v>43914</v>
      </c>
      <c r="DI48" s="38">
        <v>20.590699999999998</v>
      </c>
      <c r="DJ48" s="18"/>
      <c r="DK48" s="37">
        <v>43914</v>
      </c>
      <c r="DL48" s="38">
        <v>0.1575</v>
      </c>
      <c r="DM48" s="18"/>
      <c r="DN48" s="18"/>
      <c r="DO48" s="18"/>
      <c r="DP48" s="18"/>
      <c r="DQ48" s="18"/>
      <c r="DR48" s="18"/>
      <c r="DS48" s="18"/>
      <c r="DT48" s="18"/>
      <c r="DU48" s="18"/>
      <c r="DV48" s="18"/>
      <c r="DW48" s="18"/>
      <c r="DX48" s="18"/>
      <c r="DY48" s="18"/>
      <c r="DZ48" s="18"/>
    </row>
    <row r="49" spans="1:130" ht="15" customHeight="1" x14ac:dyDescent="0.3">
      <c r="A49" s="100" t="s">
        <v>152</v>
      </c>
      <c r="B49" s="73" t="s">
        <v>190</v>
      </c>
      <c r="C49" s="74">
        <v>37</v>
      </c>
      <c r="D49" s="74">
        <v>-9</v>
      </c>
      <c r="E49" s="74">
        <v>-7</v>
      </c>
      <c r="F49" s="74">
        <v>31</v>
      </c>
      <c r="G49" s="74">
        <v>-196</v>
      </c>
      <c r="H49" s="74">
        <v>-2236</v>
      </c>
      <c r="I49" s="74">
        <v>-671</v>
      </c>
      <c r="J49" s="74">
        <v>-22</v>
      </c>
      <c r="K49" s="74">
        <v>-57</v>
      </c>
      <c r="L49" s="74">
        <v>-41</v>
      </c>
      <c r="M49" s="75">
        <v>-5111</v>
      </c>
      <c r="N49" s="17"/>
      <c r="O49" s="17"/>
      <c r="P49" s="17"/>
      <c r="Q49" s="17"/>
      <c r="R49" s="17"/>
      <c r="S49" s="17"/>
      <c r="T49" s="17"/>
      <c r="U49" s="18"/>
      <c r="V49" s="18"/>
      <c r="W49" s="18"/>
      <c r="X49" s="18"/>
      <c r="Y49" s="18"/>
      <c r="Z49" s="18"/>
      <c r="AA49" s="18"/>
      <c r="AB49" s="18"/>
      <c r="AC49" s="18"/>
      <c r="AD49" s="18"/>
      <c r="AE49" s="85" t="s">
        <v>190</v>
      </c>
      <c r="AF49" s="85">
        <v>0</v>
      </c>
      <c r="AG49" s="85">
        <v>0</v>
      </c>
      <c r="AH49" s="85">
        <v>0</v>
      </c>
      <c r="AI49" s="85">
        <v>0</v>
      </c>
      <c r="AJ49" s="85">
        <v>0</v>
      </c>
      <c r="AK49" s="85">
        <v>0</v>
      </c>
      <c r="AL49" s="85">
        <v>0</v>
      </c>
      <c r="AM49" s="85">
        <v>0</v>
      </c>
      <c r="AN49" s="18"/>
      <c r="AO49" s="18"/>
      <c r="AP49" s="77" t="s">
        <v>190</v>
      </c>
      <c r="AQ49" s="86">
        <v>37</v>
      </c>
      <c r="AR49" s="86">
        <v>-9</v>
      </c>
      <c r="AS49" s="86">
        <v>-7</v>
      </c>
      <c r="AT49" s="86">
        <v>31</v>
      </c>
      <c r="AU49" s="86">
        <v>-196</v>
      </c>
      <c r="AV49" s="86">
        <v>-2236</v>
      </c>
      <c r="AW49" s="86">
        <v>-671</v>
      </c>
      <c r="AX49" s="86">
        <v>-22</v>
      </c>
      <c r="AY49" s="86">
        <v>-57</v>
      </c>
      <c r="AZ49" s="86">
        <v>-41</v>
      </c>
      <c r="BA49" s="87">
        <v>-5111</v>
      </c>
      <c r="BB49" s="18"/>
      <c r="BC49" s="18"/>
      <c r="BD49" s="77"/>
      <c r="BE49" s="18"/>
      <c r="BF49" s="18"/>
      <c r="BG49" s="18"/>
      <c r="BH49" s="18"/>
      <c r="BI49" s="80"/>
      <c r="BJ49" s="82"/>
      <c r="BK49" s="18"/>
      <c r="BL49" s="18"/>
      <c r="BM49" s="18"/>
      <c r="BN49" s="18"/>
      <c r="BO49" s="18"/>
      <c r="BP49" s="18"/>
      <c r="BQ49" s="37">
        <v>41394</v>
      </c>
      <c r="BR49" s="38">
        <v>29933.107800000002</v>
      </c>
      <c r="BS49" s="17"/>
      <c r="BT49" s="37">
        <v>41394</v>
      </c>
      <c r="BU49" s="38">
        <v>2040</v>
      </c>
      <c r="BV49" s="18"/>
      <c r="BW49" s="37"/>
      <c r="BX49" s="38"/>
      <c r="BY49" s="18"/>
      <c r="BZ49" s="39">
        <v>41394</v>
      </c>
      <c r="CA49" s="40">
        <v>29933.107800000002</v>
      </c>
      <c r="CB49" s="17"/>
      <c r="CC49" s="39">
        <v>41394</v>
      </c>
      <c r="CD49" s="40">
        <v>20.400000000000002</v>
      </c>
      <c r="CE49" s="18"/>
      <c r="CF49" s="18"/>
      <c r="CG49" s="18"/>
      <c r="CH49" s="18"/>
      <c r="CI49" s="18"/>
      <c r="CJ49" s="18"/>
      <c r="CK49" s="18"/>
      <c r="CL49" s="18"/>
      <c r="CM49" s="18"/>
      <c r="CN49" s="17"/>
      <c r="CO49" s="17"/>
      <c r="CP49" s="17"/>
      <c r="CQ49" s="18"/>
      <c r="CR49" s="18"/>
      <c r="CS49" s="18"/>
      <c r="CT49" s="18"/>
      <c r="CU49" s="18"/>
      <c r="CV49" s="18"/>
      <c r="CW49" s="18"/>
      <c r="CX49" s="18"/>
      <c r="CY49" s="37">
        <v>44827</v>
      </c>
      <c r="CZ49" s="38">
        <v>17.3855</v>
      </c>
      <c r="DA49" s="18"/>
      <c r="DB49" s="37">
        <v>43915</v>
      </c>
      <c r="DC49" s="38">
        <v>17.741800000000001</v>
      </c>
      <c r="DD49" s="18"/>
      <c r="DE49" s="37">
        <v>43915</v>
      </c>
      <c r="DF49" s="38">
        <v>17.334599999999998</v>
      </c>
      <c r="DG49" s="18"/>
      <c r="DH49" s="37">
        <v>43915</v>
      </c>
      <c r="DI49" s="38">
        <v>20.609500000000001</v>
      </c>
      <c r="DJ49" s="18"/>
      <c r="DK49" s="37">
        <v>43915</v>
      </c>
      <c r="DL49" s="38">
        <v>0.15590000000000001</v>
      </c>
      <c r="DM49" s="18"/>
      <c r="DN49" s="18"/>
      <c r="DO49" s="18"/>
      <c r="DP49" s="18"/>
      <c r="DQ49" s="18"/>
      <c r="DR49" s="18"/>
      <c r="DS49" s="18"/>
      <c r="DT49" s="18"/>
      <c r="DU49" s="18"/>
      <c r="DV49" s="18"/>
      <c r="DW49" s="18"/>
      <c r="DX49" s="18"/>
      <c r="DY49" s="18"/>
      <c r="DZ49" s="18"/>
    </row>
    <row r="50" spans="1:130" ht="15" customHeight="1" thickBot="1" x14ac:dyDescent="0.35">
      <c r="A50" s="30" t="s">
        <v>346</v>
      </c>
      <c r="B50" s="90" t="s">
        <v>191</v>
      </c>
      <c r="C50" s="91">
        <v>1013</v>
      </c>
      <c r="D50" s="91">
        <v>769</v>
      </c>
      <c r="E50" s="91">
        <v>446</v>
      </c>
      <c r="F50" s="91">
        <v>2447</v>
      </c>
      <c r="G50" s="91">
        <v>4940</v>
      </c>
      <c r="H50" s="91">
        <v>-493</v>
      </c>
      <c r="I50" s="91">
        <v>1719</v>
      </c>
      <c r="J50" s="91">
        <v>2461</v>
      </c>
      <c r="K50" s="91">
        <v>2153</v>
      </c>
      <c r="L50" s="91">
        <v>5091</v>
      </c>
      <c r="M50" s="92">
        <v>-4189</v>
      </c>
      <c r="N50" s="17"/>
      <c r="O50" s="17"/>
      <c r="P50" s="17"/>
      <c r="Q50" s="17"/>
      <c r="R50" s="17"/>
      <c r="S50" s="17"/>
      <c r="T50" s="17"/>
      <c r="U50" s="18"/>
      <c r="V50" s="18"/>
      <c r="W50" s="18"/>
      <c r="X50" s="18"/>
      <c r="Y50" s="18"/>
      <c r="Z50" s="18"/>
      <c r="AA50" s="18"/>
      <c r="AB50" s="18"/>
      <c r="AC50" s="18"/>
      <c r="AD50" s="18"/>
      <c r="AE50" s="85" t="s">
        <v>191</v>
      </c>
      <c r="AF50" s="85">
        <v>0</v>
      </c>
      <c r="AG50" s="85">
        <v>0</v>
      </c>
      <c r="AH50" s="85">
        <v>0</v>
      </c>
      <c r="AI50" s="85">
        <v>0</v>
      </c>
      <c r="AJ50" s="85">
        <v>0</v>
      </c>
      <c r="AK50" s="85">
        <v>0</v>
      </c>
      <c r="AL50" s="85">
        <v>0</v>
      </c>
      <c r="AM50" s="85">
        <v>0</v>
      </c>
      <c r="AN50" s="18"/>
      <c r="AO50" s="18"/>
      <c r="AP50" s="105" t="s">
        <v>191</v>
      </c>
      <c r="AQ50" s="86">
        <v>1013</v>
      </c>
      <c r="AR50" s="86">
        <v>769</v>
      </c>
      <c r="AS50" s="86">
        <v>446</v>
      </c>
      <c r="AT50" s="86">
        <v>2447</v>
      </c>
      <c r="AU50" s="86">
        <v>4940</v>
      </c>
      <c r="AV50" s="86">
        <v>-493</v>
      </c>
      <c r="AW50" s="86">
        <v>1719</v>
      </c>
      <c r="AX50" s="86">
        <v>2461</v>
      </c>
      <c r="AY50" s="86">
        <v>2153</v>
      </c>
      <c r="AZ50" s="86">
        <v>5091</v>
      </c>
      <c r="BA50" s="87">
        <v>-4189</v>
      </c>
      <c r="BB50" s="18"/>
      <c r="BC50" s="18"/>
      <c r="BD50" s="106"/>
      <c r="BE50" s="107"/>
      <c r="BF50" s="107"/>
      <c r="BG50" s="107"/>
      <c r="BH50" s="107"/>
      <c r="BI50" s="107"/>
      <c r="BJ50" s="108"/>
      <c r="BK50" s="18"/>
      <c r="BL50" s="18"/>
      <c r="BM50" s="18"/>
      <c r="BN50" s="18"/>
      <c r="BO50" s="18"/>
      <c r="BP50" s="18"/>
      <c r="BQ50" s="37">
        <v>41425</v>
      </c>
      <c r="BR50" s="38">
        <v>34335.035400000001</v>
      </c>
      <c r="BS50" s="17"/>
      <c r="BT50" s="37">
        <v>41425</v>
      </c>
      <c r="BU50" s="38">
        <v>2340</v>
      </c>
      <c r="BV50" s="18"/>
      <c r="BW50" s="37"/>
      <c r="BX50" s="38"/>
      <c r="BY50" s="18"/>
      <c r="BZ50" s="39">
        <v>41425</v>
      </c>
      <c r="CA50" s="40">
        <v>34335.035400000001</v>
      </c>
      <c r="CB50" s="17"/>
      <c r="CC50" s="39">
        <v>41425</v>
      </c>
      <c r="CD50" s="40">
        <v>23.400000000000002</v>
      </c>
      <c r="CE50" s="18"/>
      <c r="CF50" s="18"/>
      <c r="CG50" s="18"/>
      <c r="CH50" s="18"/>
      <c r="CI50" s="18"/>
      <c r="CJ50" s="18"/>
      <c r="CK50" s="18"/>
      <c r="CL50" s="18"/>
      <c r="CM50" s="18"/>
      <c r="CN50" s="17"/>
      <c r="CO50" s="17"/>
      <c r="CP50" s="17"/>
      <c r="CQ50" s="18"/>
      <c r="CR50" s="18"/>
      <c r="CS50" s="18"/>
      <c r="CT50" s="18"/>
      <c r="CU50" s="18"/>
      <c r="CV50" s="18"/>
      <c r="CW50" s="18"/>
      <c r="CX50" s="18"/>
      <c r="CY50" s="37">
        <v>44830</v>
      </c>
      <c r="CZ50" s="38">
        <v>17.387799999999999</v>
      </c>
      <c r="DA50" s="18"/>
      <c r="DB50" s="37">
        <v>43916</v>
      </c>
      <c r="DC50" s="38">
        <v>17.988099999999999</v>
      </c>
      <c r="DD50" s="18"/>
      <c r="DE50" s="37">
        <v>43916</v>
      </c>
      <c r="DF50" s="38">
        <v>17.327000000000002</v>
      </c>
      <c r="DG50" s="18"/>
      <c r="DH50" s="37">
        <v>43916</v>
      </c>
      <c r="DI50" s="38">
        <v>21.1449</v>
      </c>
      <c r="DJ50" s="18"/>
      <c r="DK50" s="37">
        <v>43916</v>
      </c>
      <c r="DL50" s="38">
        <v>0.15809999999999999</v>
      </c>
      <c r="DM50" s="18"/>
      <c r="DN50" s="18"/>
      <c r="DO50" s="18"/>
      <c r="DP50" s="18"/>
      <c r="DQ50" s="18"/>
      <c r="DR50" s="18"/>
      <c r="DS50" s="18"/>
      <c r="DT50" s="18"/>
      <c r="DU50" s="18"/>
      <c r="DV50" s="18"/>
      <c r="DW50" s="18"/>
      <c r="DX50" s="18"/>
      <c r="DY50" s="18"/>
      <c r="DZ50" s="18"/>
    </row>
    <row r="51" spans="1:130" ht="15" customHeight="1" x14ac:dyDescent="0.3">
      <c r="A51" s="30" t="s">
        <v>153</v>
      </c>
      <c r="B51" s="90" t="s">
        <v>439</v>
      </c>
      <c r="C51" s="91">
        <v>38</v>
      </c>
      <c r="D51" s="91">
        <v>39</v>
      </c>
      <c r="E51" s="91">
        <v>54</v>
      </c>
      <c r="F51" s="91">
        <v>54</v>
      </c>
      <c r="G51" s="91">
        <v>55</v>
      </c>
      <c r="H51" s="91">
        <v>56</v>
      </c>
      <c r="I51" s="91">
        <v>52</v>
      </c>
      <c r="J51" s="91">
        <v>49</v>
      </c>
      <c r="K51" s="91">
        <v>46</v>
      </c>
      <c r="L51" s="91">
        <v>47</v>
      </c>
      <c r="M51" s="92">
        <v>46</v>
      </c>
      <c r="N51" s="17"/>
      <c r="O51" s="17"/>
      <c r="P51" s="17"/>
      <c r="Q51" s="17"/>
      <c r="R51" s="17"/>
      <c r="S51" s="17"/>
      <c r="T51" s="17"/>
      <c r="U51" s="18"/>
      <c r="V51" s="18"/>
      <c r="W51" s="18"/>
      <c r="X51" s="18"/>
      <c r="Y51" s="18"/>
      <c r="Z51" s="18"/>
      <c r="AA51" s="18"/>
      <c r="AB51" s="18"/>
      <c r="AC51" s="18"/>
      <c r="AD51" s="18"/>
      <c r="AE51" s="85" t="s">
        <v>439</v>
      </c>
      <c r="AF51" s="85">
        <v>0</v>
      </c>
      <c r="AG51" s="85">
        <v>0</v>
      </c>
      <c r="AH51" s="85">
        <v>0</v>
      </c>
      <c r="AI51" s="85">
        <v>0</v>
      </c>
      <c r="AJ51" s="85">
        <v>0</v>
      </c>
      <c r="AK51" s="85">
        <v>0</v>
      </c>
      <c r="AL51" s="85">
        <v>0</v>
      </c>
      <c r="AM51" s="85">
        <v>0</v>
      </c>
      <c r="AN51" s="18"/>
      <c r="AO51" s="18"/>
      <c r="AP51" s="77" t="s">
        <v>439</v>
      </c>
      <c r="AQ51" s="18">
        <v>38</v>
      </c>
      <c r="AR51" s="18">
        <v>39</v>
      </c>
      <c r="AS51" s="18">
        <v>54</v>
      </c>
      <c r="AT51" s="18">
        <v>54</v>
      </c>
      <c r="AU51" s="18">
        <v>55</v>
      </c>
      <c r="AV51" s="18">
        <v>56</v>
      </c>
      <c r="AW51" s="18">
        <v>52</v>
      </c>
      <c r="AX51" s="18">
        <v>49</v>
      </c>
      <c r="AY51" s="18">
        <v>46</v>
      </c>
      <c r="AZ51" s="18">
        <v>47</v>
      </c>
      <c r="BA51" s="78">
        <v>46</v>
      </c>
      <c r="BB51" s="18"/>
      <c r="BC51" s="18"/>
      <c r="BD51" s="18"/>
      <c r="BE51" s="18"/>
      <c r="BF51" s="18"/>
      <c r="BG51" s="18"/>
      <c r="BH51" s="18"/>
      <c r="BI51" s="18"/>
      <c r="BJ51" s="18"/>
      <c r="BK51" s="18"/>
      <c r="BL51" s="18"/>
      <c r="BM51" s="18"/>
      <c r="BN51" s="18"/>
      <c r="BO51" s="18"/>
      <c r="BP51" s="18"/>
      <c r="BQ51" s="37">
        <v>41453</v>
      </c>
      <c r="BR51" s="38">
        <v>33845.253700000001</v>
      </c>
      <c r="BS51" s="17"/>
      <c r="BT51" s="37">
        <v>41453</v>
      </c>
      <c r="BU51" s="38">
        <v>2304</v>
      </c>
      <c r="BV51" s="18"/>
      <c r="BW51" s="37"/>
      <c r="BX51" s="38"/>
      <c r="BY51" s="18"/>
      <c r="BZ51" s="39">
        <v>41453</v>
      </c>
      <c r="CA51" s="40">
        <v>33845.253700000001</v>
      </c>
      <c r="CB51" s="17"/>
      <c r="CC51" s="39">
        <v>41453</v>
      </c>
      <c r="CD51" s="40">
        <v>23.04</v>
      </c>
      <c r="CE51" s="18"/>
      <c r="CF51" s="18"/>
      <c r="CG51" s="18"/>
      <c r="CH51" s="18"/>
      <c r="CI51" s="18"/>
      <c r="CJ51" s="18"/>
      <c r="CK51" s="18"/>
      <c r="CL51" s="18"/>
      <c r="CM51" s="18"/>
      <c r="CN51" s="17"/>
      <c r="CO51" s="17"/>
      <c r="CP51" s="17"/>
      <c r="CQ51" s="18"/>
      <c r="CR51" s="18"/>
      <c r="CS51" s="18"/>
      <c r="CT51" s="18"/>
      <c r="CU51" s="18"/>
      <c r="CV51" s="18"/>
      <c r="CW51" s="18"/>
      <c r="CX51" s="18"/>
      <c r="CY51" s="37">
        <v>44831</v>
      </c>
      <c r="CZ51" s="38">
        <v>17.293600000000001</v>
      </c>
      <c r="DA51" s="18"/>
      <c r="DB51" s="37">
        <v>43917</v>
      </c>
      <c r="DC51" s="38">
        <v>18.523499999999999</v>
      </c>
      <c r="DD51" s="18"/>
      <c r="DE51" s="37">
        <v>43917</v>
      </c>
      <c r="DF51" s="38">
        <v>17.623999999999999</v>
      </c>
      <c r="DG51" s="18"/>
      <c r="DH51" s="37">
        <v>43917</v>
      </c>
      <c r="DI51" s="38">
        <v>21.946899999999999</v>
      </c>
      <c r="DJ51" s="18"/>
      <c r="DK51" s="37">
        <v>43917</v>
      </c>
      <c r="DL51" s="38">
        <v>0.1633</v>
      </c>
      <c r="DM51" s="18"/>
      <c r="DN51" s="18"/>
      <c r="DO51" s="18"/>
      <c r="DP51" s="18"/>
      <c r="DQ51" s="18"/>
      <c r="DR51" s="18"/>
      <c r="DS51" s="18"/>
      <c r="DT51" s="18"/>
      <c r="DU51" s="18"/>
      <c r="DV51" s="18"/>
      <c r="DW51" s="18"/>
      <c r="DX51" s="18"/>
      <c r="DY51" s="18"/>
      <c r="DZ51" s="18"/>
    </row>
    <row r="52" spans="1:130" ht="15" customHeight="1" x14ac:dyDescent="0.3">
      <c r="A52" s="30" t="s">
        <v>155</v>
      </c>
      <c r="B52" s="73" t="s">
        <v>440</v>
      </c>
      <c r="C52" s="74">
        <v>975</v>
      </c>
      <c r="D52" s="74">
        <v>730</v>
      </c>
      <c r="E52" s="74">
        <v>392</v>
      </c>
      <c r="F52" s="74">
        <v>2393</v>
      </c>
      <c r="G52" s="74">
        <v>4885</v>
      </c>
      <c r="H52" s="74">
        <v>-549</v>
      </c>
      <c r="I52" s="74">
        <v>1667</v>
      </c>
      <c r="J52" s="74">
        <v>2412</v>
      </c>
      <c r="K52" s="74">
        <v>2107</v>
      </c>
      <c r="L52" s="74">
        <v>5044</v>
      </c>
      <c r="M52" s="75">
        <v>-4235</v>
      </c>
      <c r="N52" s="17"/>
      <c r="O52" s="17"/>
      <c r="P52" s="17"/>
      <c r="Q52" s="17"/>
      <c r="R52" s="17"/>
      <c r="S52" s="17"/>
      <c r="T52" s="17"/>
      <c r="U52" s="18"/>
      <c r="V52" s="18"/>
      <c r="W52" s="18"/>
      <c r="X52" s="18"/>
      <c r="Y52" s="18"/>
      <c r="Z52" s="18"/>
      <c r="AA52" s="18"/>
      <c r="AB52" s="18"/>
      <c r="AC52" s="18"/>
      <c r="AD52" s="18"/>
      <c r="AE52" s="85" t="s">
        <v>440</v>
      </c>
      <c r="AF52" s="85">
        <v>0</v>
      </c>
      <c r="AG52" s="85">
        <v>0</v>
      </c>
      <c r="AH52" s="85">
        <v>0</v>
      </c>
      <c r="AI52" s="85">
        <v>0</v>
      </c>
      <c r="AJ52" s="85">
        <v>0</v>
      </c>
      <c r="AK52" s="85">
        <v>0</v>
      </c>
      <c r="AL52" s="85">
        <v>0</v>
      </c>
      <c r="AM52" s="85">
        <v>0</v>
      </c>
      <c r="AN52" s="18"/>
      <c r="AO52" s="18"/>
      <c r="AP52" s="77" t="s">
        <v>440</v>
      </c>
      <c r="AQ52" s="18">
        <v>975</v>
      </c>
      <c r="AR52" s="18">
        <v>730</v>
      </c>
      <c r="AS52" s="18">
        <v>392</v>
      </c>
      <c r="AT52" s="18">
        <v>2393</v>
      </c>
      <c r="AU52" s="18">
        <v>4885</v>
      </c>
      <c r="AV52" s="18">
        <v>-549</v>
      </c>
      <c r="AW52" s="18">
        <v>1667</v>
      </c>
      <c r="AX52" s="18">
        <v>2412</v>
      </c>
      <c r="AY52" s="18">
        <v>2107</v>
      </c>
      <c r="AZ52" s="18">
        <v>5044</v>
      </c>
      <c r="BA52" s="78">
        <v>-4235</v>
      </c>
      <c r="BB52" s="18"/>
      <c r="BC52" s="18"/>
      <c r="BD52" s="18"/>
      <c r="BE52" s="18"/>
      <c r="BF52" s="18"/>
      <c r="BG52" s="18"/>
      <c r="BH52" s="18"/>
      <c r="BI52" s="18"/>
      <c r="BJ52" s="18"/>
      <c r="BK52" s="18"/>
      <c r="BL52" s="18"/>
      <c r="BM52" s="18"/>
      <c r="BN52" s="18"/>
      <c r="BO52" s="18"/>
      <c r="BP52" s="18"/>
      <c r="BQ52" s="37">
        <v>41486</v>
      </c>
      <c r="BR52" s="38">
        <v>34482.650800000003</v>
      </c>
      <c r="BS52" s="17"/>
      <c r="BT52" s="37">
        <v>41486</v>
      </c>
      <c r="BU52" s="38">
        <v>2340</v>
      </c>
      <c r="BV52" s="18"/>
      <c r="BW52" s="37"/>
      <c r="BX52" s="38"/>
      <c r="BY52" s="18"/>
      <c r="BZ52" s="39">
        <v>41486</v>
      </c>
      <c r="CA52" s="40">
        <v>34482.650800000003</v>
      </c>
      <c r="CB52" s="17"/>
      <c r="CC52" s="39">
        <v>41486</v>
      </c>
      <c r="CD52" s="40">
        <v>23.400000000000002</v>
      </c>
      <c r="CE52" s="18"/>
      <c r="CF52" s="18"/>
      <c r="CG52" s="18"/>
      <c r="CH52" s="18"/>
      <c r="CI52" s="18"/>
      <c r="CJ52" s="18"/>
      <c r="CK52" s="18"/>
      <c r="CL52" s="18"/>
      <c r="CM52" s="18"/>
      <c r="CN52" s="17"/>
      <c r="CO52" s="17"/>
      <c r="CP52" s="17"/>
      <c r="CQ52" s="18"/>
      <c r="CR52" s="18"/>
      <c r="CS52" s="18"/>
      <c r="CT52" s="18"/>
      <c r="CU52" s="18"/>
      <c r="CV52" s="18"/>
      <c r="CW52" s="18"/>
      <c r="CX52" s="18"/>
      <c r="CY52" s="37">
        <v>44832</v>
      </c>
      <c r="CZ52" s="38">
        <v>17.334199999999999</v>
      </c>
      <c r="DA52" s="18"/>
      <c r="DB52" s="37">
        <v>43920</v>
      </c>
      <c r="DC52" s="38">
        <v>18.7178</v>
      </c>
      <c r="DD52" s="18"/>
      <c r="DE52" s="37">
        <v>43920</v>
      </c>
      <c r="DF52" s="38">
        <v>17.936800000000002</v>
      </c>
      <c r="DG52" s="18"/>
      <c r="DH52" s="37">
        <v>43920</v>
      </c>
      <c r="DI52" s="38">
        <v>22.280899999999999</v>
      </c>
      <c r="DJ52" s="18"/>
      <c r="DK52" s="37">
        <v>43920</v>
      </c>
      <c r="DL52" s="38">
        <v>0.16639999999999999</v>
      </c>
      <c r="DM52" s="18"/>
      <c r="DN52" s="18"/>
      <c r="DO52" s="18"/>
      <c r="DP52" s="18"/>
      <c r="DQ52" s="18"/>
      <c r="DR52" s="18"/>
      <c r="DS52" s="18"/>
      <c r="DT52" s="18"/>
      <c r="DU52" s="18"/>
      <c r="DV52" s="18"/>
      <c r="DW52" s="18"/>
      <c r="DX52" s="18"/>
      <c r="DY52" s="18"/>
      <c r="DZ52" s="18"/>
    </row>
    <row r="53" spans="1:130" ht="15" customHeight="1" x14ac:dyDescent="0.3">
      <c r="A53" s="30" t="s">
        <v>349</v>
      </c>
      <c r="B53" s="73" t="s">
        <v>192</v>
      </c>
      <c r="C53" s="74">
        <v>274</v>
      </c>
      <c r="D53" s="74">
        <v>272</v>
      </c>
      <c r="E53" s="74">
        <v>-195</v>
      </c>
      <c r="F53" s="74">
        <v>39</v>
      </c>
      <c r="G53" s="74">
        <v>237</v>
      </c>
      <c r="H53" s="74">
        <v>4568</v>
      </c>
      <c r="I53" s="74">
        <v>1980</v>
      </c>
      <c r="J53" s="74">
        <v>158</v>
      </c>
      <c r="K53" s="74">
        <v>194</v>
      </c>
      <c r="L53" s="74">
        <v>-3201</v>
      </c>
      <c r="M53" s="75">
        <v>10759</v>
      </c>
      <c r="N53" s="17"/>
      <c r="O53" s="17"/>
      <c r="P53" s="17"/>
      <c r="Q53" s="17"/>
      <c r="R53" s="17"/>
      <c r="S53" s="17"/>
      <c r="T53" s="17"/>
      <c r="U53" s="18"/>
      <c r="V53" s="18"/>
      <c r="W53" s="18"/>
      <c r="X53" s="18"/>
      <c r="Y53" s="18"/>
      <c r="Z53" s="18"/>
      <c r="AA53" s="18"/>
      <c r="AB53" s="18"/>
      <c r="AC53" s="18"/>
      <c r="AD53" s="18"/>
      <c r="AE53" s="85" t="s">
        <v>192</v>
      </c>
      <c r="AF53" s="85">
        <v>0</v>
      </c>
      <c r="AG53" s="85">
        <v>0</v>
      </c>
      <c r="AH53" s="85">
        <v>0</v>
      </c>
      <c r="AI53" s="85">
        <v>0</v>
      </c>
      <c r="AJ53" s="85">
        <v>0</v>
      </c>
      <c r="AK53" s="85">
        <v>0</v>
      </c>
      <c r="AL53" s="85">
        <v>0</v>
      </c>
      <c r="AM53" s="85">
        <v>0</v>
      </c>
      <c r="AN53" s="18"/>
      <c r="AO53" s="18"/>
      <c r="AP53" s="77" t="s">
        <v>192</v>
      </c>
      <c r="AQ53" s="18">
        <v>274</v>
      </c>
      <c r="AR53" s="18">
        <v>272</v>
      </c>
      <c r="AS53" s="18">
        <v>-195</v>
      </c>
      <c r="AT53" s="18">
        <v>39</v>
      </c>
      <c r="AU53" s="18">
        <v>237</v>
      </c>
      <c r="AV53" s="18">
        <v>4568</v>
      </c>
      <c r="AW53" s="18">
        <v>1980</v>
      </c>
      <c r="AX53" s="18">
        <v>158</v>
      </c>
      <c r="AY53" s="18">
        <v>194</v>
      </c>
      <c r="AZ53" s="18">
        <v>-3201</v>
      </c>
      <c r="BA53" s="78">
        <v>10759</v>
      </c>
      <c r="BB53" s="18"/>
      <c r="BC53" s="18"/>
      <c r="BD53" s="18"/>
      <c r="BE53" s="18"/>
      <c r="BF53" s="18"/>
      <c r="BG53" s="18"/>
      <c r="BH53" s="18"/>
      <c r="BI53" s="18"/>
      <c r="BJ53" s="18"/>
      <c r="BK53" s="18"/>
      <c r="BL53" s="18"/>
      <c r="BM53" s="18"/>
      <c r="BN53" s="18"/>
      <c r="BO53" s="18"/>
      <c r="BP53" s="18"/>
      <c r="BQ53" s="37">
        <v>41516</v>
      </c>
      <c r="BR53" s="38">
        <v>34217.399599999997</v>
      </c>
      <c r="BS53" s="17"/>
      <c r="BT53" s="37">
        <v>41516</v>
      </c>
      <c r="BU53" s="38">
        <v>2322</v>
      </c>
      <c r="BV53" s="18"/>
      <c r="BW53" s="37"/>
      <c r="BX53" s="38"/>
      <c r="BY53" s="18"/>
      <c r="BZ53" s="39">
        <v>41516</v>
      </c>
      <c r="CA53" s="40">
        <v>34217.399599999997</v>
      </c>
      <c r="CB53" s="17"/>
      <c r="CC53" s="39">
        <v>41516</v>
      </c>
      <c r="CD53" s="40">
        <v>23.22</v>
      </c>
      <c r="CE53" s="18"/>
      <c r="CF53" s="18"/>
      <c r="CG53" s="18"/>
      <c r="CH53" s="18"/>
      <c r="CI53" s="18"/>
      <c r="CJ53" s="18"/>
      <c r="CK53" s="18"/>
      <c r="CL53" s="18"/>
      <c r="CM53" s="18"/>
      <c r="CN53" s="17"/>
      <c r="CO53" s="17"/>
      <c r="CP53" s="17"/>
      <c r="CQ53" s="18"/>
      <c r="CR53" s="18"/>
      <c r="CS53" s="18"/>
      <c r="CT53" s="18"/>
      <c r="CU53" s="18"/>
      <c r="CV53" s="18"/>
      <c r="CW53" s="18"/>
      <c r="CX53" s="18"/>
      <c r="CY53" s="37">
        <v>44833</v>
      </c>
      <c r="CZ53" s="38">
        <v>17.698399999999999</v>
      </c>
      <c r="DA53" s="18"/>
      <c r="DB53" s="37">
        <v>43921</v>
      </c>
      <c r="DC53" s="38">
        <v>18.553799999999999</v>
      </c>
      <c r="DD53" s="18"/>
      <c r="DE53" s="37">
        <v>43921</v>
      </c>
      <c r="DF53" s="38">
        <v>17.837900000000001</v>
      </c>
      <c r="DG53" s="18"/>
      <c r="DH53" s="37">
        <v>43921</v>
      </c>
      <c r="DI53" s="38">
        <v>22.1707</v>
      </c>
      <c r="DJ53" s="18"/>
      <c r="DK53" s="37">
        <v>43921</v>
      </c>
      <c r="DL53" s="38">
        <v>0.16600000000000001</v>
      </c>
      <c r="DM53" s="18"/>
      <c r="DN53" s="18"/>
      <c r="DO53" s="18"/>
      <c r="DP53" s="18"/>
      <c r="DQ53" s="18"/>
      <c r="DR53" s="18"/>
      <c r="DS53" s="18"/>
      <c r="DT53" s="18"/>
      <c r="DU53" s="18"/>
      <c r="DV53" s="18"/>
      <c r="DW53" s="18"/>
      <c r="DX53" s="18"/>
      <c r="DY53" s="18"/>
      <c r="DZ53" s="18"/>
    </row>
    <row r="54" spans="1:130" ht="15" customHeight="1" x14ac:dyDescent="0.3">
      <c r="A54" s="30" t="s">
        <v>350</v>
      </c>
      <c r="B54" s="73" t="s">
        <v>193</v>
      </c>
      <c r="C54" s="74">
        <v>-276</v>
      </c>
      <c r="D54" s="74">
        <v>-33.909999999999997</v>
      </c>
      <c r="E54" s="74">
        <v>157.78</v>
      </c>
      <c r="F54" s="74">
        <v>6</v>
      </c>
      <c r="G54" s="74">
        <v>-74</v>
      </c>
      <c r="H54" s="74">
        <v>-2026</v>
      </c>
      <c r="I54" s="74">
        <v>-951</v>
      </c>
      <c r="J54" s="74">
        <v>-55.69</v>
      </c>
      <c r="K54" s="74">
        <v>-44.08</v>
      </c>
      <c r="L54" s="74">
        <v>-14.88</v>
      </c>
      <c r="M54" s="75">
        <v>1</v>
      </c>
      <c r="N54" s="17"/>
      <c r="O54" s="17"/>
      <c r="P54" s="17"/>
      <c r="Q54" s="17"/>
      <c r="R54" s="17"/>
      <c r="S54" s="17"/>
      <c r="T54" s="17"/>
      <c r="U54" s="18"/>
      <c r="V54" s="18"/>
      <c r="W54" s="18"/>
      <c r="X54" s="18"/>
      <c r="Y54" s="18"/>
      <c r="Z54" s="18"/>
      <c r="AA54" s="18"/>
      <c r="AB54" s="18"/>
      <c r="AC54" s="18"/>
      <c r="AD54" s="18"/>
      <c r="AE54" s="85" t="s">
        <v>193</v>
      </c>
      <c r="AF54" s="85">
        <v>0</v>
      </c>
      <c r="AG54" s="85">
        <v>-3.7999999999982492E-3</v>
      </c>
      <c r="AH54" s="85">
        <v>0</v>
      </c>
      <c r="AI54" s="85">
        <v>0</v>
      </c>
      <c r="AJ54" s="85">
        <v>0</v>
      </c>
      <c r="AK54" s="85">
        <v>0</v>
      </c>
      <c r="AL54" s="85">
        <v>0</v>
      </c>
      <c r="AM54" s="85">
        <v>-1.5999999999962711E-3</v>
      </c>
      <c r="AN54" s="18"/>
      <c r="AO54" s="18"/>
      <c r="AP54" s="77" t="s">
        <v>193</v>
      </c>
      <c r="AQ54" s="86">
        <v>-276</v>
      </c>
      <c r="AR54" s="86">
        <v>-33.906199999999998</v>
      </c>
      <c r="AS54" s="86">
        <v>157.78</v>
      </c>
      <c r="AT54" s="86">
        <v>6</v>
      </c>
      <c r="AU54" s="86">
        <v>-74</v>
      </c>
      <c r="AV54" s="86">
        <v>-2026</v>
      </c>
      <c r="AW54" s="86">
        <v>-951</v>
      </c>
      <c r="AX54" s="86">
        <v>-55.688400000000001</v>
      </c>
      <c r="AY54" s="86">
        <v>-44.076799999999999</v>
      </c>
      <c r="AZ54" s="86">
        <v>-14.88</v>
      </c>
      <c r="BA54" s="87">
        <v>1</v>
      </c>
      <c r="BB54" s="18"/>
      <c r="BC54" s="18"/>
      <c r="BD54" s="18"/>
      <c r="BE54" s="18"/>
      <c r="BF54" s="18"/>
      <c r="BG54" s="18"/>
      <c r="BH54" s="18"/>
      <c r="BI54" s="18"/>
      <c r="BJ54" s="18"/>
      <c r="BK54" s="18"/>
      <c r="BL54" s="18"/>
      <c r="BM54" s="18"/>
      <c r="BN54" s="18"/>
      <c r="BO54" s="18"/>
      <c r="BP54" s="18"/>
      <c r="BQ54" s="37">
        <v>41547</v>
      </c>
      <c r="BR54" s="38">
        <v>35402.551800000001</v>
      </c>
      <c r="BS54" s="17"/>
      <c r="BT54" s="37">
        <v>41547</v>
      </c>
      <c r="BU54" s="38">
        <v>2400</v>
      </c>
      <c r="BV54" s="18"/>
      <c r="BW54" s="37"/>
      <c r="BX54" s="38"/>
      <c r="BY54" s="18"/>
      <c r="BZ54" s="39">
        <v>41547</v>
      </c>
      <c r="CA54" s="40">
        <v>35402.551800000001</v>
      </c>
      <c r="CB54" s="17"/>
      <c r="CC54" s="39">
        <v>41547</v>
      </c>
      <c r="CD54" s="40">
        <v>24</v>
      </c>
      <c r="CE54" s="18"/>
      <c r="CF54" s="18"/>
      <c r="CG54" s="18"/>
      <c r="CH54" s="18"/>
      <c r="CI54" s="18"/>
      <c r="CJ54" s="18"/>
      <c r="CK54" s="18"/>
      <c r="CL54" s="18"/>
      <c r="CM54" s="18"/>
      <c r="CN54" s="17"/>
      <c r="CO54" s="17"/>
      <c r="CP54" s="17"/>
      <c r="CQ54" s="18"/>
      <c r="CR54" s="18"/>
      <c r="CS54" s="18"/>
      <c r="CT54" s="18"/>
      <c r="CU54" s="18"/>
      <c r="CV54" s="18"/>
      <c r="CW54" s="18"/>
      <c r="CX54" s="18"/>
      <c r="CY54" s="37">
        <v>44834</v>
      </c>
      <c r="CZ54" s="38">
        <v>17.735199999999999</v>
      </c>
      <c r="DA54" s="18"/>
      <c r="DB54" s="37">
        <v>43922</v>
      </c>
      <c r="DC54" s="38">
        <v>18.883099999999999</v>
      </c>
      <c r="DD54" s="18"/>
      <c r="DE54" s="37">
        <v>43922</v>
      </c>
      <c r="DF54" s="38">
        <v>18.228999999999999</v>
      </c>
      <c r="DG54" s="18"/>
      <c r="DH54" s="37">
        <v>43922</v>
      </c>
      <c r="DI54" s="38">
        <v>22.5502</v>
      </c>
      <c r="DJ54" s="18"/>
      <c r="DK54" s="37">
        <v>43922</v>
      </c>
      <c r="DL54" s="38">
        <v>0.1701</v>
      </c>
      <c r="DM54" s="18"/>
      <c r="DN54" s="18"/>
      <c r="DO54" s="18"/>
      <c r="DP54" s="18"/>
      <c r="DQ54" s="18"/>
      <c r="DR54" s="18"/>
      <c r="DS54" s="18"/>
      <c r="DT54" s="18"/>
      <c r="DU54" s="18"/>
      <c r="DV54" s="18"/>
      <c r="DW54" s="18"/>
      <c r="DX54" s="18"/>
      <c r="DY54" s="18"/>
      <c r="DZ54" s="18"/>
    </row>
    <row r="55" spans="1:130" ht="15" customHeight="1" thickBot="1" x14ac:dyDescent="0.35">
      <c r="A55" s="30" t="s">
        <v>154</v>
      </c>
      <c r="B55" s="90" t="s">
        <v>441</v>
      </c>
      <c r="C55" s="91">
        <v>973</v>
      </c>
      <c r="D55" s="91">
        <v>968.09</v>
      </c>
      <c r="E55" s="91">
        <v>354.78</v>
      </c>
      <c r="F55" s="91">
        <v>2438</v>
      </c>
      <c r="G55" s="91">
        <v>1310</v>
      </c>
      <c r="H55" s="91">
        <v>7260</v>
      </c>
      <c r="I55" s="91">
        <v>2696</v>
      </c>
      <c r="J55" s="91">
        <v>2514.31</v>
      </c>
      <c r="K55" s="91">
        <v>2256.92</v>
      </c>
      <c r="L55" s="91">
        <v>1828.12</v>
      </c>
      <c r="M55" s="92">
        <v>6112</v>
      </c>
      <c r="N55" s="17"/>
      <c r="O55" s="17"/>
      <c r="P55" s="17"/>
      <c r="Q55" s="17"/>
      <c r="R55" s="17"/>
      <c r="S55" s="17"/>
      <c r="T55" s="17"/>
      <c r="U55" s="18"/>
      <c r="V55" s="18"/>
      <c r="W55" s="18"/>
      <c r="X55" s="18"/>
      <c r="Y55" s="18"/>
      <c r="Z55" s="18"/>
      <c r="AA55" s="18"/>
      <c r="AB55" s="18"/>
      <c r="AC55" s="18"/>
      <c r="AD55" s="18"/>
      <c r="AE55" s="85" t="s">
        <v>441</v>
      </c>
      <c r="AF55" s="85">
        <v>0</v>
      </c>
      <c r="AG55" s="85">
        <v>-3.7999999999556167E-3</v>
      </c>
      <c r="AH55" s="85">
        <v>0</v>
      </c>
      <c r="AI55" s="85">
        <v>0</v>
      </c>
      <c r="AJ55" s="85">
        <v>0</v>
      </c>
      <c r="AK55" s="85">
        <v>0</v>
      </c>
      <c r="AL55" s="85">
        <v>0</v>
      </c>
      <c r="AM55" s="85">
        <v>-1.6000000000531145E-3</v>
      </c>
      <c r="AN55" s="18"/>
      <c r="AO55" s="18"/>
      <c r="AP55" s="105" t="s">
        <v>441</v>
      </c>
      <c r="AQ55" s="86">
        <v>973</v>
      </c>
      <c r="AR55" s="86">
        <v>968.09379999999999</v>
      </c>
      <c r="AS55" s="86">
        <v>354.78</v>
      </c>
      <c r="AT55" s="86">
        <v>2438</v>
      </c>
      <c r="AU55" s="86">
        <v>1310</v>
      </c>
      <c r="AV55" s="86">
        <v>7260</v>
      </c>
      <c r="AW55" s="86">
        <v>2696</v>
      </c>
      <c r="AX55" s="86">
        <v>2514.3116</v>
      </c>
      <c r="AY55" s="86">
        <v>2256.9232000000002</v>
      </c>
      <c r="AZ55" s="86">
        <v>1828.12</v>
      </c>
      <c r="BA55" s="87">
        <v>6112</v>
      </c>
      <c r="BB55" s="18"/>
      <c r="BC55" s="18"/>
      <c r="BD55" s="18"/>
      <c r="BE55" s="18"/>
      <c r="BF55" s="18"/>
      <c r="BG55" s="18"/>
      <c r="BH55" s="18"/>
      <c r="BI55" s="18"/>
      <c r="BJ55" s="18"/>
      <c r="BK55" s="18"/>
      <c r="BL55" s="18"/>
      <c r="BM55" s="18"/>
      <c r="BN55" s="18"/>
      <c r="BO55" s="18"/>
      <c r="BP55" s="18"/>
      <c r="BQ55" s="37">
        <v>41578</v>
      </c>
      <c r="BR55" s="38">
        <v>36759.649599999997</v>
      </c>
      <c r="BS55" s="17"/>
      <c r="BT55" s="37">
        <v>41578</v>
      </c>
      <c r="BU55" s="38">
        <v>2492</v>
      </c>
      <c r="BV55" s="18"/>
      <c r="BW55" s="37"/>
      <c r="BX55" s="38"/>
      <c r="BY55" s="18"/>
      <c r="BZ55" s="39">
        <v>41578</v>
      </c>
      <c r="CA55" s="40">
        <v>36759.649599999997</v>
      </c>
      <c r="CB55" s="17"/>
      <c r="CC55" s="39">
        <v>41578</v>
      </c>
      <c r="CD55" s="40">
        <v>24.92</v>
      </c>
      <c r="CE55" s="18"/>
      <c r="CF55" s="18"/>
      <c r="CG55" s="18"/>
      <c r="CH55" s="18"/>
      <c r="CI55" s="18"/>
      <c r="CJ55" s="18"/>
      <c r="CK55" s="18"/>
      <c r="CL55" s="18"/>
      <c r="CM55" s="18"/>
      <c r="CN55" s="17"/>
      <c r="CO55" s="17"/>
      <c r="CP55" s="17"/>
      <c r="CQ55" s="18"/>
      <c r="CR55" s="18"/>
      <c r="CS55" s="18"/>
      <c r="CT55" s="18"/>
      <c r="CU55" s="18"/>
      <c r="CV55" s="18"/>
      <c r="CW55" s="18"/>
      <c r="CX55" s="18"/>
      <c r="CY55" s="37">
        <v>44837</v>
      </c>
      <c r="CZ55" s="38">
        <v>17.554200000000002</v>
      </c>
      <c r="DA55" s="18"/>
      <c r="DB55" s="37">
        <v>43923</v>
      </c>
      <c r="DC55" s="38">
        <v>18.959900000000001</v>
      </c>
      <c r="DD55" s="18"/>
      <c r="DE55" s="37">
        <v>43923</v>
      </c>
      <c r="DF55" s="38">
        <v>18.467600000000001</v>
      </c>
      <c r="DG55" s="18"/>
      <c r="DH55" s="37">
        <v>43923</v>
      </c>
      <c r="DI55" s="38">
        <v>22.895</v>
      </c>
      <c r="DJ55" s="18"/>
      <c r="DK55" s="37">
        <v>43923</v>
      </c>
      <c r="DL55" s="38">
        <v>0.17119999999999999</v>
      </c>
      <c r="DM55" s="18"/>
      <c r="DN55" s="18"/>
      <c r="DO55" s="18"/>
      <c r="DP55" s="18"/>
      <c r="DQ55" s="18"/>
      <c r="DR55" s="18"/>
      <c r="DS55" s="18"/>
      <c r="DT55" s="18"/>
      <c r="DU55" s="18"/>
      <c r="DV55" s="18"/>
      <c r="DW55" s="18"/>
      <c r="DX55" s="18"/>
      <c r="DY55" s="18"/>
      <c r="DZ55" s="18"/>
    </row>
    <row r="56" spans="1:130" ht="15" customHeight="1" x14ac:dyDescent="0.3">
      <c r="A56" s="30" t="s">
        <v>159</v>
      </c>
      <c r="B56" s="90" t="s">
        <v>442</v>
      </c>
      <c r="C56" s="91">
        <v>0.72199999999999998</v>
      </c>
      <c r="D56" s="91">
        <v>0.72399999999999998</v>
      </c>
      <c r="E56" s="91">
        <v>0.255</v>
      </c>
      <c r="F56" s="91">
        <v>1.8129999999999999</v>
      </c>
      <c r="G56" s="91">
        <v>0.96199999999999997</v>
      </c>
      <c r="H56" s="91">
        <v>5.3419999999999996</v>
      </c>
      <c r="I56" s="91">
        <v>1.9910000000000001</v>
      </c>
      <c r="J56" s="91">
        <v>1.869</v>
      </c>
      <c r="K56" s="91">
        <v>1.6919999999999999</v>
      </c>
      <c r="L56" s="91">
        <v>1.383</v>
      </c>
      <c r="M56" s="92">
        <v>4.8209999999999997</v>
      </c>
      <c r="N56" s="17"/>
      <c r="O56" s="17"/>
      <c r="P56" s="17"/>
      <c r="Q56" s="17"/>
      <c r="R56" s="17"/>
      <c r="S56" s="17"/>
      <c r="T56" s="17"/>
      <c r="U56" s="18"/>
      <c r="V56" s="18"/>
      <c r="W56" s="18"/>
      <c r="X56" s="18"/>
      <c r="Y56" s="18"/>
      <c r="Z56" s="18"/>
      <c r="AA56" s="18"/>
      <c r="AB56" s="18"/>
      <c r="AC56" s="18"/>
      <c r="AD56" s="18"/>
      <c r="AE56" s="85" t="s">
        <v>442</v>
      </c>
      <c r="AF56" s="85">
        <v>4.9999999999994493E-4</v>
      </c>
      <c r="AG56" s="85">
        <v>-9.9999999999988987E-5</v>
      </c>
      <c r="AH56" s="85">
        <v>-9.9999999999988987E-5</v>
      </c>
      <c r="AI56" s="85">
        <v>1.2499999999999956E-2</v>
      </c>
      <c r="AJ56" s="85">
        <v>1.9999999999997797E-4</v>
      </c>
      <c r="AK56" s="85">
        <v>-2.0000000000042206E-4</v>
      </c>
      <c r="AL56" s="85">
        <v>-9.9999999999988987E-5</v>
      </c>
      <c r="AM56" s="85">
        <v>-3.9999999999995595E-4</v>
      </c>
      <c r="AN56" s="18"/>
      <c r="AO56" s="18"/>
      <c r="AP56" s="77" t="s">
        <v>442</v>
      </c>
      <c r="AQ56" s="18">
        <v>0.72150000000000003</v>
      </c>
      <c r="AR56" s="18">
        <v>0.72409999999999997</v>
      </c>
      <c r="AS56" s="18">
        <v>0.25509999999999999</v>
      </c>
      <c r="AT56" s="18">
        <v>1.8005</v>
      </c>
      <c r="AU56" s="18">
        <v>0.96179999999999999</v>
      </c>
      <c r="AV56" s="18">
        <v>5.3422000000000001</v>
      </c>
      <c r="AW56" s="18">
        <v>1.9911000000000001</v>
      </c>
      <c r="AX56" s="18">
        <v>1.8694</v>
      </c>
      <c r="AY56" s="18">
        <v>1.6918</v>
      </c>
      <c r="AZ56" s="18">
        <v>1.3828</v>
      </c>
      <c r="BA56" s="78">
        <v>4.8211000000000004</v>
      </c>
      <c r="BB56" s="18"/>
      <c r="BC56" s="18"/>
      <c r="BD56" s="18"/>
      <c r="BE56" s="18"/>
      <c r="BF56" s="18"/>
      <c r="BG56" s="18"/>
      <c r="BH56" s="18"/>
      <c r="BI56" s="18"/>
      <c r="BJ56" s="18"/>
      <c r="BK56" s="18"/>
      <c r="BL56" s="18"/>
      <c r="BM56" s="18"/>
      <c r="BN56" s="18"/>
      <c r="BO56" s="18"/>
      <c r="BP56" s="18"/>
      <c r="BQ56" s="37">
        <v>41607</v>
      </c>
      <c r="BR56" s="38">
        <v>36580.640099999997</v>
      </c>
      <c r="BS56" s="17"/>
      <c r="BT56" s="37">
        <v>41607</v>
      </c>
      <c r="BU56" s="38">
        <v>2478</v>
      </c>
      <c r="BV56" s="18"/>
      <c r="BW56" s="37"/>
      <c r="BX56" s="38"/>
      <c r="BY56" s="18"/>
      <c r="BZ56" s="39">
        <v>41607</v>
      </c>
      <c r="CA56" s="40">
        <v>36580.640099999997</v>
      </c>
      <c r="CB56" s="17"/>
      <c r="CC56" s="39">
        <v>41607</v>
      </c>
      <c r="CD56" s="40">
        <v>24.78</v>
      </c>
      <c r="CE56" s="18"/>
      <c r="CF56" s="18"/>
      <c r="CG56" s="18"/>
      <c r="CH56" s="18"/>
      <c r="CI56" s="18"/>
      <c r="CJ56" s="18"/>
      <c r="CK56" s="18"/>
      <c r="CL56" s="18"/>
      <c r="CM56" s="18"/>
      <c r="CN56" s="17"/>
      <c r="CO56" s="17"/>
      <c r="CP56" s="17"/>
      <c r="CQ56" s="18"/>
      <c r="CR56" s="18"/>
      <c r="CS56" s="18"/>
      <c r="CT56" s="18"/>
      <c r="CU56" s="18"/>
      <c r="CV56" s="18"/>
      <c r="CW56" s="18"/>
      <c r="CX56" s="18"/>
      <c r="CY56" s="37">
        <v>44838</v>
      </c>
      <c r="CZ56" s="38">
        <v>17.585699999999999</v>
      </c>
      <c r="DA56" s="18"/>
      <c r="DB56" s="37">
        <v>43924</v>
      </c>
      <c r="DC56" s="38">
        <v>19.480499999999999</v>
      </c>
      <c r="DD56" s="18"/>
      <c r="DE56" s="37">
        <v>43924</v>
      </c>
      <c r="DF56" s="38">
        <v>19.040299999999998</v>
      </c>
      <c r="DG56" s="18"/>
      <c r="DH56" s="37">
        <v>43924</v>
      </c>
      <c r="DI56" s="38">
        <v>23.3507</v>
      </c>
      <c r="DJ56" s="18"/>
      <c r="DK56" s="37">
        <v>43924</v>
      </c>
      <c r="DL56" s="38">
        <v>0.1754</v>
      </c>
      <c r="DM56" s="18"/>
      <c r="DN56" s="18"/>
      <c r="DO56" s="18"/>
      <c r="DP56" s="18"/>
      <c r="DQ56" s="18"/>
      <c r="DR56" s="18"/>
      <c r="DS56" s="18"/>
      <c r="DT56" s="18"/>
      <c r="DU56" s="18"/>
      <c r="DV56" s="18"/>
      <c r="DW56" s="18"/>
      <c r="DX56" s="18"/>
      <c r="DY56" s="18"/>
      <c r="DZ56" s="18"/>
    </row>
    <row r="57" spans="1:130" ht="15" customHeight="1" x14ac:dyDescent="0.3">
      <c r="A57" s="30" t="s">
        <v>351</v>
      </c>
      <c r="B57" s="73" t="s">
        <v>194</v>
      </c>
      <c r="C57" s="74">
        <v>0.72299999999999998</v>
      </c>
      <c r="D57" s="74">
        <v>0.54600000000000004</v>
      </c>
      <c r="E57" s="74">
        <v>0.28299999999999997</v>
      </c>
      <c r="F57" s="74">
        <v>1.7669999999999999</v>
      </c>
      <c r="G57" s="74">
        <v>0.84199999999999997</v>
      </c>
      <c r="H57" s="74">
        <v>3.472</v>
      </c>
      <c r="I57" s="74">
        <v>1.226</v>
      </c>
      <c r="J57" s="74">
        <v>1.7889999999999999</v>
      </c>
      <c r="K57" s="74">
        <v>1.575</v>
      </c>
      <c r="L57" s="74">
        <v>3.8119999999999998</v>
      </c>
      <c r="M57" s="75">
        <v>-3.4049999999999998</v>
      </c>
      <c r="N57" s="17"/>
      <c r="O57" s="17"/>
      <c r="P57" s="17"/>
      <c r="Q57" s="17"/>
      <c r="R57" s="17"/>
      <c r="S57" s="17"/>
      <c r="T57" s="17"/>
      <c r="U57" s="18"/>
      <c r="V57" s="18"/>
      <c r="W57" s="18"/>
      <c r="X57" s="18"/>
      <c r="Y57" s="18"/>
      <c r="Z57" s="18"/>
      <c r="AA57" s="18"/>
      <c r="AB57" s="18"/>
      <c r="AC57" s="18"/>
      <c r="AD57" s="18"/>
      <c r="AE57" s="85" t="s">
        <v>194</v>
      </c>
      <c r="AF57" s="85">
        <v>0</v>
      </c>
      <c r="AG57" s="85">
        <v>0</v>
      </c>
      <c r="AH57" s="85">
        <v>0</v>
      </c>
      <c r="AI57" s="85">
        <v>0</v>
      </c>
      <c r="AJ57" s="85">
        <v>-9.9999999999988987E-5</v>
      </c>
      <c r="AK57" s="85">
        <v>3.00000000000189E-4</v>
      </c>
      <c r="AL57" s="85">
        <v>0</v>
      </c>
      <c r="AM57" s="85">
        <v>0</v>
      </c>
      <c r="AN57" s="18"/>
      <c r="AO57" s="18"/>
      <c r="AP57" s="77" t="s">
        <v>194</v>
      </c>
      <c r="AQ57" s="18">
        <v>0.72299999999999998</v>
      </c>
      <c r="AR57" s="18">
        <v>0.54600000000000004</v>
      </c>
      <c r="AS57" s="18">
        <v>0.28299999999999997</v>
      </c>
      <c r="AT57" s="18">
        <v>1.7669999999999999</v>
      </c>
      <c r="AU57" s="18">
        <v>0.84209999999999996</v>
      </c>
      <c r="AV57" s="18">
        <v>3.4716999999999998</v>
      </c>
      <c r="AW57" s="18">
        <v>1.226</v>
      </c>
      <c r="AX57" s="18">
        <v>1.7889999999999999</v>
      </c>
      <c r="AY57" s="18">
        <v>1.575</v>
      </c>
      <c r="AZ57" s="18">
        <v>3.8119999999999998</v>
      </c>
      <c r="BA57" s="78">
        <v>-3.4049999999999998</v>
      </c>
      <c r="BB57" s="18"/>
      <c r="BC57" s="18"/>
      <c r="BD57" s="18"/>
      <c r="BE57" s="18"/>
      <c r="BF57" s="18"/>
      <c r="BG57" s="18"/>
      <c r="BH57" s="18"/>
      <c r="BI57" s="18"/>
      <c r="BJ57" s="18"/>
      <c r="BK57" s="18"/>
      <c r="BL57" s="18"/>
      <c r="BM57" s="18"/>
      <c r="BN57" s="18"/>
      <c r="BO57" s="18"/>
      <c r="BP57" s="18"/>
      <c r="BQ57" s="37">
        <v>41639</v>
      </c>
      <c r="BR57" s="38">
        <v>38411.148300000001</v>
      </c>
      <c r="BS57" s="17"/>
      <c r="BT57" s="37">
        <v>41639</v>
      </c>
      <c r="BU57" s="38">
        <v>2602</v>
      </c>
      <c r="BV57" s="18"/>
      <c r="BW57" s="37"/>
      <c r="BX57" s="38"/>
      <c r="BY57" s="18"/>
      <c r="BZ57" s="39">
        <v>41639</v>
      </c>
      <c r="CA57" s="40">
        <v>38411.148300000001</v>
      </c>
      <c r="CB57" s="17"/>
      <c r="CC57" s="39">
        <v>41639</v>
      </c>
      <c r="CD57" s="40">
        <v>26.02</v>
      </c>
      <c r="CE57" s="18"/>
      <c r="CF57" s="18"/>
      <c r="CG57" s="18"/>
      <c r="CH57" s="18"/>
      <c r="CI57" s="18"/>
      <c r="CJ57" s="18"/>
      <c r="CK57" s="18"/>
      <c r="CL57" s="18"/>
      <c r="CM57" s="18"/>
      <c r="CN57" s="17"/>
      <c r="CO57" s="17"/>
      <c r="CP57" s="17"/>
      <c r="CQ57" s="18"/>
      <c r="CR57" s="18"/>
      <c r="CS57" s="18"/>
      <c r="CT57" s="18"/>
      <c r="CU57" s="18"/>
      <c r="CV57" s="18"/>
      <c r="CW57" s="18"/>
      <c r="CX57" s="18"/>
      <c r="CY57" s="37">
        <v>44839</v>
      </c>
      <c r="CZ57" s="38">
        <v>17.627600000000001</v>
      </c>
      <c r="DA57" s="18"/>
      <c r="DB57" s="37">
        <v>43927</v>
      </c>
      <c r="DC57" s="38">
        <v>19.055199999999999</v>
      </c>
      <c r="DD57" s="18"/>
      <c r="DE57" s="37">
        <v>43927</v>
      </c>
      <c r="DF57" s="38">
        <v>18.664200000000001</v>
      </c>
      <c r="DG57" s="18"/>
      <c r="DH57" s="37">
        <v>43927</v>
      </c>
      <c r="DI57" s="38">
        <v>22.8369</v>
      </c>
      <c r="DJ57" s="18"/>
      <c r="DK57" s="37">
        <v>43927</v>
      </c>
      <c r="DL57" s="38">
        <v>0.1706</v>
      </c>
      <c r="DM57" s="18"/>
      <c r="DN57" s="18"/>
      <c r="DO57" s="18"/>
      <c r="DP57" s="18"/>
      <c r="DQ57" s="18"/>
      <c r="DR57" s="18"/>
      <c r="DS57" s="18"/>
      <c r="DT57" s="18"/>
      <c r="DU57" s="18"/>
      <c r="DV57" s="18"/>
      <c r="DW57" s="18"/>
      <c r="DX57" s="18"/>
      <c r="DY57" s="18"/>
      <c r="DZ57" s="18"/>
    </row>
    <row r="58" spans="1:130" ht="15" customHeight="1" x14ac:dyDescent="0.3">
      <c r="A58" s="30" t="s">
        <v>352</v>
      </c>
      <c r="B58" s="73" t="s">
        <v>195</v>
      </c>
      <c r="C58" s="74">
        <v>0.72299999999999998</v>
      </c>
      <c r="D58" s="74">
        <v>0.54600000000000004</v>
      </c>
      <c r="E58" s="74">
        <v>0.28299999999999997</v>
      </c>
      <c r="F58" s="74">
        <v>1.7669999999999999</v>
      </c>
      <c r="G58" s="74">
        <v>3.577</v>
      </c>
      <c r="H58" s="74">
        <v>-0.40899999999999997</v>
      </c>
      <c r="I58" s="74">
        <v>1.226</v>
      </c>
      <c r="J58" s="74">
        <v>1.7889999999999999</v>
      </c>
      <c r="K58" s="74">
        <v>1.575</v>
      </c>
      <c r="L58" s="74">
        <v>3.8119999999999998</v>
      </c>
      <c r="M58" s="75">
        <v>-3.238</v>
      </c>
      <c r="N58" s="17"/>
      <c r="O58" s="17"/>
      <c r="P58" s="17"/>
      <c r="Q58" s="17"/>
      <c r="R58" s="17"/>
      <c r="S58" s="17"/>
      <c r="T58" s="17"/>
      <c r="U58" s="18"/>
      <c r="V58" s="18"/>
      <c r="W58" s="18"/>
      <c r="X58" s="18"/>
      <c r="Y58" s="18"/>
      <c r="Z58" s="18"/>
      <c r="AA58" s="18"/>
      <c r="AB58" s="18"/>
      <c r="AC58" s="18"/>
      <c r="AD58" s="18"/>
      <c r="AE58" s="85" t="s">
        <v>195</v>
      </c>
      <c r="AF58" s="85">
        <v>0</v>
      </c>
      <c r="AG58" s="85">
        <v>0</v>
      </c>
      <c r="AH58" s="85">
        <v>0</v>
      </c>
      <c r="AI58" s="85">
        <v>0</v>
      </c>
      <c r="AJ58" s="85">
        <v>0</v>
      </c>
      <c r="AK58" s="85">
        <v>0</v>
      </c>
      <c r="AL58" s="85">
        <v>0</v>
      </c>
      <c r="AM58" s="85">
        <v>0</v>
      </c>
      <c r="AN58" s="18"/>
      <c r="AO58" s="18"/>
      <c r="AP58" s="77" t="s">
        <v>195</v>
      </c>
      <c r="AQ58" s="18">
        <v>0.72299999999999998</v>
      </c>
      <c r="AR58" s="18">
        <v>0.54600000000000004</v>
      </c>
      <c r="AS58" s="18">
        <v>0.28299999999999997</v>
      </c>
      <c r="AT58" s="18">
        <v>1.7669999999999999</v>
      </c>
      <c r="AU58" s="18">
        <v>3.577</v>
      </c>
      <c r="AV58" s="18">
        <v>-0.40899999999999997</v>
      </c>
      <c r="AW58" s="18">
        <v>1.226</v>
      </c>
      <c r="AX58" s="18">
        <v>1.7889999999999999</v>
      </c>
      <c r="AY58" s="18">
        <v>1.575</v>
      </c>
      <c r="AZ58" s="18">
        <v>3.8119999999999998</v>
      </c>
      <c r="BA58" s="78">
        <v>-3.238</v>
      </c>
      <c r="BB58" s="18"/>
      <c r="BC58" s="18"/>
      <c r="BD58" s="18"/>
      <c r="BE58" s="18"/>
      <c r="BF58" s="18"/>
      <c r="BG58" s="18"/>
      <c r="BH58" s="18"/>
      <c r="BI58" s="18"/>
      <c r="BJ58" s="18"/>
      <c r="BK58" s="18"/>
      <c r="BL58" s="18"/>
      <c r="BM58" s="18"/>
      <c r="BN58" s="18"/>
      <c r="BO58" s="18"/>
      <c r="BP58" s="18"/>
      <c r="BQ58" s="37">
        <v>41670</v>
      </c>
      <c r="BR58" s="38">
        <v>32849.039599999996</v>
      </c>
      <c r="BS58" s="17"/>
      <c r="BT58" s="37">
        <v>41670</v>
      </c>
      <c r="BU58" s="38">
        <v>2225</v>
      </c>
      <c r="BV58" s="18"/>
      <c r="BW58" s="37"/>
      <c r="BX58" s="38"/>
      <c r="BY58" s="18"/>
      <c r="BZ58" s="39">
        <v>41670</v>
      </c>
      <c r="CA58" s="40">
        <v>32849.039599999996</v>
      </c>
      <c r="CB58" s="17"/>
      <c r="CC58" s="39">
        <v>41670</v>
      </c>
      <c r="CD58" s="40">
        <v>22.25</v>
      </c>
      <c r="CE58" s="18"/>
      <c r="CF58" s="18"/>
      <c r="CG58" s="18"/>
      <c r="CH58" s="18"/>
      <c r="CI58" s="18"/>
      <c r="CJ58" s="18"/>
      <c r="CK58" s="18"/>
      <c r="CL58" s="18"/>
      <c r="CM58" s="18"/>
      <c r="CN58" s="17"/>
      <c r="CO58" s="17"/>
      <c r="CP58" s="17"/>
      <c r="CQ58" s="18"/>
      <c r="CR58" s="18"/>
      <c r="CS58" s="18"/>
      <c r="CT58" s="18"/>
      <c r="CU58" s="18"/>
      <c r="CV58" s="18"/>
      <c r="CW58" s="18"/>
      <c r="CX58" s="18"/>
      <c r="CY58" s="37">
        <v>44840</v>
      </c>
      <c r="CZ58" s="38">
        <v>17.6006</v>
      </c>
      <c r="DA58" s="18"/>
      <c r="DB58" s="37">
        <v>43928</v>
      </c>
      <c r="DC58" s="38">
        <v>18.896599999999999</v>
      </c>
      <c r="DD58" s="18"/>
      <c r="DE58" s="37">
        <v>43928</v>
      </c>
      <c r="DF58" s="38">
        <v>18.3201</v>
      </c>
      <c r="DG58" s="18"/>
      <c r="DH58" s="37">
        <v>43928</v>
      </c>
      <c r="DI58" s="38">
        <v>22.590900000000001</v>
      </c>
      <c r="DJ58" s="18"/>
      <c r="DK58" s="37">
        <v>43928</v>
      </c>
      <c r="DL58" s="38">
        <v>0.16830000000000001</v>
      </c>
      <c r="DM58" s="18"/>
      <c r="DN58" s="18"/>
      <c r="DO58" s="18"/>
      <c r="DP58" s="18"/>
      <c r="DQ58" s="18"/>
      <c r="DR58" s="18"/>
      <c r="DS58" s="18"/>
      <c r="DT58" s="18"/>
      <c r="DU58" s="18"/>
      <c r="DV58" s="18"/>
      <c r="DW58" s="18"/>
      <c r="DX58" s="18"/>
      <c r="DY58" s="18"/>
      <c r="DZ58" s="18"/>
    </row>
    <row r="59" spans="1:130" ht="15" customHeight="1" x14ac:dyDescent="0.3">
      <c r="A59" s="30" t="s">
        <v>353</v>
      </c>
      <c r="B59" s="73" t="s">
        <v>198</v>
      </c>
      <c r="C59" s="74">
        <v>1338</v>
      </c>
      <c r="D59" s="74">
        <v>1336.9960000000001</v>
      </c>
      <c r="E59" s="74">
        <v>1336</v>
      </c>
      <c r="F59" s="74">
        <v>1345</v>
      </c>
      <c r="G59" s="74">
        <v>1362</v>
      </c>
      <c r="H59" s="74">
        <v>1359</v>
      </c>
      <c r="I59" s="74">
        <v>1354</v>
      </c>
      <c r="J59" s="74">
        <v>1345</v>
      </c>
      <c r="K59" s="74">
        <v>1334</v>
      </c>
      <c r="L59" s="74">
        <v>1322</v>
      </c>
      <c r="M59" s="75">
        <v>1308</v>
      </c>
      <c r="N59" s="17"/>
      <c r="O59" s="17"/>
      <c r="P59" s="17"/>
      <c r="Q59" s="17"/>
      <c r="R59" s="17"/>
      <c r="S59" s="17"/>
      <c r="T59" s="17"/>
      <c r="U59" s="18"/>
      <c r="V59" s="18"/>
      <c r="W59" s="18"/>
      <c r="X59" s="18"/>
      <c r="Y59" s="18"/>
      <c r="Z59" s="18"/>
      <c r="AA59" s="18"/>
      <c r="AB59" s="18"/>
      <c r="AC59" s="18"/>
      <c r="AD59" s="18"/>
      <c r="AE59" s="85" t="s">
        <v>198</v>
      </c>
      <c r="AF59" s="85">
        <v>0</v>
      </c>
      <c r="AG59" s="85">
        <v>-2.9999999992469384E-4</v>
      </c>
      <c r="AH59" s="85">
        <v>0</v>
      </c>
      <c r="AI59" s="85">
        <v>0</v>
      </c>
      <c r="AJ59" s="85">
        <v>0</v>
      </c>
      <c r="AK59" s="85">
        <v>0</v>
      </c>
      <c r="AL59" s="85">
        <v>0</v>
      </c>
      <c r="AM59" s="85">
        <v>0</v>
      </c>
      <c r="AN59" s="18"/>
      <c r="AO59" s="18"/>
      <c r="AP59" s="77" t="s">
        <v>196</v>
      </c>
      <c r="AQ59" s="18">
        <v>1338</v>
      </c>
      <c r="AR59" s="18">
        <v>1336.9963</v>
      </c>
      <c r="AS59" s="18">
        <v>1336</v>
      </c>
      <c r="AT59" s="18">
        <v>1345</v>
      </c>
      <c r="AU59" s="18">
        <v>1362</v>
      </c>
      <c r="AV59" s="18">
        <v>1359</v>
      </c>
      <c r="AW59" s="18">
        <v>1354</v>
      </c>
      <c r="AX59" s="18">
        <v>1345</v>
      </c>
      <c r="AY59" s="18">
        <v>1334</v>
      </c>
      <c r="AZ59" s="18">
        <v>1322</v>
      </c>
      <c r="BA59" s="78">
        <v>1308</v>
      </c>
      <c r="BB59" s="18"/>
      <c r="BC59" s="18"/>
      <c r="BD59" s="18"/>
      <c r="BE59" s="18"/>
      <c r="BF59" s="18"/>
      <c r="BG59" s="18"/>
      <c r="BH59" s="18"/>
      <c r="BI59" s="18"/>
      <c r="BJ59" s="18"/>
      <c r="BK59" s="18"/>
      <c r="BL59" s="18"/>
      <c r="BM59" s="18"/>
      <c r="BN59" s="18"/>
      <c r="BO59" s="18"/>
      <c r="BP59" s="18"/>
      <c r="BQ59" s="37">
        <v>41698</v>
      </c>
      <c r="BR59" s="38">
        <v>33291.947899999999</v>
      </c>
      <c r="BS59" s="17"/>
      <c r="BT59" s="37">
        <v>41698</v>
      </c>
      <c r="BU59" s="38">
        <v>2255</v>
      </c>
      <c r="BV59" s="18"/>
      <c r="BW59" s="37"/>
      <c r="BX59" s="38"/>
      <c r="BY59" s="18"/>
      <c r="BZ59" s="39">
        <v>41698</v>
      </c>
      <c r="CA59" s="40">
        <v>33291.947899999999</v>
      </c>
      <c r="CB59" s="17"/>
      <c r="CC59" s="39">
        <v>41698</v>
      </c>
      <c r="CD59" s="40">
        <v>22.55</v>
      </c>
      <c r="CE59" s="18"/>
      <c r="CF59" s="18"/>
      <c r="CG59" s="18"/>
      <c r="CH59" s="18"/>
      <c r="CI59" s="18"/>
      <c r="CJ59" s="18"/>
      <c r="CK59" s="18"/>
      <c r="CL59" s="18"/>
      <c r="CM59" s="18"/>
      <c r="CN59" s="17"/>
      <c r="CO59" s="17"/>
      <c r="CP59" s="17"/>
      <c r="CQ59" s="18"/>
      <c r="CR59" s="18"/>
      <c r="CS59" s="18"/>
      <c r="CT59" s="18"/>
      <c r="CU59" s="18"/>
      <c r="CV59" s="18"/>
      <c r="CW59" s="18"/>
      <c r="CX59" s="18"/>
      <c r="CY59" s="37">
        <v>44841</v>
      </c>
      <c r="CZ59" s="38">
        <v>17.640999999999998</v>
      </c>
      <c r="DA59" s="18"/>
      <c r="DB59" s="37">
        <v>43929</v>
      </c>
      <c r="DC59" s="38">
        <v>18.715</v>
      </c>
      <c r="DD59" s="18"/>
      <c r="DE59" s="37">
        <v>43929</v>
      </c>
      <c r="DF59" s="38">
        <v>18.192</v>
      </c>
      <c r="DG59" s="18"/>
      <c r="DH59" s="37">
        <v>43929</v>
      </c>
      <c r="DI59" s="38">
        <v>22.5307</v>
      </c>
      <c r="DJ59" s="18"/>
      <c r="DK59" s="37">
        <v>43929</v>
      </c>
      <c r="DL59" s="38">
        <v>0.16719999999999999</v>
      </c>
      <c r="DM59" s="18"/>
      <c r="DN59" s="18"/>
      <c r="DO59" s="18"/>
      <c r="DP59" s="18"/>
      <c r="DQ59" s="18"/>
      <c r="DR59" s="18"/>
      <c r="DS59" s="18"/>
      <c r="DT59" s="18"/>
      <c r="DU59" s="18"/>
      <c r="DV59" s="18"/>
      <c r="DW59" s="18"/>
      <c r="DX59" s="18"/>
      <c r="DY59" s="18"/>
      <c r="DZ59" s="18"/>
    </row>
    <row r="60" spans="1:130" ht="15" customHeight="1" x14ac:dyDescent="0.3">
      <c r="A60" s="30" t="s">
        <v>158</v>
      </c>
      <c r="B60" s="73" t="s">
        <v>443</v>
      </c>
      <c r="C60" s="74">
        <v>0.71599999999999997</v>
      </c>
      <c r="D60" s="74">
        <v>0.72</v>
      </c>
      <c r="E60" s="74">
        <v>0.255</v>
      </c>
      <c r="F60" s="74">
        <v>1.7829999999999999</v>
      </c>
      <c r="G60" s="74">
        <v>0.94199999999999995</v>
      </c>
      <c r="H60" s="74">
        <v>5.274</v>
      </c>
      <c r="I60" s="74">
        <v>1.954</v>
      </c>
      <c r="J60" s="74">
        <v>1.8220000000000001</v>
      </c>
      <c r="K60" s="74">
        <v>1.6519999999999999</v>
      </c>
      <c r="L60" s="74">
        <v>1.347</v>
      </c>
      <c r="M60" s="75">
        <v>4.673</v>
      </c>
      <c r="N60" s="17"/>
      <c r="O60" s="17"/>
      <c r="P60" s="17"/>
      <c r="Q60" s="17"/>
      <c r="R60" s="17"/>
      <c r="S60" s="17"/>
      <c r="T60" s="17"/>
      <c r="U60" s="18"/>
      <c r="V60" s="18"/>
      <c r="W60" s="18"/>
      <c r="X60" s="18"/>
      <c r="Y60" s="18"/>
      <c r="Z60" s="18"/>
      <c r="AA60" s="18"/>
      <c r="AB60" s="18"/>
      <c r="AC60" s="18"/>
      <c r="AD60" s="18"/>
      <c r="AE60" s="85" t="s">
        <v>443</v>
      </c>
      <c r="AF60" s="85">
        <v>4.9999999999994493E-4</v>
      </c>
      <c r="AG60" s="85">
        <v>-9.9999999999988987E-5</v>
      </c>
      <c r="AH60" s="85">
        <v>-9.9999999999988987E-5</v>
      </c>
      <c r="AI60" s="85">
        <v>-9.9999999999988987E-5</v>
      </c>
      <c r="AJ60" s="85">
        <v>2.9999999999996696E-4</v>
      </c>
      <c r="AK60" s="85">
        <v>-3.9999999999995595E-4</v>
      </c>
      <c r="AL60" s="85">
        <v>1.9999999999997797E-4</v>
      </c>
      <c r="AM60" s="85">
        <v>-2.9999999999996696E-4</v>
      </c>
      <c r="AN60" s="18"/>
      <c r="AO60" s="18"/>
      <c r="AP60" s="77" t="s">
        <v>443</v>
      </c>
      <c r="AQ60" s="18">
        <v>0.71550000000000002</v>
      </c>
      <c r="AR60" s="18">
        <v>0.72009999999999996</v>
      </c>
      <c r="AS60" s="18">
        <v>0.25509999999999999</v>
      </c>
      <c r="AT60" s="18">
        <v>1.7830999999999999</v>
      </c>
      <c r="AU60" s="18">
        <v>0.94169999999999998</v>
      </c>
      <c r="AV60" s="18">
        <v>5.2744</v>
      </c>
      <c r="AW60" s="18">
        <v>1.9538</v>
      </c>
      <c r="AX60" s="18">
        <v>1.8223</v>
      </c>
      <c r="AY60" s="18">
        <v>1.6519999999999999</v>
      </c>
      <c r="AZ60" s="18">
        <v>1.3469</v>
      </c>
      <c r="BA60" s="78">
        <v>4.6730999999999998</v>
      </c>
      <c r="BB60" s="18"/>
      <c r="BC60" s="18"/>
      <c r="BD60" s="18"/>
      <c r="BE60" s="18"/>
      <c r="BF60" s="18"/>
      <c r="BG60" s="18"/>
      <c r="BH60" s="18"/>
      <c r="BI60" s="18"/>
      <c r="BJ60" s="18"/>
      <c r="BK60" s="18"/>
      <c r="BL60" s="18"/>
      <c r="BM60" s="18"/>
      <c r="BN60" s="18"/>
      <c r="BO60" s="18"/>
      <c r="BP60" s="18"/>
      <c r="BQ60" s="37">
        <v>41729</v>
      </c>
      <c r="BR60" s="38">
        <v>34458.273399999998</v>
      </c>
      <c r="BS60" s="17"/>
      <c r="BT60" s="37">
        <v>41729</v>
      </c>
      <c r="BU60" s="38">
        <v>2334</v>
      </c>
      <c r="BV60" s="18"/>
      <c r="BW60" s="37"/>
      <c r="BX60" s="38"/>
      <c r="BY60" s="18"/>
      <c r="BZ60" s="39">
        <v>41729</v>
      </c>
      <c r="CA60" s="40">
        <v>34458.273399999998</v>
      </c>
      <c r="CB60" s="17"/>
      <c r="CC60" s="39">
        <v>41729</v>
      </c>
      <c r="CD60" s="40">
        <v>23.34</v>
      </c>
      <c r="CE60" s="18"/>
      <c r="CF60" s="18"/>
      <c r="CG60" s="18"/>
      <c r="CH60" s="18"/>
      <c r="CI60" s="18"/>
      <c r="CJ60" s="18"/>
      <c r="CK60" s="18"/>
      <c r="CL60" s="18"/>
      <c r="CM60" s="18"/>
      <c r="CN60" s="17"/>
      <c r="CO60" s="17"/>
      <c r="CP60" s="17"/>
      <c r="CQ60" s="18"/>
      <c r="CR60" s="18"/>
      <c r="CS60" s="18"/>
      <c r="CT60" s="18"/>
      <c r="CU60" s="18"/>
      <c r="CV60" s="18"/>
      <c r="CW60" s="18"/>
      <c r="CX60" s="18"/>
      <c r="CY60" s="37">
        <v>44844</v>
      </c>
      <c r="CZ60" s="38">
        <v>17.578299999999999</v>
      </c>
      <c r="DA60" s="18"/>
      <c r="DB60" s="37">
        <v>43930</v>
      </c>
      <c r="DC60" s="38">
        <v>18.673500000000001</v>
      </c>
      <c r="DD60" s="18"/>
      <c r="DE60" s="37">
        <v>43930</v>
      </c>
      <c r="DF60" s="38">
        <v>18.033799999999999</v>
      </c>
      <c r="DG60" s="18"/>
      <c r="DH60" s="37">
        <v>43930</v>
      </c>
      <c r="DI60" s="38">
        <v>22.471399999999999</v>
      </c>
      <c r="DJ60" s="18"/>
      <c r="DK60" s="37">
        <v>43930</v>
      </c>
      <c r="DL60" s="38">
        <v>0.16619999999999999</v>
      </c>
      <c r="DM60" s="18"/>
      <c r="DN60" s="18"/>
      <c r="DO60" s="18"/>
      <c r="DP60" s="18"/>
      <c r="DQ60" s="18"/>
      <c r="DR60" s="18"/>
      <c r="DS60" s="18"/>
      <c r="DT60" s="18"/>
      <c r="DU60" s="18"/>
      <c r="DV60" s="18"/>
      <c r="DW60" s="18"/>
      <c r="DX60" s="18"/>
      <c r="DY60" s="18"/>
      <c r="DZ60" s="18"/>
    </row>
    <row r="61" spans="1:130" ht="15" customHeight="1" x14ac:dyDescent="0.3">
      <c r="A61" s="100" t="s">
        <v>427</v>
      </c>
      <c r="B61" s="73" t="s">
        <v>197</v>
      </c>
      <c r="C61" s="74">
        <v>0.71699999999999997</v>
      </c>
      <c r="D61" s="74">
        <v>0.54300000000000004</v>
      </c>
      <c r="E61" s="74">
        <v>0.28100000000000003</v>
      </c>
      <c r="F61" s="74">
        <v>1.75</v>
      </c>
      <c r="G61" s="74">
        <v>3.536</v>
      </c>
      <c r="H61" s="74">
        <v>-0.40899999999999997</v>
      </c>
      <c r="I61" s="74">
        <v>1.206</v>
      </c>
      <c r="J61" s="74">
        <v>1.748</v>
      </c>
      <c r="K61" s="74">
        <v>1.542</v>
      </c>
      <c r="L61" s="74">
        <v>3.722</v>
      </c>
      <c r="M61" s="75">
        <v>-3.238</v>
      </c>
      <c r="N61" s="17"/>
      <c r="O61" s="17"/>
      <c r="P61" s="17"/>
      <c r="Q61" s="17"/>
      <c r="R61" s="17"/>
      <c r="S61" s="17"/>
      <c r="T61" s="17"/>
      <c r="U61" s="18"/>
      <c r="V61" s="18"/>
      <c r="W61" s="18"/>
      <c r="X61" s="18"/>
      <c r="Y61" s="18"/>
      <c r="Z61" s="18"/>
      <c r="AA61" s="18"/>
      <c r="AB61" s="18"/>
      <c r="AC61" s="18"/>
      <c r="AD61" s="18"/>
      <c r="AE61" s="85" t="s">
        <v>197</v>
      </c>
      <c r="AF61" s="85">
        <v>0</v>
      </c>
      <c r="AG61" s="85">
        <v>0</v>
      </c>
      <c r="AH61" s="85">
        <v>0</v>
      </c>
      <c r="AI61" s="85">
        <v>0</v>
      </c>
      <c r="AJ61" s="85">
        <v>0</v>
      </c>
      <c r="AK61" s="85">
        <v>0</v>
      </c>
      <c r="AL61" s="85">
        <v>0</v>
      </c>
      <c r="AM61" s="85">
        <v>0</v>
      </c>
      <c r="AN61" s="18"/>
      <c r="AO61" s="18"/>
      <c r="AP61" s="77" t="s">
        <v>197</v>
      </c>
      <c r="AQ61" s="18">
        <v>0.71699999999999997</v>
      </c>
      <c r="AR61" s="18">
        <v>0.54300000000000004</v>
      </c>
      <c r="AS61" s="18">
        <v>0.28100000000000003</v>
      </c>
      <c r="AT61" s="18">
        <v>1.75</v>
      </c>
      <c r="AU61" s="18">
        <v>3.536</v>
      </c>
      <c r="AV61" s="18">
        <v>-0.40899999999999997</v>
      </c>
      <c r="AW61" s="18">
        <v>1.206</v>
      </c>
      <c r="AX61" s="18">
        <v>1.748</v>
      </c>
      <c r="AY61" s="18">
        <v>1.542</v>
      </c>
      <c r="AZ61" s="18">
        <v>3.722</v>
      </c>
      <c r="BA61" s="78">
        <v>-3.238</v>
      </c>
      <c r="BB61" s="18"/>
      <c r="BC61" s="18"/>
      <c r="BD61" s="18"/>
      <c r="BE61" s="18"/>
      <c r="BF61" s="18"/>
      <c r="BG61" s="18"/>
      <c r="BH61" s="18"/>
      <c r="BI61" s="18"/>
      <c r="BJ61" s="18"/>
      <c r="BK61" s="18"/>
      <c r="BL61" s="18"/>
      <c r="BM61" s="18"/>
      <c r="BN61" s="18"/>
      <c r="BO61" s="18"/>
      <c r="BP61" s="18"/>
      <c r="BQ61" s="37">
        <v>41759</v>
      </c>
      <c r="BR61" s="38">
        <v>37647.213900000002</v>
      </c>
      <c r="BS61" s="17"/>
      <c r="BT61" s="37">
        <v>41759</v>
      </c>
      <c r="BU61" s="38">
        <v>2550</v>
      </c>
      <c r="BV61" s="18"/>
      <c r="BW61" s="37"/>
      <c r="BX61" s="38"/>
      <c r="BY61" s="18"/>
      <c r="BZ61" s="39">
        <v>41759</v>
      </c>
      <c r="CA61" s="40">
        <v>37647.213900000002</v>
      </c>
      <c r="CB61" s="17"/>
      <c r="CC61" s="39">
        <v>41759</v>
      </c>
      <c r="CD61" s="40">
        <v>25.5</v>
      </c>
      <c r="CE61" s="18"/>
      <c r="CF61" s="18"/>
      <c r="CG61" s="18"/>
      <c r="CH61" s="18"/>
      <c r="CI61" s="18"/>
      <c r="CJ61" s="18"/>
      <c r="CK61" s="18"/>
      <c r="CL61" s="18"/>
      <c r="CM61" s="18"/>
      <c r="CN61" s="17"/>
      <c r="CO61" s="17"/>
      <c r="CP61" s="17"/>
      <c r="CQ61" s="18"/>
      <c r="CR61" s="18"/>
      <c r="CS61" s="18"/>
      <c r="CT61" s="18"/>
      <c r="CU61" s="18"/>
      <c r="CV61" s="18"/>
      <c r="CW61" s="18"/>
      <c r="CX61" s="18"/>
      <c r="CY61" s="37">
        <v>44845</v>
      </c>
      <c r="CZ61" s="38">
        <v>17.629899999999999</v>
      </c>
      <c r="DA61" s="18"/>
      <c r="DB61" s="37">
        <v>43935</v>
      </c>
      <c r="DC61" s="38">
        <v>19.078299999999999</v>
      </c>
      <c r="DD61" s="18"/>
      <c r="DE61" s="37">
        <v>43935</v>
      </c>
      <c r="DF61" s="38">
        <v>18.323399999999999</v>
      </c>
      <c r="DG61" s="18"/>
      <c r="DH61" s="37">
        <v>43935</v>
      </c>
      <c r="DI61" s="38">
        <v>23.103200000000001</v>
      </c>
      <c r="DJ61" s="18"/>
      <c r="DK61" s="37">
        <v>43935</v>
      </c>
      <c r="DL61" s="38">
        <v>0.1709</v>
      </c>
      <c r="DM61" s="18"/>
      <c r="DN61" s="18"/>
      <c r="DO61" s="18"/>
      <c r="DP61" s="18"/>
      <c r="DQ61" s="18"/>
      <c r="DR61" s="18"/>
      <c r="DS61" s="18"/>
      <c r="DT61" s="18"/>
      <c r="DU61" s="18"/>
      <c r="DV61" s="18"/>
      <c r="DW61" s="18"/>
      <c r="DX61" s="18"/>
      <c r="DY61" s="18"/>
      <c r="DZ61" s="18"/>
    </row>
    <row r="62" spans="1:130" ht="15" customHeight="1" x14ac:dyDescent="0.3">
      <c r="A62" s="100" t="s">
        <v>353</v>
      </c>
      <c r="B62" s="73" t="s">
        <v>198</v>
      </c>
      <c r="C62" s="74">
        <v>1338</v>
      </c>
      <c r="D62" s="74">
        <v>1336.9960000000001</v>
      </c>
      <c r="E62" s="74">
        <v>1336</v>
      </c>
      <c r="F62" s="74">
        <v>1345</v>
      </c>
      <c r="G62" s="74">
        <v>1362</v>
      </c>
      <c r="H62" s="74">
        <v>1359</v>
      </c>
      <c r="I62" s="74">
        <v>1354</v>
      </c>
      <c r="J62" s="74">
        <v>1345</v>
      </c>
      <c r="K62" s="74">
        <v>1334</v>
      </c>
      <c r="L62" s="74">
        <v>1322</v>
      </c>
      <c r="M62" s="75">
        <v>1308</v>
      </c>
      <c r="N62" s="17"/>
      <c r="O62" s="17"/>
      <c r="P62" s="17"/>
      <c r="Q62" s="17"/>
      <c r="R62" s="17"/>
      <c r="S62" s="17"/>
      <c r="T62" s="17"/>
      <c r="U62" s="18"/>
      <c r="V62" s="18"/>
      <c r="W62" s="18"/>
      <c r="X62" s="18"/>
      <c r="Y62" s="18"/>
      <c r="Z62" s="18"/>
      <c r="AA62" s="18"/>
      <c r="AB62" s="18"/>
      <c r="AC62" s="18"/>
      <c r="AD62" s="18"/>
      <c r="AE62" s="85" t="s">
        <v>198</v>
      </c>
      <c r="AF62" s="85">
        <v>-21.832599999999957</v>
      </c>
      <c r="AG62" s="85">
        <v>-7.3870999999999185</v>
      </c>
      <c r="AH62" s="85">
        <v>0</v>
      </c>
      <c r="AI62" s="85">
        <v>-13</v>
      </c>
      <c r="AJ62" s="85">
        <v>-16</v>
      </c>
      <c r="AK62" s="85">
        <v>-15</v>
      </c>
      <c r="AL62" s="85">
        <v>-22</v>
      </c>
      <c r="AM62" s="85">
        <v>-32</v>
      </c>
      <c r="AN62" s="18"/>
      <c r="AO62" s="18"/>
      <c r="AP62" s="77" t="s">
        <v>198</v>
      </c>
      <c r="AQ62" s="86">
        <v>1359.8326</v>
      </c>
      <c r="AR62" s="86">
        <v>1344.3831</v>
      </c>
      <c r="AS62" s="86">
        <v>1336</v>
      </c>
      <c r="AT62" s="86">
        <v>1358</v>
      </c>
      <c r="AU62" s="86">
        <v>1378</v>
      </c>
      <c r="AV62" s="86">
        <v>1374</v>
      </c>
      <c r="AW62" s="86">
        <v>1376</v>
      </c>
      <c r="AX62" s="86">
        <v>1377</v>
      </c>
      <c r="AY62" s="86">
        <v>1363</v>
      </c>
      <c r="AZ62" s="86">
        <v>1354</v>
      </c>
      <c r="BA62" s="87">
        <v>1332</v>
      </c>
      <c r="BB62" s="18"/>
      <c r="BC62" s="18"/>
      <c r="BD62" s="18"/>
      <c r="BE62" s="18"/>
      <c r="BF62" s="18"/>
      <c r="BG62" s="18"/>
      <c r="BH62" s="18"/>
      <c r="BI62" s="18"/>
      <c r="BJ62" s="18"/>
      <c r="BK62" s="18"/>
      <c r="BL62" s="18"/>
      <c r="BM62" s="18"/>
      <c r="BN62" s="18"/>
      <c r="BO62" s="18"/>
      <c r="BP62" s="18"/>
      <c r="BQ62" s="37">
        <v>41789</v>
      </c>
      <c r="BR62" s="38">
        <v>42223.934000000001</v>
      </c>
      <c r="BS62" s="17"/>
      <c r="BT62" s="37">
        <v>41789</v>
      </c>
      <c r="BU62" s="38">
        <v>2860</v>
      </c>
      <c r="BV62" s="18"/>
      <c r="BW62" s="37"/>
      <c r="BX62" s="38"/>
      <c r="BY62" s="18"/>
      <c r="BZ62" s="39">
        <v>41789</v>
      </c>
      <c r="CA62" s="40">
        <v>42223.934000000001</v>
      </c>
      <c r="CB62" s="17"/>
      <c r="CC62" s="39">
        <v>41789</v>
      </c>
      <c r="CD62" s="40">
        <v>28.6</v>
      </c>
      <c r="CE62" s="18"/>
      <c r="CF62" s="18"/>
      <c r="CG62" s="18"/>
      <c r="CH62" s="18"/>
      <c r="CI62" s="18"/>
      <c r="CJ62" s="18"/>
      <c r="CK62" s="18"/>
      <c r="CL62" s="18"/>
      <c r="CM62" s="18"/>
      <c r="CN62" s="17"/>
      <c r="CO62" s="17"/>
      <c r="CP62" s="17"/>
      <c r="CQ62" s="18"/>
      <c r="CR62" s="18"/>
      <c r="CS62" s="18"/>
      <c r="CT62" s="18"/>
      <c r="CU62" s="18"/>
      <c r="CV62" s="18"/>
      <c r="CW62" s="18"/>
      <c r="CX62" s="18"/>
      <c r="CY62" s="37">
        <v>44846</v>
      </c>
      <c r="CZ62" s="38">
        <v>17.758800000000001</v>
      </c>
      <c r="DA62" s="18"/>
      <c r="DB62" s="37">
        <v>43936</v>
      </c>
      <c r="DC62" s="38">
        <v>19.387</v>
      </c>
      <c r="DD62" s="18"/>
      <c r="DE62" s="37">
        <v>43936</v>
      </c>
      <c r="DF62" s="38">
        <v>18.697900000000001</v>
      </c>
      <c r="DG62" s="18"/>
      <c r="DH62" s="37">
        <v>43936</v>
      </c>
      <c r="DI62" s="38">
        <v>23.4194</v>
      </c>
      <c r="DJ62" s="18"/>
      <c r="DK62" s="37">
        <v>43936</v>
      </c>
      <c r="DL62" s="38">
        <v>0.17399999999999999</v>
      </c>
      <c r="DM62" s="18"/>
      <c r="DN62" s="18"/>
      <c r="DO62" s="18"/>
      <c r="DP62" s="18"/>
      <c r="DQ62" s="18"/>
      <c r="DR62" s="18"/>
      <c r="DS62" s="18"/>
      <c r="DT62" s="18"/>
      <c r="DU62" s="18"/>
      <c r="DV62" s="18"/>
      <c r="DW62" s="18"/>
      <c r="DX62" s="18"/>
      <c r="DY62" s="18"/>
      <c r="DZ62" s="18"/>
    </row>
    <row r="63" spans="1:130" ht="15" customHeight="1" thickBot="1" x14ac:dyDescent="0.35">
      <c r="A63" s="45"/>
      <c r="B63" s="109" t="s">
        <v>199</v>
      </c>
      <c r="C63" s="110">
        <v>0.71599999999999997</v>
      </c>
      <c r="D63" s="110">
        <v>0.72</v>
      </c>
      <c r="E63" s="110">
        <v>0.255</v>
      </c>
      <c r="F63" s="110">
        <v>1.7829999999999999</v>
      </c>
      <c r="G63" s="110">
        <v>0.94199999999999995</v>
      </c>
      <c r="H63" s="110">
        <v>5.274</v>
      </c>
      <c r="I63" s="110">
        <v>1.954</v>
      </c>
      <c r="J63" s="110">
        <v>1.8220000000000001</v>
      </c>
      <c r="K63" s="110">
        <v>1.6519999999999999</v>
      </c>
      <c r="L63" s="110">
        <v>1.347</v>
      </c>
      <c r="M63" s="111">
        <v>4.673</v>
      </c>
      <c r="N63" s="17"/>
      <c r="O63" s="17"/>
      <c r="P63" s="17"/>
      <c r="Q63" s="17"/>
      <c r="R63" s="17"/>
      <c r="S63" s="17"/>
      <c r="T63" s="17"/>
      <c r="U63" s="18"/>
      <c r="V63" s="18"/>
      <c r="W63" s="18"/>
      <c r="X63" s="18"/>
      <c r="Y63" s="18"/>
      <c r="Z63" s="18"/>
      <c r="AA63" s="18"/>
      <c r="AB63" s="18"/>
      <c r="AC63" s="18"/>
      <c r="AD63" s="18"/>
      <c r="AE63" s="85" t="s">
        <v>199</v>
      </c>
      <c r="AF63" s="85"/>
      <c r="AG63" s="85"/>
      <c r="AH63" s="85"/>
      <c r="AI63" s="85"/>
      <c r="AJ63" s="85"/>
      <c r="AK63" s="85"/>
      <c r="AL63" s="85"/>
      <c r="AM63" s="85"/>
      <c r="AN63" s="18"/>
      <c r="AO63" s="18"/>
      <c r="AP63" s="105" t="s">
        <v>199</v>
      </c>
      <c r="AQ63" s="86">
        <v>0.71550000000000002</v>
      </c>
      <c r="AR63" s="86">
        <v>0.72009999999999996</v>
      </c>
      <c r="AS63" s="86">
        <v>0.25509999999999999</v>
      </c>
      <c r="AT63" s="86">
        <v>1.7830999999999999</v>
      </c>
      <c r="AU63" s="86">
        <v>0.94169999999999998</v>
      </c>
      <c r="AV63" s="86"/>
      <c r="AW63" s="86"/>
      <c r="AX63" s="86"/>
      <c r="AY63" s="86"/>
      <c r="AZ63" s="86"/>
      <c r="BA63" s="87"/>
      <c r="BB63" s="18"/>
      <c r="BC63" s="18"/>
      <c r="BD63" s="18"/>
      <c r="BE63" s="18"/>
      <c r="BF63" s="18"/>
      <c r="BG63" s="18"/>
      <c r="BH63" s="18"/>
      <c r="BI63" s="18"/>
      <c r="BJ63" s="18"/>
      <c r="BK63" s="18"/>
      <c r="BL63" s="18"/>
      <c r="BM63" s="18"/>
      <c r="BN63" s="18"/>
      <c r="BO63" s="18"/>
      <c r="BP63" s="18"/>
      <c r="BQ63" s="37">
        <v>41820</v>
      </c>
      <c r="BR63" s="38">
        <v>42381.793100000003</v>
      </c>
      <c r="BS63" s="17"/>
      <c r="BT63" s="37">
        <v>41820</v>
      </c>
      <c r="BU63" s="38">
        <v>2870</v>
      </c>
      <c r="BV63" s="18"/>
      <c r="BW63" s="37"/>
      <c r="BX63" s="38"/>
      <c r="BY63" s="18"/>
      <c r="BZ63" s="39">
        <v>41820</v>
      </c>
      <c r="CA63" s="40">
        <v>42381.793100000003</v>
      </c>
      <c r="CB63" s="17"/>
      <c r="CC63" s="39">
        <v>41820</v>
      </c>
      <c r="CD63" s="40">
        <v>28.7</v>
      </c>
      <c r="CE63" s="18"/>
      <c r="CF63" s="18"/>
      <c r="CG63" s="18"/>
      <c r="CH63" s="18"/>
      <c r="CI63" s="18"/>
      <c r="CJ63" s="18"/>
      <c r="CK63" s="18"/>
      <c r="CL63" s="18"/>
      <c r="CM63" s="18"/>
      <c r="CN63" s="17"/>
      <c r="CO63" s="17"/>
      <c r="CP63" s="17"/>
      <c r="CQ63" s="18"/>
      <c r="CR63" s="18"/>
      <c r="CS63" s="18"/>
      <c r="CT63" s="18"/>
      <c r="CU63" s="18"/>
      <c r="CV63" s="18"/>
      <c r="CW63" s="18"/>
      <c r="CX63" s="18"/>
      <c r="CY63" s="37">
        <v>44847</v>
      </c>
      <c r="CZ63" s="38">
        <v>17.8066</v>
      </c>
      <c r="DA63" s="18"/>
      <c r="DB63" s="37">
        <v>43937</v>
      </c>
      <c r="DC63" s="38">
        <v>19.450600000000001</v>
      </c>
      <c r="DD63" s="18"/>
      <c r="DE63" s="37">
        <v>43937</v>
      </c>
      <c r="DF63" s="38">
        <v>18.878699999999998</v>
      </c>
      <c r="DG63" s="18"/>
      <c r="DH63" s="37">
        <v>43937</v>
      </c>
      <c r="DI63" s="38">
        <v>23.514700000000001</v>
      </c>
      <c r="DJ63" s="18"/>
      <c r="DK63" s="37">
        <v>43937</v>
      </c>
      <c r="DL63" s="38">
        <v>0.1749</v>
      </c>
      <c r="DM63" s="18"/>
      <c r="DN63" s="18"/>
      <c r="DO63" s="18"/>
      <c r="DP63" s="18"/>
      <c r="DQ63" s="18"/>
      <c r="DR63" s="18"/>
      <c r="DS63" s="18"/>
      <c r="DT63" s="18"/>
      <c r="DU63" s="18"/>
      <c r="DV63" s="18"/>
      <c r="DW63" s="18"/>
      <c r="DX63" s="18"/>
      <c r="DY63" s="18"/>
      <c r="DZ63" s="18"/>
    </row>
    <row r="64" spans="1:130" ht="15" customHeight="1" x14ac:dyDescent="0.3">
      <c r="A64" s="30" t="s">
        <v>97</v>
      </c>
      <c r="B64" s="90" t="s">
        <v>97</v>
      </c>
      <c r="C64" s="91">
        <v>3485</v>
      </c>
      <c r="D64" s="91">
        <v>3244</v>
      </c>
      <c r="E64" s="91">
        <v>2732</v>
      </c>
      <c r="F64" s="91">
        <v>4388</v>
      </c>
      <c r="G64" s="91">
        <v>2904</v>
      </c>
      <c r="H64" s="91">
        <v>4833</v>
      </c>
      <c r="I64" s="91">
        <v>5539</v>
      </c>
      <c r="J64" s="91">
        <v>4981</v>
      </c>
      <c r="K64" s="91">
        <v>4404</v>
      </c>
      <c r="L64" s="91">
        <v>7343</v>
      </c>
      <c r="M64" s="92">
        <v>-5615</v>
      </c>
      <c r="N64" s="17"/>
      <c r="O64" s="17"/>
      <c r="P64" s="17"/>
      <c r="Q64" s="17"/>
      <c r="R64" s="17"/>
      <c r="S64" s="17"/>
      <c r="T64" s="17"/>
      <c r="U64" s="18"/>
      <c r="V64" s="18"/>
      <c r="W64" s="18"/>
      <c r="X64" s="18"/>
      <c r="Y64" s="18"/>
      <c r="Z64" s="18"/>
      <c r="AA64" s="18"/>
      <c r="AB64" s="18"/>
      <c r="AC64" s="18"/>
      <c r="AD64" s="18"/>
      <c r="AE64" s="18"/>
      <c r="AF64" s="85"/>
      <c r="AG64" s="85"/>
      <c r="AH64" s="85"/>
      <c r="AI64" s="85"/>
      <c r="AJ64" s="85"/>
      <c r="AK64" s="85"/>
      <c r="AL64" s="85"/>
      <c r="AM64" s="85"/>
      <c r="AN64" s="18"/>
      <c r="AO64" s="18"/>
      <c r="AP64" s="77"/>
      <c r="AQ64" s="18"/>
      <c r="AR64" s="18"/>
      <c r="AS64" s="18"/>
      <c r="AT64" s="18"/>
      <c r="AU64" s="18"/>
      <c r="AV64" s="18"/>
      <c r="AW64" s="18"/>
      <c r="AX64" s="18"/>
      <c r="AY64" s="18"/>
      <c r="AZ64" s="18"/>
      <c r="BA64" s="78"/>
      <c r="BB64" s="18"/>
      <c r="BC64" s="18"/>
      <c r="BD64" s="18"/>
      <c r="BE64" s="18"/>
      <c r="BF64" s="18"/>
      <c r="BG64" s="18"/>
      <c r="BH64" s="18"/>
      <c r="BI64" s="18"/>
      <c r="BJ64" s="18"/>
      <c r="BK64" s="18"/>
      <c r="BL64" s="18"/>
      <c r="BM64" s="18"/>
      <c r="BN64" s="18"/>
      <c r="BO64" s="18"/>
      <c r="BP64" s="18"/>
      <c r="BQ64" s="37">
        <v>41851</v>
      </c>
      <c r="BR64" s="38">
        <v>45635.256399999998</v>
      </c>
      <c r="BS64" s="17"/>
      <c r="BT64" s="37">
        <v>41851</v>
      </c>
      <c r="BU64" s="38">
        <v>3090</v>
      </c>
      <c r="BV64" s="18"/>
      <c r="BW64" s="37"/>
      <c r="BX64" s="38"/>
      <c r="BY64" s="18"/>
      <c r="BZ64" s="39">
        <v>41851</v>
      </c>
      <c r="CA64" s="40">
        <v>45635.256399999998</v>
      </c>
      <c r="CB64" s="17"/>
      <c r="CC64" s="39">
        <v>41851</v>
      </c>
      <c r="CD64" s="40">
        <v>30.900000000000002</v>
      </c>
      <c r="CE64" s="18"/>
      <c r="CF64" s="18"/>
      <c r="CG64" s="18"/>
      <c r="CH64" s="18"/>
      <c r="CI64" s="18"/>
      <c r="CJ64" s="18"/>
      <c r="CK64" s="18"/>
      <c r="CL64" s="18"/>
      <c r="CM64" s="18"/>
      <c r="CN64" s="17"/>
      <c r="CO64" s="17"/>
      <c r="CP64" s="17"/>
      <c r="CQ64" s="18"/>
      <c r="CR64" s="18"/>
      <c r="CS64" s="18"/>
      <c r="CT64" s="18"/>
      <c r="CU64" s="18"/>
      <c r="CV64" s="18"/>
      <c r="CW64" s="18"/>
      <c r="CX64" s="18"/>
      <c r="CY64" s="37">
        <v>44848</v>
      </c>
      <c r="CZ64" s="38">
        <v>17.849799999999998</v>
      </c>
      <c r="DA64" s="18"/>
      <c r="DB64" s="37">
        <v>43938</v>
      </c>
      <c r="DC64" s="38">
        <v>19.4511</v>
      </c>
      <c r="DD64" s="18"/>
      <c r="DE64" s="37">
        <v>43938</v>
      </c>
      <c r="DF64" s="38">
        <v>18.808599999999998</v>
      </c>
      <c r="DG64" s="18"/>
      <c r="DH64" s="37">
        <v>43938</v>
      </c>
      <c r="DI64" s="38">
        <v>23.495100000000001</v>
      </c>
      <c r="DJ64" s="18"/>
      <c r="DK64" s="37">
        <v>43938</v>
      </c>
      <c r="DL64" s="38">
        <v>0.1749</v>
      </c>
      <c r="DM64" s="18"/>
      <c r="DN64" s="18"/>
      <c r="DO64" s="18"/>
      <c r="DP64" s="18"/>
      <c r="DQ64" s="18"/>
      <c r="DR64" s="18"/>
      <c r="DS64" s="18"/>
      <c r="DT64" s="18"/>
      <c r="DU64" s="18"/>
      <c r="DV64" s="18"/>
      <c r="DW64" s="18"/>
      <c r="DX64" s="18"/>
      <c r="DY64" s="18"/>
      <c r="DZ64" s="18"/>
    </row>
    <row r="65" spans="1:130" ht="15" customHeight="1" x14ac:dyDescent="0.3">
      <c r="A65" s="30" t="s">
        <v>324</v>
      </c>
      <c r="B65" s="73" t="s">
        <v>200</v>
      </c>
      <c r="C65" s="74">
        <v>48.77</v>
      </c>
      <c r="D65" s="74">
        <v>49.3</v>
      </c>
      <c r="E65" s="74">
        <v>47.94</v>
      </c>
      <c r="F65" s="74">
        <v>50.66</v>
      </c>
      <c r="G65" s="74">
        <v>49.97</v>
      </c>
      <c r="H65" s="74">
        <v>49.46</v>
      </c>
      <c r="I65" s="74">
        <v>43.61</v>
      </c>
      <c r="J65" s="74">
        <v>43.79</v>
      </c>
      <c r="K65" s="74">
        <v>42.65</v>
      </c>
      <c r="L65" s="74">
        <v>43.15</v>
      </c>
      <c r="M65" s="75">
        <v>42.13</v>
      </c>
      <c r="N65" s="17"/>
      <c r="O65" s="17"/>
      <c r="P65" s="17"/>
      <c r="Q65" s="17"/>
      <c r="R65" s="17"/>
      <c r="S65" s="17"/>
      <c r="T65" s="17"/>
      <c r="U65" s="18"/>
      <c r="V65" s="18"/>
      <c r="W65" s="18"/>
      <c r="X65" s="18"/>
      <c r="Y65" s="18"/>
      <c r="Z65" s="18"/>
      <c r="AA65" s="18"/>
      <c r="AB65" s="18"/>
      <c r="AC65" s="18"/>
      <c r="AD65" s="18"/>
      <c r="AE65" s="18" t="s">
        <v>200</v>
      </c>
      <c r="AF65" s="85">
        <v>4.1000000000011028E-3</v>
      </c>
      <c r="AG65" s="85">
        <v>-1.90000000000623E-3</v>
      </c>
      <c r="AH65" s="85">
        <v>1.799999999995805E-3</v>
      </c>
      <c r="AI65" s="85">
        <v>4.5999999999963848E-3</v>
      </c>
      <c r="AJ65" s="85">
        <v>-3.5000000000025011E-3</v>
      </c>
      <c r="AK65" s="85">
        <v>4.1000000000011028E-3</v>
      </c>
      <c r="AL65" s="85">
        <v>-3.1000000000034333E-3</v>
      </c>
      <c r="AM65" s="85">
        <v>-2.8000000000005798E-3</v>
      </c>
      <c r="AN65" s="18"/>
      <c r="AO65" s="18"/>
      <c r="AP65" s="77" t="s">
        <v>200</v>
      </c>
      <c r="AQ65" s="18">
        <v>48.765900000000002</v>
      </c>
      <c r="AR65" s="18">
        <v>49.301900000000003</v>
      </c>
      <c r="AS65" s="18">
        <v>47.938200000000002</v>
      </c>
      <c r="AT65" s="18">
        <v>50.6554</v>
      </c>
      <c r="AU65" s="18">
        <v>49.973500000000001</v>
      </c>
      <c r="AV65" s="18">
        <v>49.4559</v>
      </c>
      <c r="AW65" s="18">
        <v>43.613100000000003</v>
      </c>
      <c r="AX65" s="18">
        <v>43.7928</v>
      </c>
      <c r="AY65" s="18">
        <v>42.651699999999998</v>
      </c>
      <c r="AZ65" s="18">
        <v>43.145099999999999</v>
      </c>
      <c r="BA65" s="78">
        <v>42.134700000000002</v>
      </c>
      <c r="BB65" s="18"/>
      <c r="BC65" s="18"/>
      <c r="BD65" s="18"/>
      <c r="BE65" s="18"/>
      <c r="BF65" s="18"/>
      <c r="BG65" s="18"/>
      <c r="BH65" s="18"/>
      <c r="BI65" s="18"/>
      <c r="BJ65" s="18"/>
      <c r="BK65" s="18"/>
      <c r="BL65" s="18"/>
      <c r="BM65" s="18"/>
      <c r="BN65" s="18"/>
      <c r="BO65" s="18"/>
      <c r="BP65" s="18"/>
      <c r="BQ65" s="37">
        <v>41880</v>
      </c>
      <c r="BR65" s="38">
        <v>47746.505100000002</v>
      </c>
      <c r="BS65" s="17"/>
      <c r="BT65" s="37">
        <v>41880</v>
      </c>
      <c r="BU65" s="38">
        <v>3230</v>
      </c>
      <c r="BV65" s="18"/>
      <c r="BW65" s="37"/>
      <c r="BX65" s="38"/>
      <c r="BY65" s="18"/>
      <c r="BZ65" s="39">
        <v>41880</v>
      </c>
      <c r="CA65" s="40">
        <v>47746.505100000002</v>
      </c>
      <c r="CB65" s="17"/>
      <c r="CC65" s="39">
        <v>41880</v>
      </c>
      <c r="CD65" s="40">
        <v>32.299999999999997</v>
      </c>
      <c r="CE65" s="18"/>
      <c r="CF65" s="18"/>
      <c r="CG65" s="18"/>
      <c r="CH65" s="18"/>
      <c r="CI65" s="18"/>
      <c r="CJ65" s="18"/>
      <c r="CK65" s="18"/>
      <c r="CL65" s="18"/>
      <c r="CM65" s="18"/>
      <c r="CN65" s="17"/>
      <c r="CO65" s="17"/>
      <c r="CP65" s="17"/>
      <c r="CQ65" s="18"/>
      <c r="CR65" s="18"/>
      <c r="CS65" s="18"/>
      <c r="CT65" s="18"/>
      <c r="CU65" s="18"/>
      <c r="CV65" s="18"/>
      <c r="CW65" s="18"/>
      <c r="CX65" s="18"/>
      <c r="CY65" s="37">
        <v>44851</v>
      </c>
      <c r="CZ65" s="38">
        <v>17.791899999999998</v>
      </c>
      <c r="DA65" s="18"/>
      <c r="DB65" s="37">
        <v>43941</v>
      </c>
      <c r="DC65" s="38">
        <v>19.4846</v>
      </c>
      <c r="DD65" s="18"/>
      <c r="DE65" s="37">
        <v>43941</v>
      </c>
      <c r="DF65" s="38">
        <v>18.8567</v>
      </c>
      <c r="DG65" s="18"/>
      <c r="DH65" s="37">
        <v>43941</v>
      </c>
      <c r="DI65" s="38">
        <v>23.4375</v>
      </c>
      <c r="DJ65" s="18"/>
      <c r="DK65" s="37">
        <v>43941</v>
      </c>
      <c r="DL65" s="38">
        <v>0.17519999999999999</v>
      </c>
      <c r="DM65" s="18"/>
      <c r="DN65" s="18"/>
      <c r="DO65" s="18"/>
      <c r="DP65" s="18"/>
      <c r="DQ65" s="18"/>
      <c r="DR65" s="18"/>
      <c r="DS65" s="18"/>
      <c r="DT65" s="18"/>
      <c r="DU65" s="18"/>
      <c r="DV65" s="18"/>
      <c r="DW65" s="18"/>
      <c r="DX65" s="18"/>
      <c r="DY65" s="18"/>
      <c r="DZ65" s="18"/>
    </row>
    <row r="66" spans="1:130" ht="15" customHeight="1" x14ac:dyDescent="0.3">
      <c r="A66" s="30" t="s">
        <v>327</v>
      </c>
      <c r="B66" s="73" t="s">
        <v>201</v>
      </c>
      <c r="C66" s="74">
        <v>10.55</v>
      </c>
      <c r="D66" s="74">
        <v>9.7899999999999991</v>
      </c>
      <c r="E66" s="74">
        <v>8.32</v>
      </c>
      <c r="F66" s="74">
        <v>16.86</v>
      </c>
      <c r="G66" s="74">
        <v>9.3699999999999992</v>
      </c>
      <c r="H66" s="74">
        <v>18.489999999999998</v>
      </c>
      <c r="I66" s="74">
        <v>10.97</v>
      </c>
      <c r="J66" s="74">
        <v>11.06</v>
      </c>
      <c r="K66" s="74">
        <v>10.24</v>
      </c>
      <c r="L66" s="74">
        <v>22.84</v>
      </c>
      <c r="M66" s="75">
        <v>-27.65</v>
      </c>
      <c r="N66" s="17"/>
      <c r="O66" s="17"/>
      <c r="P66" s="17"/>
      <c r="Q66" s="17"/>
      <c r="R66" s="17"/>
      <c r="S66" s="17"/>
      <c r="T66" s="17"/>
      <c r="U66" s="18"/>
      <c r="V66" s="18"/>
      <c r="W66" s="18"/>
      <c r="X66" s="18"/>
      <c r="Y66" s="18"/>
      <c r="Z66" s="18"/>
      <c r="AA66" s="18"/>
      <c r="AB66" s="18"/>
      <c r="AC66" s="18"/>
      <c r="AD66" s="18"/>
      <c r="AE66" s="18" t="s">
        <v>201</v>
      </c>
      <c r="AF66" s="85">
        <v>2.8000000000005798E-3</v>
      </c>
      <c r="AG66" s="85">
        <v>-2.500000000001279E-3</v>
      </c>
      <c r="AH66" s="85">
        <v>3.8999999999997925E-3</v>
      </c>
      <c r="AI66" s="85">
        <v>-3.9999999999906777E-4</v>
      </c>
      <c r="AJ66" s="85">
        <v>-3.9000000000015689E-3</v>
      </c>
      <c r="AK66" s="85">
        <v>8.9999999999790248E-4</v>
      </c>
      <c r="AL66" s="85">
        <v>-4.6999999999997044E-3</v>
      </c>
      <c r="AM66" s="85">
        <v>1.300000000000523E-3</v>
      </c>
      <c r="AN66" s="18"/>
      <c r="AO66" s="18"/>
      <c r="AP66" s="77" t="s">
        <v>201</v>
      </c>
      <c r="AQ66" s="18">
        <v>10.5472</v>
      </c>
      <c r="AR66" s="18">
        <v>9.7925000000000004</v>
      </c>
      <c r="AS66" s="18">
        <v>8.3161000000000005</v>
      </c>
      <c r="AT66" s="18">
        <v>16.860399999999998</v>
      </c>
      <c r="AU66" s="18">
        <v>9.3739000000000008</v>
      </c>
      <c r="AV66" s="18">
        <v>18.489100000000001</v>
      </c>
      <c r="AW66" s="18">
        <v>10.9747</v>
      </c>
      <c r="AX66" s="18">
        <v>11.0587</v>
      </c>
      <c r="AY66" s="18">
        <v>10.234999999999999</v>
      </c>
      <c r="AZ66" s="18">
        <v>22.8398</v>
      </c>
      <c r="BA66" s="78">
        <v>-27.651499999999999</v>
      </c>
      <c r="BB66" s="18"/>
      <c r="BC66" s="18"/>
      <c r="BD66" s="18"/>
      <c r="BE66" s="18"/>
      <c r="BF66" s="18"/>
      <c r="BG66" s="18"/>
      <c r="BH66" s="18"/>
      <c r="BI66" s="18"/>
      <c r="BJ66" s="18"/>
      <c r="BK66" s="18"/>
      <c r="BL66" s="18"/>
      <c r="BM66" s="18"/>
      <c r="BN66" s="18"/>
      <c r="BO66" s="18"/>
      <c r="BP66" s="18"/>
      <c r="BQ66" s="37">
        <v>41912</v>
      </c>
      <c r="BR66" s="38">
        <v>46726.533300000003</v>
      </c>
      <c r="BS66" s="17"/>
      <c r="BT66" s="37">
        <v>41912</v>
      </c>
      <c r="BU66" s="38">
        <v>3161</v>
      </c>
      <c r="BV66" s="18"/>
      <c r="BW66" s="37"/>
      <c r="BX66" s="38"/>
      <c r="BY66" s="18"/>
      <c r="BZ66" s="39">
        <v>41912</v>
      </c>
      <c r="CA66" s="40">
        <v>46726.533300000003</v>
      </c>
      <c r="CB66" s="17"/>
      <c r="CC66" s="39">
        <v>41912</v>
      </c>
      <c r="CD66" s="40">
        <v>31.61</v>
      </c>
      <c r="CE66" s="18"/>
      <c r="CF66" s="18"/>
      <c r="CG66" s="18"/>
      <c r="CH66" s="18"/>
      <c r="CI66" s="18"/>
      <c r="CJ66" s="18"/>
      <c r="CK66" s="18"/>
      <c r="CL66" s="18"/>
      <c r="CM66" s="18"/>
      <c r="CN66" s="17"/>
      <c r="CO66" s="17"/>
      <c r="CP66" s="17"/>
      <c r="CQ66" s="18"/>
      <c r="CR66" s="18"/>
      <c r="CS66" s="18"/>
      <c r="CT66" s="18"/>
      <c r="CU66" s="18"/>
      <c r="CV66" s="18"/>
      <c r="CW66" s="18"/>
      <c r="CX66" s="18"/>
      <c r="CY66" s="37">
        <v>44852</v>
      </c>
      <c r="CZ66" s="38">
        <v>17.828299999999999</v>
      </c>
      <c r="DA66" s="18"/>
      <c r="DB66" s="37">
        <v>43942</v>
      </c>
      <c r="DC66" s="38">
        <v>19.569400000000002</v>
      </c>
      <c r="DD66" s="18"/>
      <c r="DE66" s="37">
        <v>43942</v>
      </c>
      <c r="DF66" s="38">
        <v>18.975100000000001</v>
      </c>
      <c r="DG66" s="18"/>
      <c r="DH66" s="37">
        <v>43942</v>
      </c>
      <c r="DI66" s="38">
        <v>23.3323</v>
      </c>
      <c r="DJ66" s="18"/>
      <c r="DK66" s="37">
        <v>43942</v>
      </c>
      <c r="DL66" s="38">
        <v>0.17610000000000001</v>
      </c>
      <c r="DM66" s="18"/>
      <c r="DN66" s="18"/>
      <c r="DO66" s="18"/>
      <c r="DP66" s="18"/>
      <c r="DQ66" s="18"/>
      <c r="DR66" s="18"/>
      <c r="DS66" s="18"/>
      <c r="DT66" s="18"/>
      <c r="DU66" s="18"/>
      <c r="DV66" s="18"/>
      <c r="DW66" s="18"/>
      <c r="DX66" s="18"/>
      <c r="DY66" s="18"/>
      <c r="DZ66" s="18"/>
    </row>
    <row r="67" spans="1:130" ht="15" customHeight="1" x14ac:dyDescent="0.3">
      <c r="A67" s="30" t="s">
        <v>354</v>
      </c>
      <c r="B67" s="73" t="s">
        <v>63</v>
      </c>
      <c r="C67" s="74">
        <v>4.68</v>
      </c>
      <c r="D67" s="74">
        <v>3.63</v>
      </c>
      <c r="E67" s="74">
        <v>2.37</v>
      </c>
      <c r="F67" s="74">
        <v>11.33</v>
      </c>
      <c r="G67" s="74">
        <v>23.85</v>
      </c>
      <c r="H67" s="74">
        <v>-2.58</v>
      </c>
      <c r="I67" s="74">
        <v>4.55</v>
      </c>
      <c r="J67" s="74">
        <v>7.3</v>
      </c>
      <c r="K67" s="74">
        <v>6.77</v>
      </c>
      <c r="L67" s="74">
        <v>18.59</v>
      </c>
      <c r="M67" s="75">
        <v>-16.64</v>
      </c>
      <c r="N67" s="17"/>
      <c r="O67" s="17"/>
      <c r="P67" s="17"/>
      <c r="Q67" s="17"/>
      <c r="R67" s="17"/>
      <c r="S67" s="17"/>
      <c r="T67" s="17"/>
      <c r="U67" s="18"/>
      <c r="V67" s="18"/>
      <c r="W67" s="18"/>
      <c r="X67" s="18"/>
      <c r="Y67" s="18"/>
      <c r="Z67" s="18"/>
      <c r="AA67" s="18"/>
      <c r="AB67" s="18"/>
      <c r="AC67" s="18"/>
      <c r="AD67" s="18"/>
      <c r="AE67" s="18" t="s">
        <v>63</v>
      </c>
      <c r="AF67" s="85">
        <v>-2.0000000000006679E-3</v>
      </c>
      <c r="AG67" s="85">
        <v>2.5999999999997137E-3</v>
      </c>
      <c r="AH67" s="85">
        <v>3.1000000000003247E-3</v>
      </c>
      <c r="AI67" s="85">
        <v>-4.5000000000001705E-3</v>
      </c>
      <c r="AJ67" s="85">
        <v>4.8000000000030241E-3</v>
      </c>
      <c r="AK67" s="85">
        <v>-7.0000000000014495E-4</v>
      </c>
      <c r="AL67" s="85">
        <v>1.9000000000000128E-3</v>
      </c>
      <c r="AM67" s="85">
        <v>-3.00000000000189E-4</v>
      </c>
      <c r="AN67" s="18"/>
      <c r="AO67" s="18"/>
      <c r="AP67" s="77" t="s">
        <v>63</v>
      </c>
      <c r="AQ67" s="18">
        <v>4.6820000000000004</v>
      </c>
      <c r="AR67" s="18">
        <v>3.6274000000000002</v>
      </c>
      <c r="AS67" s="18">
        <v>2.3668999999999998</v>
      </c>
      <c r="AT67" s="18">
        <v>11.3345</v>
      </c>
      <c r="AU67" s="18">
        <v>23.845199999999998</v>
      </c>
      <c r="AV67" s="18">
        <v>-2.5792999999999999</v>
      </c>
      <c r="AW67" s="18">
        <v>4.5480999999999998</v>
      </c>
      <c r="AX67" s="18">
        <v>7.3003</v>
      </c>
      <c r="AY67" s="18">
        <v>6.7740999999999998</v>
      </c>
      <c r="AZ67" s="18">
        <v>18.592500000000001</v>
      </c>
      <c r="BA67" s="78">
        <v>-16.6402</v>
      </c>
      <c r="BB67" s="18"/>
      <c r="BC67" s="18"/>
      <c r="BD67" s="18"/>
      <c r="BE67" s="18"/>
      <c r="BF67" s="18"/>
      <c r="BG67" s="18"/>
      <c r="BH67" s="18"/>
      <c r="BI67" s="18"/>
      <c r="BJ67" s="18"/>
      <c r="BK67" s="18"/>
      <c r="BL67" s="18"/>
      <c r="BM67" s="18"/>
      <c r="BN67" s="18"/>
      <c r="BO67" s="18"/>
      <c r="BP67" s="18"/>
      <c r="BQ67" s="37">
        <v>41943</v>
      </c>
      <c r="BR67" s="38">
        <v>49298.635999999999</v>
      </c>
      <c r="BS67" s="17"/>
      <c r="BT67" s="37">
        <v>41943</v>
      </c>
      <c r="BU67" s="38">
        <v>3335</v>
      </c>
      <c r="BV67" s="18"/>
      <c r="BW67" s="37"/>
      <c r="BX67" s="38"/>
      <c r="BY67" s="18"/>
      <c r="BZ67" s="39">
        <v>41943</v>
      </c>
      <c r="CA67" s="40">
        <v>49298.635999999999</v>
      </c>
      <c r="CB67" s="17"/>
      <c r="CC67" s="39">
        <v>41943</v>
      </c>
      <c r="CD67" s="40">
        <v>33.35</v>
      </c>
      <c r="CE67" s="18"/>
      <c r="CF67" s="18"/>
      <c r="CG67" s="18"/>
      <c r="CH67" s="18"/>
      <c r="CI67" s="18"/>
      <c r="CJ67" s="18"/>
      <c r="CK67" s="18"/>
      <c r="CL67" s="18"/>
      <c r="CM67" s="18"/>
      <c r="CN67" s="17"/>
      <c r="CO67" s="17"/>
      <c r="CP67" s="17"/>
      <c r="CQ67" s="18"/>
      <c r="CR67" s="18"/>
      <c r="CS67" s="18"/>
      <c r="CT67" s="18"/>
      <c r="CU67" s="18"/>
      <c r="CV67" s="18"/>
      <c r="CW67" s="18"/>
      <c r="CX67" s="18"/>
      <c r="CY67" s="37">
        <v>44853</v>
      </c>
      <c r="CZ67" s="38">
        <v>17.8856</v>
      </c>
      <c r="DA67" s="18"/>
      <c r="DB67" s="37">
        <v>43943</v>
      </c>
      <c r="DC67" s="38">
        <v>19.578600000000002</v>
      </c>
      <c r="DD67" s="18"/>
      <c r="DE67" s="37">
        <v>43943</v>
      </c>
      <c r="DF67" s="38">
        <v>19.017700000000001</v>
      </c>
      <c r="DG67" s="18"/>
      <c r="DH67" s="37">
        <v>43943</v>
      </c>
      <c r="DI67" s="38">
        <v>23.466799999999999</v>
      </c>
      <c r="DJ67" s="18"/>
      <c r="DK67" s="37">
        <v>43943</v>
      </c>
      <c r="DL67" s="38">
        <v>0.17660000000000001</v>
      </c>
      <c r="DM67" s="18"/>
      <c r="DN67" s="18"/>
      <c r="DO67" s="18"/>
      <c r="DP67" s="18"/>
      <c r="DQ67" s="18"/>
      <c r="DR67" s="18"/>
      <c r="DS67" s="18"/>
      <c r="DT67" s="18"/>
      <c r="DU67" s="18"/>
      <c r="DV67" s="18"/>
      <c r="DW67" s="18"/>
      <c r="DX67" s="18"/>
      <c r="DY67" s="18"/>
      <c r="DZ67" s="18"/>
    </row>
    <row r="68" spans="1:130" ht="15" customHeight="1" x14ac:dyDescent="0.3">
      <c r="A68" s="30" t="s">
        <v>355</v>
      </c>
      <c r="B68" s="73" t="s">
        <v>202</v>
      </c>
      <c r="C68" s="74">
        <v>1202000</v>
      </c>
      <c r="D68" s="74">
        <v>1155565.25</v>
      </c>
      <c r="E68" s="74">
        <v>991371.6</v>
      </c>
      <c r="F68" s="74">
        <v>1025070.03</v>
      </c>
      <c r="G68" s="74">
        <v>935473.67</v>
      </c>
      <c r="H68" s="74">
        <v>958864.25</v>
      </c>
      <c r="I68" s="74">
        <v>1256265.3700000001</v>
      </c>
      <c r="J68" s="74">
        <v>1221014.8899999999</v>
      </c>
      <c r="K68" s="74">
        <v>1151182.5900000001</v>
      </c>
      <c r="L68" s="74">
        <v>956810.4</v>
      </c>
      <c r="M68" s="75">
        <v>898045.09</v>
      </c>
      <c r="N68" s="17"/>
      <c r="O68" s="17"/>
      <c r="P68" s="17"/>
      <c r="Q68" s="17"/>
      <c r="R68" s="17"/>
      <c r="S68" s="17"/>
      <c r="T68" s="17"/>
      <c r="U68" s="18"/>
      <c r="V68" s="18"/>
      <c r="W68" s="18"/>
      <c r="X68" s="18"/>
      <c r="Y68" s="18"/>
      <c r="Z68" s="18"/>
      <c r="AA68" s="18"/>
      <c r="AB68" s="18"/>
      <c r="AC68" s="18"/>
      <c r="AD68" s="18"/>
      <c r="AE68" s="18" t="s">
        <v>202</v>
      </c>
      <c r="AF68" s="85">
        <v>0</v>
      </c>
      <c r="AG68" s="85">
        <v>4.2000000830739737E-3</v>
      </c>
      <c r="AH68" s="85">
        <v>9.9999946542084217E-5</v>
      </c>
      <c r="AI68" s="85">
        <v>-4.6999999321997166E-3</v>
      </c>
      <c r="AJ68" s="85">
        <v>-4.6999999321997166E-3</v>
      </c>
      <c r="AK68" s="85">
        <v>-1.9999999785795808E-3</v>
      </c>
      <c r="AL68" s="85">
        <v>-2.5999997742474079E-3</v>
      </c>
      <c r="AM68" s="85">
        <v>3.499999875202775E-3</v>
      </c>
      <c r="AN68" s="18"/>
      <c r="AO68" s="18"/>
      <c r="AP68" s="77" t="s">
        <v>202</v>
      </c>
      <c r="AQ68" s="18">
        <v>1202000</v>
      </c>
      <c r="AR68" s="18">
        <v>1155565.2457999999</v>
      </c>
      <c r="AS68" s="18">
        <v>991371.59990000003</v>
      </c>
      <c r="AT68" s="18">
        <v>1025070.0347</v>
      </c>
      <c r="AU68" s="18">
        <v>935473.67469999997</v>
      </c>
      <c r="AV68" s="18">
        <v>958864.25199999998</v>
      </c>
      <c r="AW68" s="18">
        <v>1256265.3725999999</v>
      </c>
      <c r="AX68" s="18">
        <v>1221014.8865</v>
      </c>
      <c r="AY68" s="18">
        <v>1151182.5854</v>
      </c>
      <c r="AZ68" s="18">
        <v>956810.39899999998</v>
      </c>
      <c r="BA68" s="78">
        <v>898045.09129999997</v>
      </c>
      <c r="BB68" s="18"/>
      <c r="BC68" s="18"/>
      <c r="BD68" s="18"/>
      <c r="BE68" s="18"/>
      <c r="BF68" s="18"/>
      <c r="BG68" s="18"/>
      <c r="BH68" s="18"/>
      <c r="BI68" s="18"/>
      <c r="BJ68" s="18"/>
      <c r="BK68" s="18"/>
      <c r="BL68" s="18"/>
      <c r="BM68" s="18"/>
      <c r="BN68" s="18"/>
      <c r="BO68" s="18"/>
      <c r="BP68" s="18"/>
      <c r="BQ68" s="37">
        <v>41971</v>
      </c>
      <c r="BR68" s="38">
        <v>53834.609100000001</v>
      </c>
      <c r="BS68" s="17"/>
      <c r="BT68" s="37">
        <v>41971</v>
      </c>
      <c r="BU68" s="38">
        <v>3640</v>
      </c>
      <c r="BV68" s="18"/>
      <c r="BW68" s="37"/>
      <c r="BX68" s="38"/>
      <c r="BY68" s="18"/>
      <c r="BZ68" s="39">
        <v>41971</v>
      </c>
      <c r="CA68" s="40">
        <v>53834.609100000001</v>
      </c>
      <c r="CB68" s="17"/>
      <c r="CC68" s="39">
        <v>41971</v>
      </c>
      <c r="CD68" s="40">
        <v>36.4</v>
      </c>
      <c r="CE68" s="18"/>
      <c r="CF68" s="18"/>
      <c r="CG68" s="18"/>
      <c r="CH68" s="18"/>
      <c r="CI68" s="18"/>
      <c r="CJ68" s="18"/>
      <c r="CK68" s="18"/>
      <c r="CL68" s="18"/>
      <c r="CM68" s="18"/>
      <c r="CN68" s="17"/>
      <c r="CO68" s="17"/>
      <c r="CP68" s="17"/>
      <c r="CQ68" s="18"/>
      <c r="CR68" s="18"/>
      <c r="CS68" s="18"/>
      <c r="CT68" s="18"/>
      <c r="CU68" s="18"/>
      <c r="CV68" s="18"/>
      <c r="CW68" s="18"/>
      <c r="CX68" s="18"/>
      <c r="CY68" s="37">
        <v>44854</v>
      </c>
      <c r="CZ68" s="38">
        <v>17.906400000000001</v>
      </c>
      <c r="DA68" s="18"/>
      <c r="DB68" s="37">
        <v>43944</v>
      </c>
      <c r="DC68" s="38">
        <v>19.5731</v>
      </c>
      <c r="DD68" s="18"/>
      <c r="DE68" s="37">
        <v>43944</v>
      </c>
      <c r="DF68" s="38">
        <v>19.081499999999998</v>
      </c>
      <c r="DG68" s="18"/>
      <c r="DH68" s="37">
        <v>43944</v>
      </c>
      <c r="DI68" s="38">
        <v>23.596800000000002</v>
      </c>
      <c r="DJ68" s="18"/>
      <c r="DK68" s="37">
        <v>43944</v>
      </c>
      <c r="DL68" s="38">
        <v>0.17760000000000001</v>
      </c>
      <c r="DM68" s="18"/>
      <c r="DN68" s="18"/>
      <c r="DO68" s="18"/>
      <c r="DP68" s="18"/>
      <c r="DQ68" s="18"/>
      <c r="DR68" s="18"/>
      <c r="DS68" s="18"/>
      <c r="DT68" s="18"/>
      <c r="DU68" s="18"/>
      <c r="DV68" s="18"/>
      <c r="DW68" s="18"/>
      <c r="DX68" s="18"/>
      <c r="DY68" s="18"/>
      <c r="DZ68" s="18"/>
    </row>
    <row r="69" spans="1:130" ht="15" customHeight="1" x14ac:dyDescent="0.3">
      <c r="A69" s="30" t="s">
        <v>161</v>
      </c>
      <c r="B69" s="73" t="s">
        <v>444</v>
      </c>
      <c r="C69" s="74">
        <v>0.54</v>
      </c>
      <c r="D69" s="74" t="s">
        <v>615</v>
      </c>
      <c r="E69" s="74" t="s">
        <v>615</v>
      </c>
      <c r="F69" s="74">
        <v>1.1100000000000001</v>
      </c>
      <c r="G69" s="74">
        <v>1.04</v>
      </c>
      <c r="H69" s="74">
        <v>0.95</v>
      </c>
      <c r="I69" s="74">
        <v>0.95</v>
      </c>
      <c r="J69" s="74">
        <v>0.92</v>
      </c>
      <c r="K69" s="74">
        <v>0.8</v>
      </c>
      <c r="L69" s="74">
        <v>0.67500000000000004</v>
      </c>
      <c r="M69" s="75">
        <v>0.56000000000000005</v>
      </c>
      <c r="N69" s="17"/>
      <c r="O69" s="17"/>
      <c r="P69" s="17"/>
      <c r="Q69" s="17"/>
      <c r="R69" s="17"/>
      <c r="S69" s="17"/>
      <c r="T69" s="17"/>
      <c r="U69" s="18"/>
      <c r="V69" s="18"/>
      <c r="W69" s="18"/>
      <c r="X69" s="18"/>
      <c r="Y69" s="18"/>
      <c r="Z69" s="18"/>
      <c r="AA69" s="18"/>
      <c r="AB69" s="18"/>
      <c r="AC69" s="18"/>
      <c r="AD69" s="18"/>
      <c r="AE69" s="18" t="s">
        <v>444</v>
      </c>
      <c r="AF69" s="85">
        <v>0</v>
      </c>
      <c r="AG69" s="85" t="e">
        <v>#VALUE!</v>
      </c>
      <c r="AH69" s="85" t="e">
        <v>#VALUE!</v>
      </c>
      <c r="AI69" s="85">
        <v>0</v>
      </c>
      <c r="AJ69" s="85">
        <v>0</v>
      </c>
      <c r="AK69" s="85">
        <v>0</v>
      </c>
      <c r="AL69" s="85">
        <v>0</v>
      </c>
      <c r="AM69" s="85">
        <v>0</v>
      </c>
      <c r="AN69" s="18"/>
      <c r="AO69" s="18"/>
      <c r="AP69" s="77" t="s">
        <v>444</v>
      </c>
      <c r="AQ69" s="18">
        <v>0.54</v>
      </c>
      <c r="AR69" s="18">
        <v>0</v>
      </c>
      <c r="AS69" s="18">
        <v>0</v>
      </c>
      <c r="AT69" s="18">
        <v>1.1100000000000001</v>
      </c>
      <c r="AU69" s="18">
        <v>1.04</v>
      </c>
      <c r="AV69" s="18">
        <v>0.95</v>
      </c>
      <c r="AW69" s="18">
        <v>0.95</v>
      </c>
      <c r="AX69" s="18">
        <v>0.92</v>
      </c>
      <c r="AY69" s="18">
        <v>0.8</v>
      </c>
      <c r="AZ69" s="18">
        <v>0.67500000000000004</v>
      </c>
      <c r="BA69" s="78">
        <v>0.56000000000000005</v>
      </c>
      <c r="BB69" s="18"/>
      <c r="BC69" s="18"/>
      <c r="BD69" s="18"/>
      <c r="BE69" s="18"/>
      <c r="BF69" s="18"/>
      <c r="BG69" s="18"/>
      <c r="BH69" s="18"/>
      <c r="BI69" s="18"/>
      <c r="BJ69" s="18"/>
      <c r="BK69" s="18"/>
      <c r="BL69" s="18"/>
      <c r="BM69" s="18"/>
      <c r="BN69" s="18"/>
      <c r="BO69" s="18"/>
      <c r="BP69" s="18"/>
      <c r="BQ69" s="37">
        <v>42004</v>
      </c>
      <c r="BR69" s="38">
        <v>56129.333200000001</v>
      </c>
      <c r="BS69" s="17"/>
      <c r="BT69" s="37">
        <v>42004</v>
      </c>
      <c r="BU69" s="38">
        <v>3795</v>
      </c>
      <c r="BV69" s="18"/>
      <c r="BW69" s="37"/>
      <c r="BX69" s="38"/>
      <c r="BY69" s="18"/>
      <c r="BZ69" s="39">
        <v>42004</v>
      </c>
      <c r="CA69" s="40">
        <v>56129.333200000001</v>
      </c>
      <c r="CB69" s="17"/>
      <c r="CC69" s="39">
        <v>42004</v>
      </c>
      <c r="CD69" s="40">
        <v>37.950000000000003</v>
      </c>
      <c r="CE69" s="18"/>
      <c r="CF69" s="18"/>
      <c r="CG69" s="18"/>
      <c r="CH69" s="18"/>
      <c r="CI69" s="18"/>
      <c r="CJ69" s="18"/>
      <c r="CK69" s="18"/>
      <c r="CL69" s="18"/>
      <c r="CM69" s="18"/>
      <c r="CN69" s="17"/>
      <c r="CO69" s="17"/>
      <c r="CP69" s="17"/>
      <c r="CQ69" s="18"/>
      <c r="CR69" s="18"/>
      <c r="CS69" s="18"/>
      <c r="CT69" s="18"/>
      <c r="CU69" s="18"/>
      <c r="CV69" s="18"/>
      <c r="CW69" s="18"/>
      <c r="CX69" s="18"/>
      <c r="CY69" s="37">
        <v>44855</v>
      </c>
      <c r="CZ69" s="38">
        <v>17.839099999999998</v>
      </c>
      <c r="DA69" s="18"/>
      <c r="DB69" s="37">
        <v>43945</v>
      </c>
      <c r="DC69" s="38">
        <v>19.548100000000002</v>
      </c>
      <c r="DD69" s="18"/>
      <c r="DE69" s="37">
        <v>43945</v>
      </c>
      <c r="DF69" s="38">
        <v>19.0444</v>
      </c>
      <c r="DG69" s="18"/>
      <c r="DH69" s="37">
        <v>43945</v>
      </c>
      <c r="DI69" s="38">
        <v>23.578399999999998</v>
      </c>
      <c r="DJ69" s="18"/>
      <c r="DK69" s="37">
        <v>43945</v>
      </c>
      <c r="DL69" s="38">
        <v>0.1777</v>
      </c>
      <c r="DM69" s="18"/>
      <c r="DN69" s="18"/>
      <c r="DO69" s="18"/>
      <c r="DP69" s="18"/>
      <c r="DQ69" s="18"/>
      <c r="DR69" s="18"/>
      <c r="DS69" s="18"/>
      <c r="DT69" s="18"/>
      <c r="DU69" s="18"/>
      <c r="DV69" s="18"/>
      <c r="DW69" s="18"/>
      <c r="DX69" s="18"/>
      <c r="DY69" s="18"/>
      <c r="DZ69" s="18"/>
    </row>
    <row r="70" spans="1:130" ht="15" customHeight="1" x14ac:dyDescent="0.3">
      <c r="A70" s="30" t="s">
        <v>156</v>
      </c>
      <c r="B70" s="73" t="s">
        <v>445</v>
      </c>
      <c r="C70" s="74">
        <v>722.52</v>
      </c>
      <c r="D70" s="74" t="s">
        <v>615</v>
      </c>
      <c r="E70" s="74" t="s">
        <v>615</v>
      </c>
      <c r="F70" s="74">
        <v>1492.95</v>
      </c>
      <c r="G70" s="74">
        <v>1962.72</v>
      </c>
      <c r="H70" s="74">
        <v>1292</v>
      </c>
      <c r="I70" s="74">
        <v>1288.2</v>
      </c>
      <c r="J70" s="74">
        <v>1241.08</v>
      </c>
      <c r="K70" s="74">
        <v>1069.5999999999999</v>
      </c>
      <c r="L70" s="74">
        <v>897.08</v>
      </c>
      <c r="M70" s="75">
        <v>737.52</v>
      </c>
      <c r="N70" s="17"/>
      <c r="O70" s="17"/>
      <c r="P70" s="17"/>
      <c r="Q70" s="17"/>
      <c r="R70" s="17"/>
      <c r="S70" s="17"/>
      <c r="T70" s="17"/>
      <c r="U70" s="18"/>
      <c r="V70" s="18"/>
      <c r="W70" s="18"/>
      <c r="X70" s="18"/>
      <c r="Y70" s="18"/>
      <c r="Z70" s="18"/>
      <c r="AA70" s="18"/>
      <c r="AB70" s="18"/>
      <c r="AC70" s="18"/>
      <c r="AD70" s="18"/>
      <c r="AE70" s="18" t="s">
        <v>445</v>
      </c>
      <c r="AF70" s="85">
        <v>0</v>
      </c>
      <c r="AG70" s="85" t="e">
        <v>#VALUE!</v>
      </c>
      <c r="AH70" s="85" t="e">
        <v>#VALUE!</v>
      </c>
      <c r="AI70" s="85">
        <v>0</v>
      </c>
      <c r="AJ70" s="85">
        <v>0</v>
      </c>
      <c r="AK70" s="85">
        <v>0</v>
      </c>
      <c r="AL70" s="85">
        <v>0</v>
      </c>
      <c r="AM70" s="85">
        <v>0</v>
      </c>
      <c r="AN70" s="18"/>
      <c r="AO70" s="18"/>
      <c r="AP70" s="77" t="s">
        <v>445</v>
      </c>
      <c r="AQ70" s="18">
        <v>722.52</v>
      </c>
      <c r="AR70" s="18">
        <v>0</v>
      </c>
      <c r="AS70" s="18">
        <v>0</v>
      </c>
      <c r="AT70" s="18">
        <v>1492.95</v>
      </c>
      <c r="AU70" s="18">
        <v>1962.72</v>
      </c>
      <c r="AV70" s="18">
        <v>1292</v>
      </c>
      <c r="AW70" s="18">
        <v>1288.2</v>
      </c>
      <c r="AX70" s="18">
        <v>1241.08</v>
      </c>
      <c r="AY70" s="18">
        <v>1069.5999999999999</v>
      </c>
      <c r="AZ70" s="18">
        <v>897.07500000000005</v>
      </c>
      <c r="BA70" s="78">
        <v>737.52</v>
      </c>
      <c r="BB70" s="18"/>
      <c r="BC70" s="18"/>
      <c r="BD70" s="18"/>
      <c r="BE70" s="18"/>
      <c r="BF70" s="18"/>
      <c r="BG70" s="18"/>
      <c r="BH70" s="18"/>
      <c r="BI70" s="18"/>
      <c r="BJ70" s="18"/>
      <c r="BK70" s="18"/>
      <c r="BL70" s="18"/>
      <c r="BM70" s="18"/>
      <c r="BN70" s="18"/>
      <c r="BO70" s="18"/>
      <c r="BP70" s="18"/>
      <c r="BQ70" s="37">
        <v>42034</v>
      </c>
      <c r="BR70" s="38">
        <v>57401.302300000003</v>
      </c>
      <c r="BS70" s="17"/>
      <c r="BT70" s="37">
        <v>42034</v>
      </c>
      <c r="BU70" s="38">
        <v>3881</v>
      </c>
      <c r="BV70" s="18"/>
      <c r="BW70" s="37"/>
      <c r="BX70" s="38"/>
      <c r="BY70" s="18"/>
      <c r="BZ70" s="39">
        <v>42034</v>
      </c>
      <c r="CA70" s="40">
        <v>57401.302300000003</v>
      </c>
      <c r="CB70" s="17"/>
      <c r="CC70" s="39">
        <v>42034</v>
      </c>
      <c r="CD70" s="40">
        <v>38.81</v>
      </c>
      <c r="CE70" s="18"/>
      <c r="CF70" s="18"/>
      <c r="CG70" s="18"/>
      <c r="CH70" s="18"/>
      <c r="CI70" s="18"/>
      <c r="CJ70" s="18"/>
      <c r="CK70" s="18"/>
      <c r="CL70" s="18"/>
      <c r="CM70" s="18"/>
      <c r="CN70" s="17"/>
      <c r="CO70" s="17"/>
      <c r="CP70" s="17"/>
      <c r="CQ70" s="18"/>
      <c r="CR70" s="18"/>
      <c r="CS70" s="18"/>
      <c r="CT70" s="18"/>
      <c r="CU70" s="18"/>
      <c r="CV70" s="18"/>
      <c r="CW70" s="18"/>
      <c r="CX70" s="18"/>
      <c r="CY70" s="37">
        <v>44858</v>
      </c>
      <c r="CZ70" s="38">
        <v>18.198699999999999</v>
      </c>
      <c r="DA70" s="18"/>
      <c r="DB70" s="37">
        <v>43949</v>
      </c>
      <c r="DC70" s="38">
        <v>19.142099999999999</v>
      </c>
      <c r="DD70" s="18"/>
      <c r="DE70" s="37">
        <v>43949</v>
      </c>
      <c r="DF70" s="38">
        <v>18.665400000000002</v>
      </c>
      <c r="DG70" s="18"/>
      <c r="DH70" s="37">
        <v>43949</v>
      </c>
      <c r="DI70" s="38">
        <v>23.193899999999999</v>
      </c>
      <c r="DJ70" s="18"/>
      <c r="DK70" s="37">
        <v>43949</v>
      </c>
      <c r="DL70" s="38">
        <v>0.1749</v>
      </c>
      <c r="DM70" s="18"/>
      <c r="DN70" s="18"/>
      <c r="DO70" s="18"/>
      <c r="DP70" s="18"/>
      <c r="DQ70" s="18"/>
      <c r="DR70" s="18"/>
      <c r="DS70" s="18"/>
      <c r="DT70" s="18"/>
      <c r="DU70" s="18"/>
      <c r="DV70" s="18"/>
      <c r="DW70" s="18"/>
      <c r="DX70" s="18"/>
      <c r="DY70" s="18"/>
      <c r="DZ70" s="18"/>
    </row>
    <row r="71" spans="1:130" ht="15" customHeight="1" x14ac:dyDescent="0.3">
      <c r="A71" s="30" t="s">
        <v>356</v>
      </c>
      <c r="B71" s="73" t="s">
        <v>203</v>
      </c>
      <c r="C71" s="74">
        <v>2.06</v>
      </c>
      <c r="D71" s="74">
        <v>12.51</v>
      </c>
      <c r="E71" s="74">
        <v>-12.72</v>
      </c>
      <c r="F71" s="74">
        <v>4.21</v>
      </c>
      <c r="G71" s="74">
        <v>8.39</v>
      </c>
      <c r="H71" s="74">
        <v>-49.43</v>
      </c>
      <c r="I71" s="74">
        <v>12.12</v>
      </c>
      <c r="J71" s="74">
        <v>6.07</v>
      </c>
      <c r="K71" s="74">
        <v>16.07</v>
      </c>
      <c r="L71" s="74">
        <v>8.77</v>
      </c>
      <c r="M71" s="75">
        <v>11.47</v>
      </c>
      <c r="N71" s="17"/>
      <c r="O71" s="17"/>
      <c r="P71" s="17"/>
      <c r="Q71" s="17"/>
      <c r="R71" s="17"/>
      <c r="S71" s="17"/>
      <c r="T71" s="17"/>
      <c r="U71" s="18"/>
      <c r="V71" s="18"/>
      <c r="W71" s="18"/>
      <c r="X71" s="18"/>
      <c r="Y71" s="18"/>
      <c r="Z71" s="18"/>
      <c r="AA71" s="18"/>
      <c r="AB71" s="18"/>
      <c r="AC71" s="18"/>
      <c r="AD71" s="18"/>
      <c r="AE71" s="18" t="s">
        <v>203</v>
      </c>
      <c r="AF71" s="85">
        <v>3.4000000000000696E-3</v>
      </c>
      <c r="AG71" s="85">
        <v>1.4000000000002899E-3</v>
      </c>
      <c r="AH71" s="85">
        <v>-6.0000000000037801E-4</v>
      </c>
      <c r="AI71" s="85">
        <v>8.9999999999967883E-4</v>
      </c>
      <c r="AJ71" s="85">
        <v>3.5000000000007248E-3</v>
      </c>
      <c r="AK71" s="85">
        <v>-1.5000000000000568E-3</v>
      </c>
      <c r="AL71" s="85">
        <v>2.2999999999999687E-3</v>
      </c>
      <c r="AM71" s="85">
        <v>3.9000000000006807E-3</v>
      </c>
      <c r="AN71" s="18"/>
      <c r="AO71" s="18"/>
      <c r="AP71" s="77" t="s">
        <v>203</v>
      </c>
      <c r="AQ71" s="18">
        <v>2.0566</v>
      </c>
      <c r="AR71" s="18">
        <v>12.508599999999999</v>
      </c>
      <c r="AS71" s="18">
        <v>-12.7194</v>
      </c>
      <c r="AT71" s="18">
        <v>4.2091000000000003</v>
      </c>
      <c r="AU71" s="18">
        <v>8.3864999999999998</v>
      </c>
      <c r="AV71" s="18">
        <v>-49.4285</v>
      </c>
      <c r="AW71" s="18">
        <v>12.117699999999999</v>
      </c>
      <c r="AX71" s="18">
        <v>6.0660999999999996</v>
      </c>
      <c r="AY71" s="18">
        <v>16.072600000000001</v>
      </c>
      <c r="AZ71" s="18">
        <v>8.7710000000000008</v>
      </c>
      <c r="BA71" s="78">
        <v>11.468299999999999</v>
      </c>
      <c r="BB71" s="18"/>
      <c r="BC71" s="18"/>
      <c r="BD71" s="18"/>
      <c r="BE71" s="18"/>
      <c r="BF71" s="18"/>
      <c r="BG71" s="18"/>
      <c r="BH71" s="18"/>
      <c r="BI71" s="18"/>
      <c r="BJ71" s="18"/>
      <c r="BK71" s="18"/>
      <c r="BL71" s="18"/>
      <c r="BM71" s="18"/>
      <c r="BN71" s="18"/>
      <c r="BO71" s="18"/>
      <c r="BP71" s="18"/>
      <c r="BQ71" s="37">
        <v>42062</v>
      </c>
      <c r="BR71" s="38">
        <v>60748.761700000003</v>
      </c>
      <c r="BS71" s="17"/>
      <c r="BT71" s="37">
        <v>42062</v>
      </c>
      <c r="BU71" s="38">
        <v>4107</v>
      </c>
      <c r="BV71" s="18"/>
      <c r="BW71" s="37"/>
      <c r="BX71" s="38"/>
      <c r="BY71" s="18"/>
      <c r="BZ71" s="39">
        <v>42062</v>
      </c>
      <c r="CA71" s="40">
        <v>60748.761700000003</v>
      </c>
      <c r="CB71" s="17"/>
      <c r="CC71" s="39">
        <v>42062</v>
      </c>
      <c r="CD71" s="40">
        <v>41.07</v>
      </c>
      <c r="CE71" s="18"/>
      <c r="CF71" s="18"/>
      <c r="CG71" s="18"/>
      <c r="CH71" s="18"/>
      <c r="CI71" s="18"/>
      <c r="CJ71" s="18"/>
      <c r="CK71" s="18"/>
      <c r="CL71" s="18"/>
      <c r="CM71" s="18"/>
      <c r="CN71" s="17"/>
      <c r="CO71" s="17"/>
      <c r="CP71" s="17"/>
      <c r="CQ71" s="18"/>
      <c r="CR71" s="18"/>
      <c r="CS71" s="18"/>
      <c r="CT71" s="18"/>
      <c r="CU71" s="18"/>
      <c r="CV71" s="18"/>
      <c r="CW71" s="18"/>
      <c r="CX71" s="18"/>
      <c r="CY71" s="37">
        <v>44859</v>
      </c>
      <c r="CZ71" s="38">
        <v>18.142099999999999</v>
      </c>
      <c r="DA71" s="18"/>
      <c r="DB71" s="37">
        <v>43950</v>
      </c>
      <c r="DC71" s="38">
        <v>18.663499999999999</v>
      </c>
      <c r="DD71" s="18"/>
      <c r="DE71" s="37">
        <v>43950</v>
      </c>
      <c r="DF71" s="38">
        <v>18.1676</v>
      </c>
      <c r="DG71" s="18"/>
      <c r="DH71" s="37">
        <v>43950</v>
      </c>
      <c r="DI71" s="38">
        <v>22.635200000000001</v>
      </c>
      <c r="DJ71" s="18"/>
      <c r="DK71" s="37">
        <v>43950</v>
      </c>
      <c r="DL71" s="38">
        <v>0.17030000000000001</v>
      </c>
      <c r="DM71" s="18"/>
      <c r="DN71" s="18"/>
      <c r="DO71" s="18"/>
      <c r="DP71" s="18"/>
      <c r="DQ71" s="18"/>
      <c r="DR71" s="18"/>
      <c r="DS71" s="18"/>
      <c r="DT71" s="18"/>
      <c r="DU71" s="18"/>
      <c r="DV71" s="18"/>
      <c r="DW71" s="18"/>
      <c r="DX71" s="18"/>
      <c r="DY71" s="18"/>
      <c r="DZ71" s="18"/>
    </row>
    <row r="72" spans="1:130" ht="15" customHeight="1" x14ac:dyDescent="0.3">
      <c r="A72" s="30" t="s">
        <v>357</v>
      </c>
      <c r="B72" s="73" t="s">
        <v>204</v>
      </c>
      <c r="C72" s="74">
        <v>32.42</v>
      </c>
      <c r="D72" s="74">
        <v>92.93</v>
      </c>
      <c r="E72" s="74">
        <v>-83.98</v>
      </c>
      <c r="F72" s="74">
        <v>109.82</v>
      </c>
      <c r="G72" s="74">
        <v>-75.739999999999995</v>
      </c>
      <c r="H72" s="74">
        <v>183.17</v>
      </c>
      <c r="I72" s="74">
        <v>-31.47</v>
      </c>
      <c r="J72" s="74">
        <v>13.59</v>
      </c>
      <c r="K72" s="74">
        <v>-58.68</v>
      </c>
      <c r="L72" s="74" t="s">
        <v>615</v>
      </c>
      <c r="M72" s="75" t="s">
        <v>615</v>
      </c>
      <c r="N72" s="17"/>
      <c r="O72" s="17"/>
      <c r="P72" s="17"/>
      <c r="Q72" s="17"/>
      <c r="R72" s="17"/>
      <c r="S72" s="17"/>
      <c r="T72" s="17"/>
      <c r="U72" s="18"/>
      <c r="V72" s="18"/>
      <c r="W72" s="18"/>
      <c r="X72" s="18"/>
      <c r="Y72" s="18"/>
      <c r="Z72" s="18"/>
      <c r="AA72" s="18"/>
      <c r="AB72" s="18"/>
      <c r="AC72" s="18"/>
      <c r="AD72" s="18"/>
      <c r="AE72" s="18" t="s">
        <v>204</v>
      </c>
      <c r="AF72" s="85">
        <v>2.400000000001512E-3</v>
      </c>
      <c r="AG72" s="85">
        <v>-2.899999999996794E-3</v>
      </c>
      <c r="AH72" s="85">
        <v>4.199999999997317E-3</v>
      </c>
      <c r="AI72" s="85">
        <v>-1.6000000000104819E-3</v>
      </c>
      <c r="AJ72" s="85">
        <v>2.4000000000086175E-3</v>
      </c>
      <c r="AK72" s="85">
        <v>-5.0000000001659828E-4</v>
      </c>
      <c r="AL72" s="85">
        <v>9.9999999999766942E-5</v>
      </c>
      <c r="AM72" s="85">
        <v>2.6999999999990365E-3</v>
      </c>
      <c r="AN72" s="18"/>
      <c r="AO72" s="18"/>
      <c r="AP72" s="77" t="s">
        <v>204</v>
      </c>
      <c r="AQ72" s="18">
        <v>32.4176</v>
      </c>
      <c r="AR72" s="18">
        <v>92.932900000000004</v>
      </c>
      <c r="AS72" s="18">
        <v>-83.984200000000001</v>
      </c>
      <c r="AT72" s="18">
        <v>109.8216</v>
      </c>
      <c r="AU72" s="18">
        <v>-75.742400000000004</v>
      </c>
      <c r="AV72" s="18">
        <v>183.1705</v>
      </c>
      <c r="AW72" s="18">
        <v>-31.470099999999999</v>
      </c>
      <c r="AX72" s="18">
        <v>13.587300000000001</v>
      </c>
      <c r="AY72" s="18">
        <v>-58.683100000000003</v>
      </c>
      <c r="AZ72" s="18" t="s">
        <v>1811</v>
      </c>
      <c r="BA72" s="78" t="s">
        <v>1811</v>
      </c>
      <c r="BB72" s="18"/>
      <c r="BC72" s="18"/>
      <c r="BD72" s="18"/>
      <c r="BE72" s="18"/>
      <c r="BF72" s="18"/>
      <c r="BG72" s="18"/>
      <c r="BH72" s="18"/>
      <c r="BI72" s="18"/>
      <c r="BJ72" s="18"/>
      <c r="BK72" s="18"/>
      <c r="BL72" s="18"/>
      <c r="BM72" s="18"/>
      <c r="BN72" s="18"/>
      <c r="BO72" s="18"/>
      <c r="BP72" s="18"/>
      <c r="BQ72" s="37">
        <v>42094</v>
      </c>
      <c r="BR72" s="38">
        <v>61680.6273</v>
      </c>
      <c r="BS72" s="17"/>
      <c r="BT72" s="37">
        <v>42094</v>
      </c>
      <c r="BU72" s="38">
        <v>4170</v>
      </c>
      <c r="BV72" s="18"/>
      <c r="BW72" s="37"/>
      <c r="BX72" s="38"/>
      <c r="BY72" s="18"/>
      <c r="BZ72" s="39">
        <v>42094</v>
      </c>
      <c r="CA72" s="40">
        <v>61680.6273</v>
      </c>
      <c r="CB72" s="17"/>
      <c r="CC72" s="39">
        <v>42094</v>
      </c>
      <c r="CD72" s="40">
        <v>41.7</v>
      </c>
      <c r="CE72" s="18"/>
      <c r="CF72" s="18"/>
      <c r="CG72" s="18"/>
      <c r="CH72" s="18"/>
      <c r="CI72" s="18"/>
      <c r="CJ72" s="18"/>
      <c r="CK72" s="18"/>
      <c r="CL72" s="18"/>
      <c r="CM72" s="18"/>
      <c r="CN72" s="17"/>
      <c r="CO72" s="17"/>
      <c r="CP72" s="17"/>
      <c r="CQ72" s="18"/>
      <c r="CR72" s="18"/>
      <c r="CS72" s="18"/>
      <c r="CT72" s="18"/>
      <c r="CU72" s="18"/>
      <c r="CV72" s="18"/>
      <c r="CW72" s="18"/>
      <c r="CX72" s="18"/>
      <c r="CY72" s="37">
        <v>44860</v>
      </c>
      <c r="CZ72" s="38">
        <v>18.096</v>
      </c>
      <c r="DA72" s="18"/>
      <c r="DB72" s="37">
        <v>43951</v>
      </c>
      <c r="DC72" s="38">
        <v>19.182700000000001</v>
      </c>
      <c r="DD72" s="18"/>
      <c r="DE72" s="37">
        <v>43951</v>
      </c>
      <c r="DF72" s="38">
        <v>18.526399999999999</v>
      </c>
      <c r="DG72" s="18"/>
      <c r="DH72" s="37">
        <v>43951</v>
      </c>
      <c r="DI72" s="38">
        <v>23.335999999999999</v>
      </c>
      <c r="DJ72" s="18"/>
      <c r="DK72" s="37">
        <v>43951</v>
      </c>
      <c r="DL72" s="38">
        <v>0.1729</v>
      </c>
      <c r="DM72" s="18"/>
      <c r="DN72" s="18"/>
      <c r="DO72" s="18"/>
      <c r="DP72" s="18"/>
      <c r="DQ72" s="18"/>
      <c r="DR72" s="18"/>
      <c r="DS72" s="18"/>
      <c r="DT72" s="18"/>
      <c r="DU72" s="18"/>
      <c r="DV72" s="18"/>
      <c r="DW72" s="18"/>
      <c r="DX72" s="18"/>
      <c r="DY72" s="18"/>
      <c r="DZ72" s="18"/>
    </row>
    <row r="73" spans="1:130" ht="15" customHeight="1" x14ac:dyDescent="0.3">
      <c r="A73" s="30" t="s">
        <v>164</v>
      </c>
      <c r="B73" s="73" t="s">
        <v>446</v>
      </c>
      <c r="C73" s="74" t="s">
        <v>615</v>
      </c>
      <c r="D73" s="74" t="s">
        <v>615</v>
      </c>
      <c r="E73" s="74" t="s">
        <v>615</v>
      </c>
      <c r="F73" s="74" t="s">
        <v>615</v>
      </c>
      <c r="G73" s="74" t="s">
        <v>615</v>
      </c>
      <c r="H73" s="74" t="s">
        <v>615</v>
      </c>
      <c r="I73" s="74" t="s">
        <v>615</v>
      </c>
      <c r="J73" s="74" t="s">
        <v>615</v>
      </c>
      <c r="K73" s="74" t="s">
        <v>615</v>
      </c>
      <c r="L73" s="74" t="s">
        <v>615</v>
      </c>
      <c r="M73" s="75" t="s">
        <v>615</v>
      </c>
      <c r="N73" s="17"/>
      <c r="O73" s="17"/>
      <c r="P73" s="17"/>
      <c r="Q73" s="17"/>
      <c r="R73" s="17"/>
      <c r="S73" s="17"/>
      <c r="T73" s="17"/>
      <c r="U73" s="18"/>
      <c r="V73" s="18"/>
      <c r="W73" s="18"/>
      <c r="X73" s="18"/>
      <c r="Y73" s="18"/>
      <c r="Z73" s="18"/>
      <c r="AA73" s="18"/>
      <c r="AB73" s="18"/>
      <c r="AC73" s="18"/>
      <c r="AD73" s="18"/>
      <c r="AE73" s="18" t="s">
        <v>446</v>
      </c>
      <c r="AF73" s="85" t="e">
        <v>#VALUE!</v>
      </c>
      <c r="AG73" s="85" t="e">
        <v>#VALUE!</v>
      </c>
      <c r="AH73" s="85" t="e">
        <v>#VALUE!</v>
      </c>
      <c r="AI73" s="85" t="e">
        <v>#VALUE!</v>
      </c>
      <c r="AJ73" s="85" t="e">
        <v>#VALUE!</v>
      </c>
      <c r="AK73" s="85" t="e">
        <v>#VALUE!</v>
      </c>
      <c r="AL73" s="85" t="e">
        <v>#VALUE!</v>
      </c>
      <c r="AM73" s="85" t="e">
        <v>#VALUE!</v>
      </c>
      <c r="AN73" s="18"/>
      <c r="AO73" s="18"/>
      <c r="AP73" s="77" t="s">
        <v>446</v>
      </c>
      <c r="AQ73" s="18" t="s">
        <v>1811</v>
      </c>
      <c r="AR73" s="18" t="s">
        <v>1811</v>
      </c>
      <c r="AS73" s="18" t="s">
        <v>1811</v>
      </c>
      <c r="AT73" s="18" t="s">
        <v>1811</v>
      </c>
      <c r="AU73" s="18" t="s">
        <v>1811</v>
      </c>
      <c r="AV73" s="18" t="s">
        <v>1811</v>
      </c>
      <c r="AW73" s="18" t="s">
        <v>1811</v>
      </c>
      <c r="AX73" s="18" t="s">
        <v>1811</v>
      </c>
      <c r="AY73" s="18" t="s">
        <v>1811</v>
      </c>
      <c r="AZ73" s="18" t="s">
        <v>1811</v>
      </c>
      <c r="BA73" s="78" t="s">
        <v>1811</v>
      </c>
      <c r="BB73" s="18"/>
      <c r="BC73" s="18"/>
      <c r="BD73" s="18"/>
      <c r="BE73" s="18"/>
      <c r="BF73" s="18"/>
      <c r="BG73" s="18"/>
      <c r="BH73" s="18"/>
      <c r="BI73" s="18"/>
      <c r="BJ73" s="18"/>
      <c r="BK73" s="18"/>
      <c r="BL73" s="18"/>
      <c r="BM73" s="18"/>
      <c r="BN73" s="18"/>
      <c r="BO73" s="18"/>
      <c r="BP73" s="18"/>
      <c r="BQ73" s="37">
        <v>42124</v>
      </c>
      <c r="BR73" s="38">
        <v>61652.9879</v>
      </c>
      <c r="BS73" s="17"/>
      <c r="BT73" s="37">
        <v>42124</v>
      </c>
      <c r="BU73" s="38">
        <v>4167</v>
      </c>
      <c r="BV73" s="18"/>
      <c r="BW73" s="37"/>
      <c r="BX73" s="38"/>
      <c r="BY73" s="18"/>
      <c r="BZ73" s="39">
        <v>42124</v>
      </c>
      <c r="CA73" s="40">
        <v>61652.9879</v>
      </c>
      <c r="CB73" s="17"/>
      <c r="CC73" s="39">
        <v>42124</v>
      </c>
      <c r="CD73" s="40">
        <v>41.67</v>
      </c>
      <c r="CE73" s="18"/>
      <c r="CF73" s="18"/>
      <c r="CG73" s="18"/>
      <c r="CH73" s="18"/>
      <c r="CI73" s="18"/>
      <c r="CJ73" s="18"/>
      <c r="CK73" s="18"/>
      <c r="CL73" s="18"/>
      <c r="CM73" s="18"/>
      <c r="CN73" s="17"/>
      <c r="CO73" s="17"/>
      <c r="CP73" s="17"/>
      <c r="CQ73" s="18"/>
      <c r="CR73" s="18"/>
      <c r="CS73" s="18"/>
      <c r="CT73" s="18"/>
      <c r="CU73" s="18"/>
      <c r="CV73" s="18"/>
      <c r="CW73" s="18"/>
      <c r="CX73" s="18"/>
      <c r="CY73" s="37">
        <v>44861</v>
      </c>
      <c r="CZ73" s="38">
        <v>17.929400000000001</v>
      </c>
      <c r="DA73" s="18"/>
      <c r="DB73" s="37">
        <v>43955</v>
      </c>
      <c r="DC73" s="38">
        <v>19.2577</v>
      </c>
      <c r="DD73" s="18"/>
      <c r="DE73" s="37">
        <v>43955</v>
      </c>
      <c r="DF73" s="38">
        <v>18.587700000000002</v>
      </c>
      <c r="DG73" s="18"/>
      <c r="DH73" s="37">
        <v>43955</v>
      </c>
      <c r="DI73" s="38">
        <v>23.107700000000001</v>
      </c>
      <c r="DJ73" s="18"/>
      <c r="DK73" s="37">
        <v>43955</v>
      </c>
      <c r="DL73" s="38">
        <v>0.17419999999999999</v>
      </c>
      <c r="DM73" s="18"/>
      <c r="DN73" s="18"/>
      <c r="DO73" s="18"/>
      <c r="DP73" s="18"/>
      <c r="DQ73" s="18"/>
      <c r="DR73" s="18"/>
      <c r="DS73" s="18"/>
      <c r="DT73" s="18"/>
      <c r="DU73" s="18"/>
      <c r="DV73" s="18"/>
      <c r="DW73" s="18"/>
      <c r="DX73" s="18"/>
      <c r="DY73" s="18"/>
      <c r="DZ73" s="18"/>
    </row>
    <row r="74" spans="1:130" ht="15" customHeight="1" x14ac:dyDescent="0.3">
      <c r="A74" s="30" t="s">
        <v>358</v>
      </c>
      <c r="B74" s="73" t="s">
        <v>205</v>
      </c>
      <c r="C74" s="74" t="s">
        <v>615</v>
      </c>
      <c r="D74" s="74" t="s">
        <v>615</v>
      </c>
      <c r="E74" s="74" t="s">
        <v>615</v>
      </c>
      <c r="F74" s="74" t="s">
        <v>615</v>
      </c>
      <c r="G74" s="74" t="s">
        <v>615</v>
      </c>
      <c r="H74" s="74" t="s">
        <v>615</v>
      </c>
      <c r="I74" s="74" t="s">
        <v>615</v>
      </c>
      <c r="J74" s="74" t="s">
        <v>615</v>
      </c>
      <c r="K74" s="74" t="s">
        <v>615</v>
      </c>
      <c r="L74" s="74" t="s">
        <v>615</v>
      </c>
      <c r="M74" s="75" t="s">
        <v>615</v>
      </c>
      <c r="N74" s="17"/>
      <c r="O74" s="17"/>
      <c r="P74" s="17"/>
      <c r="Q74" s="17"/>
      <c r="R74" s="17"/>
      <c r="S74" s="17"/>
      <c r="T74" s="17"/>
      <c r="U74" s="18"/>
      <c r="V74" s="18"/>
      <c r="W74" s="18"/>
      <c r="X74" s="18"/>
      <c r="Y74" s="18"/>
      <c r="Z74" s="18"/>
      <c r="AA74" s="18"/>
      <c r="AB74" s="18"/>
      <c r="AC74" s="18"/>
      <c r="AD74" s="18"/>
      <c r="AE74" s="18" t="s">
        <v>205</v>
      </c>
      <c r="AF74" s="85" t="e">
        <v>#VALUE!</v>
      </c>
      <c r="AG74" s="85" t="e">
        <v>#VALUE!</v>
      </c>
      <c r="AH74" s="85" t="e">
        <v>#VALUE!</v>
      </c>
      <c r="AI74" s="85" t="e">
        <v>#VALUE!</v>
      </c>
      <c r="AJ74" s="85" t="e">
        <v>#VALUE!</v>
      </c>
      <c r="AK74" s="85" t="e">
        <v>#VALUE!</v>
      </c>
      <c r="AL74" s="85" t="e">
        <v>#VALUE!</v>
      </c>
      <c r="AM74" s="85" t="e">
        <v>#VALUE!</v>
      </c>
      <c r="AN74" s="18"/>
      <c r="AO74" s="18"/>
      <c r="AP74" s="77" t="s">
        <v>205</v>
      </c>
      <c r="AQ74" s="18">
        <v>0</v>
      </c>
      <c r="AR74" s="18">
        <v>0</v>
      </c>
      <c r="AS74" s="18">
        <v>0</v>
      </c>
      <c r="AT74" s="18">
        <v>0</v>
      </c>
      <c r="AU74" s="18">
        <v>0</v>
      </c>
      <c r="AV74" s="18">
        <v>0</v>
      </c>
      <c r="AW74" s="18">
        <v>0</v>
      </c>
      <c r="AX74" s="18">
        <v>0</v>
      </c>
      <c r="AY74" s="18">
        <v>0</v>
      </c>
      <c r="AZ74" s="18">
        <v>0</v>
      </c>
      <c r="BA74" s="78">
        <v>0</v>
      </c>
      <c r="BB74" s="18"/>
      <c r="BC74" s="18"/>
      <c r="BD74" s="18"/>
      <c r="BE74" s="18"/>
      <c r="BF74" s="18"/>
      <c r="BG74" s="18"/>
      <c r="BH74" s="18"/>
      <c r="BI74" s="18"/>
      <c r="BJ74" s="18"/>
      <c r="BK74" s="18"/>
      <c r="BL74" s="18"/>
      <c r="BM74" s="18"/>
      <c r="BN74" s="18"/>
      <c r="BO74" s="18"/>
      <c r="BP74" s="18"/>
      <c r="BQ74" s="37">
        <v>42153</v>
      </c>
      <c r="BR74" s="38">
        <v>57569.420599999998</v>
      </c>
      <c r="BS74" s="17"/>
      <c r="BT74" s="37">
        <v>42153</v>
      </c>
      <c r="BU74" s="38">
        <v>3891</v>
      </c>
      <c r="BV74" s="18"/>
      <c r="BW74" s="37"/>
      <c r="BX74" s="38"/>
      <c r="BY74" s="18"/>
      <c r="BZ74" s="39">
        <v>42153</v>
      </c>
      <c r="CA74" s="40">
        <v>57569.420599999998</v>
      </c>
      <c r="CB74" s="17"/>
      <c r="CC74" s="39">
        <v>42153</v>
      </c>
      <c r="CD74" s="40">
        <v>38.910000000000004</v>
      </c>
      <c r="CE74" s="18"/>
      <c r="CF74" s="18"/>
      <c r="CG74" s="18"/>
      <c r="CH74" s="18"/>
      <c r="CI74" s="18"/>
      <c r="CJ74" s="18"/>
      <c r="CK74" s="18"/>
      <c r="CL74" s="18"/>
      <c r="CM74" s="18"/>
      <c r="CN74" s="17"/>
      <c r="CO74" s="17"/>
      <c r="CP74" s="17"/>
      <c r="CQ74" s="18"/>
      <c r="CR74" s="18"/>
      <c r="CS74" s="18"/>
      <c r="CT74" s="18"/>
      <c r="CU74" s="18"/>
      <c r="CV74" s="18"/>
      <c r="CW74" s="18"/>
      <c r="CX74" s="18"/>
      <c r="CY74" s="37">
        <v>44862</v>
      </c>
      <c r="CZ74" s="38">
        <v>18.0763</v>
      </c>
      <c r="DA74" s="18"/>
      <c r="DB74" s="37">
        <v>43956</v>
      </c>
      <c r="DC74" s="38">
        <v>19.036899999999999</v>
      </c>
      <c r="DD74" s="18"/>
      <c r="DE74" s="37">
        <v>43956</v>
      </c>
      <c r="DF74" s="38">
        <v>18.518799999999999</v>
      </c>
      <c r="DG74" s="18"/>
      <c r="DH74" s="37">
        <v>43956</v>
      </c>
      <c r="DI74" s="38">
        <v>23.024799999999999</v>
      </c>
      <c r="DJ74" s="18"/>
      <c r="DK74" s="37">
        <v>43956</v>
      </c>
      <c r="DL74" s="38">
        <v>0.17380000000000001</v>
      </c>
      <c r="DM74" s="18"/>
      <c r="DN74" s="18"/>
      <c r="DO74" s="18"/>
      <c r="DP74" s="18"/>
      <c r="DQ74" s="18"/>
      <c r="DR74" s="18"/>
      <c r="DS74" s="18"/>
      <c r="DT74" s="18"/>
      <c r="DU74" s="18"/>
      <c r="DV74" s="18"/>
      <c r="DW74" s="18"/>
      <c r="DX74" s="18"/>
      <c r="DY74" s="18"/>
      <c r="DZ74" s="18"/>
    </row>
    <row r="75" spans="1:130" ht="15" customHeight="1" x14ac:dyDescent="0.3">
      <c r="A75" s="30" t="s">
        <v>359</v>
      </c>
      <c r="B75" s="73" t="s">
        <v>206</v>
      </c>
      <c r="C75" s="74">
        <v>8302</v>
      </c>
      <c r="D75" s="74">
        <v>7955</v>
      </c>
      <c r="E75" s="74">
        <v>7639</v>
      </c>
      <c r="F75" s="74">
        <v>7581</v>
      </c>
      <c r="G75" s="74">
        <v>7275</v>
      </c>
      <c r="H75" s="74">
        <v>7064</v>
      </c>
      <c r="I75" s="74">
        <v>12926</v>
      </c>
      <c r="J75" s="74">
        <v>11617</v>
      </c>
      <c r="K75" s="74">
        <v>11086</v>
      </c>
      <c r="L75" s="74">
        <v>9660</v>
      </c>
      <c r="M75" s="75">
        <v>8784</v>
      </c>
      <c r="N75" s="17"/>
      <c r="O75" s="17"/>
      <c r="P75" s="17"/>
      <c r="Q75" s="17"/>
      <c r="R75" s="17"/>
      <c r="S75" s="17"/>
      <c r="T75" s="17"/>
      <c r="U75" s="18"/>
      <c r="V75" s="18"/>
      <c r="W75" s="18"/>
      <c r="X75" s="18"/>
      <c r="Y75" s="18"/>
      <c r="Z75" s="18"/>
      <c r="AA75" s="18"/>
      <c r="AB75" s="18"/>
      <c r="AC75" s="18"/>
      <c r="AD75" s="18"/>
      <c r="AE75" s="18" t="s">
        <v>206</v>
      </c>
      <c r="AF75" s="85">
        <v>0</v>
      </c>
      <c r="AG75" s="85">
        <v>0</v>
      </c>
      <c r="AH75" s="85">
        <v>0</v>
      </c>
      <c r="AI75" s="85">
        <v>0</v>
      </c>
      <c r="AJ75" s="85">
        <v>0</v>
      </c>
      <c r="AK75" s="85">
        <v>0</v>
      </c>
      <c r="AL75" s="85">
        <v>0</v>
      </c>
      <c r="AM75" s="85">
        <v>0</v>
      </c>
      <c r="AN75" s="18"/>
      <c r="AO75" s="18"/>
      <c r="AP75" s="77" t="s">
        <v>206</v>
      </c>
      <c r="AQ75" s="18">
        <v>8302</v>
      </c>
      <c r="AR75" s="18">
        <v>7955</v>
      </c>
      <c r="AS75" s="18">
        <v>7639</v>
      </c>
      <c r="AT75" s="18">
        <v>7581</v>
      </c>
      <c r="AU75" s="18">
        <v>7275</v>
      </c>
      <c r="AV75" s="18">
        <v>7064</v>
      </c>
      <c r="AW75" s="18">
        <v>12926</v>
      </c>
      <c r="AX75" s="18">
        <v>11617</v>
      </c>
      <c r="AY75" s="18">
        <v>11086</v>
      </c>
      <c r="AZ75" s="18">
        <v>9660</v>
      </c>
      <c r="BA75" s="78">
        <v>8784</v>
      </c>
      <c r="BB75" s="18"/>
      <c r="BC75" s="18"/>
      <c r="BD75" s="18"/>
      <c r="BE75" s="18"/>
      <c r="BF75" s="18"/>
      <c r="BG75" s="18"/>
      <c r="BH75" s="18"/>
      <c r="BI75" s="18"/>
      <c r="BJ75" s="18"/>
      <c r="BK75" s="18"/>
      <c r="BL75" s="18"/>
      <c r="BM75" s="18"/>
      <c r="BN75" s="18"/>
      <c r="BO75" s="18"/>
      <c r="BP75" s="18"/>
      <c r="BQ75" s="37">
        <v>42185</v>
      </c>
      <c r="BR75" s="38">
        <v>56657.437400000003</v>
      </c>
      <c r="BS75" s="17"/>
      <c r="BT75" s="37">
        <v>42185</v>
      </c>
      <c r="BU75" s="38">
        <v>3828</v>
      </c>
      <c r="BV75" s="18"/>
      <c r="BW75" s="37"/>
      <c r="BX75" s="38"/>
      <c r="BY75" s="18"/>
      <c r="BZ75" s="39">
        <v>42185</v>
      </c>
      <c r="CA75" s="40">
        <v>56657.437400000003</v>
      </c>
      <c r="CB75" s="17"/>
      <c r="CC75" s="39">
        <v>42185</v>
      </c>
      <c r="CD75" s="40">
        <v>38.28</v>
      </c>
      <c r="CE75" s="18"/>
      <c r="CF75" s="18"/>
      <c r="CG75" s="18"/>
      <c r="CH75" s="18"/>
      <c r="CI75" s="18"/>
      <c r="CJ75" s="18"/>
      <c r="CK75" s="18"/>
      <c r="CL75" s="18"/>
      <c r="CM75" s="18"/>
      <c r="CN75" s="17"/>
      <c r="CO75" s="17"/>
      <c r="CP75" s="17"/>
      <c r="CQ75" s="18"/>
      <c r="CR75" s="18"/>
      <c r="CS75" s="18"/>
      <c r="CT75" s="18"/>
      <c r="CU75" s="18"/>
      <c r="CV75" s="18"/>
      <c r="CW75" s="18"/>
      <c r="CX75" s="18"/>
      <c r="CY75" s="37">
        <v>44865</v>
      </c>
      <c r="CZ75" s="38">
        <v>18.135100000000001</v>
      </c>
      <c r="DA75" s="18"/>
      <c r="DB75" s="37">
        <v>43957</v>
      </c>
      <c r="DC75" s="38">
        <v>19.261299999999999</v>
      </c>
      <c r="DD75" s="18"/>
      <c r="DE75" s="37">
        <v>43957</v>
      </c>
      <c r="DF75" s="38">
        <v>18.782900000000001</v>
      </c>
      <c r="DG75" s="18"/>
      <c r="DH75" s="37">
        <v>43957</v>
      </c>
      <c r="DI75" s="38">
        <v>23.148</v>
      </c>
      <c r="DJ75" s="18"/>
      <c r="DK75" s="37">
        <v>43957</v>
      </c>
      <c r="DL75" s="38">
        <v>0.17699999999999999</v>
      </c>
      <c r="DM75" s="18"/>
      <c r="DN75" s="18"/>
      <c r="DO75" s="18"/>
      <c r="DP75" s="18"/>
      <c r="DQ75" s="18"/>
      <c r="DR75" s="18"/>
      <c r="DS75" s="18"/>
      <c r="DT75" s="18"/>
      <c r="DU75" s="18"/>
      <c r="DV75" s="18"/>
      <c r="DW75" s="18"/>
      <c r="DX75" s="18"/>
      <c r="DY75" s="18"/>
      <c r="DZ75" s="18"/>
    </row>
    <row r="76" spans="1:130" ht="15" customHeight="1" x14ac:dyDescent="0.3">
      <c r="A76" s="30" t="s">
        <v>360</v>
      </c>
      <c r="B76" s="73" t="s">
        <v>207</v>
      </c>
      <c r="C76" s="74" t="s">
        <v>615</v>
      </c>
      <c r="D76" s="74" t="s">
        <v>615</v>
      </c>
      <c r="E76" s="74" t="s">
        <v>615</v>
      </c>
      <c r="F76" s="74" t="s">
        <v>615</v>
      </c>
      <c r="G76" s="74" t="s">
        <v>615</v>
      </c>
      <c r="H76" s="74" t="s">
        <v>615</v>
      </c>
      <c r="I76" s="74" t="s">
        <v>615</v>
      </c>
      <c r="J76" s="74" t="s">
        <v>615</v>
      </c>
      <c r="K76" s="74" t="s">
        <v>615</v>
      </c>
      <c r="L76" s="74" t="s">
        <v>615</v>
      </c>
      <c r="M76" s="75" t="s">
        <v>615</v>
      </c>
      <c r="N76" s="17"/>
      <c r="O76" s="17"/>
      <c r="P76" s="17"/>
      <c r="Q76" s="17"/>
      <c r="R76" s="17"/>
      <c r="S76" s="17"/>
      <c r="T76" s="17"/>
      <c r="U76" s="18"/>
      <c r="V76" s="18"/>
      <c r="W76" s="18"/>
      <c r="X76" s="18"/>
      <c r="Y76" s="18"/>
      <c r="Z76" s="18"/>
      <c r="AA76" s="18"/>
      <c r="AB76" s="18"/>
      <c r="AC76" s="18"/>
      <c r="AD76" s="18"/>
      <c r="AE76" s="18" t="s">
        <v>207</v>
      </c>
      <c r="AF76" s="85" t="e">
        <v>#VALUE!</v>
      </c>
      <c r="AG76" s="85" t="e">
        <v>#VALUE!</v>
      </c>
      <c r="AH76" s="85" t="e">
        <v>#VALUE!</v>
      </c>
      <c r="AI76" s="85" t="e">
        <v>#VALUE!</v>
      </c>
      <c r="AJ76" s="85" t="e">
        <v>#VALUE!</v>
      </c>
      <c r="AK76" s="85" t="e">
        <v>#VALUE!</v>
      </c>
      <c r="AL76" s="85" t="e">
        <v>#VALUE!</v>
      </c>
      <c r="AM76" s="85" t="e">
        <v>#VALUE!</v>
      </c>
      <c r="AN76" s="18"/>
      <c r="AO76" s="18"/>
      <c r="AP76" s="77" t="s">
        <v>207</v>
      </c>
      <c r="AQ76" s="18" t="s">
        <v>1811</v>
      </c>
      <c r="AR76" s="18" t="s">
        <v>1811</v>
      </c>
      <c r="AS76" s="18" t="s">
        <v>1811</v>
      </c>
      <c r="AT76" s="18" t="s">
        <v>1811</v>
      </c>
      <c r="AU76" s="18" t="s">
        <v>1811</v>
      </c>
      <c r="AV76" s="18" t="s">
        <v>1811</v>
      </c>
      <c r="AW76" s="18" t="s">
        <v>1811</v>
      </c>
      <c r="AX76" s="18" t="s">
        <v>1811</v>
      </c>
      <c r="AY76" s="18" t="s">
        <v>1811</v>
      </c>
      <c r="AZ76" s="18" t="s">
        <v>1811</v>
      </c>
      <c r="BA76" s="78" t="s">
        <v>1811</v>
      </c>
      <c r="BB76" s="18"/>
      <c r="BC76" s="18"/>
      <c r="BD76" s="18"/>
      <c r="BE76" s="18"/>
      <c r="BF76" s="18"/>
      <c r="BG76" s="18"/>
      <c r="BH76" s="18"/>
      <c r="BI76" s="18"/>
      <c r="BJ76" s="18"/>
      <c r="BK76" s="18"/>
      <c r="BL76" s="18"/>
      <c r="BM76" s="18"/>
      <c r="BN76" s="18"/>
      <c r="BO76" s="18"/>
      <c r="BP76" s="18"/>
      <c r="BQ76" s="37">
        <v>42216</v>
      </c>
      <c r="BR76" s="38">
        <v>58760.646000000001</v>
      </c>
      <c r="BS76" s="17"/>
      <c r="BT76" s="37">
        <v>42216</v>
      </c>
      <c r="BU76" s="38">
        <v>4039</v>
      </c>
      <c r="BV76" s="18"/>
      <c r="BW76" s="37"/>
      <c r="BX76" s="38"/>
      <c r="BY76" s="18"/>
      <c r="BZ76" s="39">
        <v>42216</v>
      </c>
      <c r="CA76" s="40">
        <v>58760.646000000001</v>
      </c>
      <c r="CB76" s="17"/>
      <c r="CC76" s="39">
        <v>42216</v>
      </c>
      <c r="CD76" s="40">
        <v>40.39</v>
      </c>
      <c r="CE76" s="18"/>
      <c r="CF76" s="18"/>
      <c r="CG76" s="18"/>
      <c r="CH76" s="18"/>
      <c r="CI76" s="18"/>
      <c r="CJ76" s="18"/>
      <c r="CK76" s="18"/>
      <c r="CL76" s="18"/>
      <c r="CM76" s="18"/>
      <c r="CN76" s="17"/>
      <c r="CO76" s="17"/>
      <c r="CP76" s="17"/>
      <c r="CQ76" s="18"/>
      <c r="CR76" s="18"/>
      <c r="CS76" s="18"/>
      <c r="CT76" s="18"/>
      <c r="CU76" s="18"/>
      <c r="CV76" s="18"/>
      <c r="CW76" s="18"/>
      <c r="CX76" s="18"/>
      <c r="CY76" s="37">
        <v>44866</v>
      </c>
      <c r="CZ76" s="38">
        <v>17.983599999999999</v>
      </c>
      <c r="DA76" s="18"/>
      <c r="DB76" s="37">
        <v>43958</v>
      </c>
      <c r="DC76" s="38">
        <v>19.1067</v>
      </c>
      <c r="DD76" s="18"/>
      <c r="DE76" s="37">
        <v>43958</v>
      </c>
      <c r="DF76" s="38">
        <v>18.593800000000002</v>
      </c>
      <c r="DG76" s="18"/>
      <c r="DH76" s="37">
        <v>43958</v>
      </c>
      <c r="DI76" s="38">
        <v>22.986599999999999</v>
      </c>
      <c r="DJ76" s="18"/>
      <c r="DK76" s="37">
        <v>43958</v>
      </c>
      <c r="DL76" s="38">
        <v>0.1749</v>
      </c>
      <c r="DM76" s="18"/>
      <c r="DN76" s="18"/>
      <c r="DO76" s="18"/>
      <c r="DP76" s="18"/>
      <c r="DQ76" s="18"/>
      <c r="DR76" s="18"/>
      <c r="DS76" s="18"/>
      <c r="DT76" s="18"/>
      <c r="DU76" s="18"/>
      <c r="DV76" s="18"/>
      <c r="DW76" s="18"/>
      <c r="DX76" s="18"/>
      <c r="DY76" s="18"/>
      <c r="DZ76" s="18"/>
    </row>
    <row r="77" spans="1:130" ht="15" customHeight="1" x14ac:dyDescent="0.3">
      <c r="A77" s="30" t="s">
        <v>359</v>
      </c>
      <c r="B77" s="73" t="s">
        <v>206</v>
      </c>
      <c r="C77" s="74">
        <v>8302</v>
      </c>
      <c r="D77" s="74">
        <v>7955</v>
      </c>
      <c r="E77" s="74">
        <v>7639</v>
      </c>
      <c r="F77" s="74">
        <v>7581</v>
      </c>
      <c r="G77" s="74">
        <v>7275</v>
      </c>
      <c r="H77" s="74">
        <v>7064</v>
      </c>
      <c r="I77" s="74">
        <v>12926</v>
      </c>
      <c r="J77" s="74">
        <v>11617</v>
      </c>
      <c r="K77" s="74">
        <v>11086</v>
      </c>
      <c r="L77" s="74">
        <v>9660</v>
      </c>
      <c r="M77" s="75">
        <v>8784</v>
      </c>
      <c r="N77" s="17"/>
      <c r="O77" s="17"/>
      <c r="P77" s="17"/>
      <c r="Q77" s="17"/>
      <c r="R77" s="17"/>
      <c r="S77" s="17"/>
      <c r="T77" s="17"/>
      <c r="U77" s="18"/>
      <c r="V77" s="18"/>
      <c r="W77" s="18"/>
      <c r="X77" s="18"/>
      <c r="Y77" s="18"/>
      <c r="Z77" s="18"/>
      <c r="AA77" s="18"/>
      <c r="AB77" s="18"/>
      <c r="AC77" s="18"/>
      <c r="AD77" s="18"/>
      <c r="AE77" s="18" t="s">
        <v>206</v>
      </c>
      <c r="AF77" s="85">
        <v>0</v>
      </c>
      <c r="AG77" s="85">
        <v>0</v>
      </c>
      <c r="AH77" s="85">
        <v>0</v>
      </c>
      <c r="AI77" s="85">
        <v>0</v>
      </c>
      <c r="AJ77" s="85">
        <v>0</v>
      </c>
      <c r="AK77" s="85">
        <v>0</v>
      </c>
      <c r="AL77" s="85">
        <v>0</v>
      </c>
      <c r="AM77" s="85">
        <v>0</v>
      </c>
      <c r="AN77" s="18"/>
      <c r="AO77" s="18"/>
      <c r="AP77" s="77" t="s">
        <v>206</v>
      </c>
      <c r="AQ77" s="18">
        <v>8302</v>
      </c>
      <c r="AR77" s="18">
        <v>7955</v>
      </c>
      <c r="AS77" s="18">
        <v>7639</v>
      </c>
      <c r="AT77" s="18">
        <v>7581</v>
      </c>
      <c r="AU77" s="18">
        <v>7275</v>
      </c>
      <c r="AV77" s="18">
        <v>7064</v>
      </c>
      <c r="AW77" s="18">
        <v>12926</v>
      </c>
      <c r="AX77" s="18">
        <v>11617</v>
      </c>
      <c r="AY77" s="18">
        <v>11086</v>
      </c>
      <c r="AZ77" s="18">
        <v>9660</v>
      </c>
      <c r="BA77" s="78">
        <v>8784</v>
      </c>
      <c r="BB77" s="18"/>
      <c r="BC77" s="18"/>
      <c r="BD77" s="18"/>
      <c r="BE77" s="18"/>
      <c r="BF77" s="18"/>
      <c r="BG77" s="18"/>
      <c r="BH77" s="18"/>
      <c r="BI77" s="18"/>
      <c r="BJ77" s="18"/>
      <c r="BK77" s="18"/>
      <c r="BL77" s="18"/>
      <c r="BM77" s="18"/>
      <c r="BN77" s="18"/>
      <c r="BO77" s="18"/>
      <c r="BP77" s="18"/>
      <c r="BQ77" s="37">
        <v>42247</v>
      </c>
      <c r="BR77" s="38">
        <v>58021.971599999997</v>
      </c>
      <c r="BS77" s="17"/>
      <c r="BT77" s="37">
        <v>42247</v>
      </c>
      <c r="BU77" s="38">
        <v>3986</v>
      </c>
      <c r="BV77" s="18"/>
      <c r="BW77" s="37"/>
      <c r="BX77" s="38"/>
      <c r="BY77" s="18"/>
      <c r="BZ77" s="39">
        <v>42247</v>
      </c>
      <c r="CA77" s="40">
        <v>58021.971599999997</v>
      </c>
      <c r="CB77" s="17"/>
      <c r="CC77" s="39">
        <v>42247</v>
      </c>
      <c r="CD77" s="40">
        <v>39.86</v>
      </c>
      <c r="CE77" s="18"/>
      <c r="CF77" s="18"/>
      <c r="CG77" s="18"/>
      <c r="CH77" s="18"/>
      <c r="CI77" s="18"/>
      <c r="CJ77" s="18"/>
      <c r="CK77" s="18"/>
      <c r="CL77" s="18"/>
      <c r="CM77" s="18"/>
      <c r="CN77" s="17"/>
      <c r="CO77" s="17"/>
      <c r="CP77" s="17"/>
      <c r="CQ77" s="18"/>
      <c r="CR77" s="18"/>
      <c r="CS77" s="18"/>
      <c r="CT77" s="18"/>
      <c r="CU77" s="18"/>
      <c r="CV77" s="18"/>
      <c r="CW77" s="18"/>
      <c r="CX77" s="18"/>
      <c r="CY77" s="37">
        <v>44867</v>
      </c>
      <c r="CZ77" s="38">
        <v>17.9254</v>
      </c>
      <c r="DA77" s="18"/>
      <c r="DB77" s="37">
        <v>43959</v>
      </c>
      <c r="DC77" s="38">
        <v>18.890799999999999</v>
      </c>
      <c r="DD77" s="18"/>
      <c r="DE77" s="37">
        <v>43959</v>
      </c>
      <c r="DF77" s="38">
        <v>18.3474</v>
      </c>
      <c r="DG77" s="18"/>
      <c r="DH77" s="37">
        <v>43959</v>
      </c>
      <c r="DI77" s="38">
        <v>22.761299999999999</v>
      </c>
      <c r="DJ77" s="18"/>
      <c r="DK77" s="37">
        <v>43959</v>
      </c>
      <c r="DL77" s="38">
        <v>0.17199999999999999</v>
      </c>
      <c r="DM77" s="18"/>
      <c r="DN77" s="18"/>
      <c r="DO77" s="18"/>
      <c r="DP77" s="18"/>
      <c r="DQ77" s="18"/>
      <c r="DR77" s="18"/>
      <c r="DS77" s="18"/>
      <c r="DT77" s="18"/>
      <c r="DU77" s="18"/>
      <c r="DV77" s="18"/>
      <c r="DW77" s="18"/>
      <c r="DX77" s="18"/>
      <c r="DY77" s="18"/>
      <c r="DZ77" s="18"/>
    </row>
    <row r="78" spans="1:130" ht="15" customHeight="1" thickBot="1" x14ac:dyDescent="0.35">
      <c r="A78" s="30" t="s">
        <v>360</v>
      </c>
      <c r="B78" s="73" t="s">
        <v>207</v>
      </c>
      <c r="C78" s="74" t="s">
        <v>615</v>
      </c>
      <c r="D78" s="74" t="s">
        <v>615</v>
      </c>
      <c r="E78" s="74" t="s">
        <v>615</v>
      </c>
      <c r="F78" s="74" t="s">
        <v>615</v>
      </c>
      <c r="G78" s="74" t="s">
        <v>615</v>
      </c>
      <c r="H78" s="74" t="s">
        <v>615</v>
      </c>
      <c r="I78" s="74" t="s">
        <v>615</v>
      </c>
      <c r="J78" s="74" t="s">
        <v>615</v>
      </c>
      <c r="K78" s="74" t="s">
        <v>615</v>
      </c>
      <c r="L78" s="74" t="s">
        <v>615</v>
      </c>
      <c r="M78" s="75" t="s">
        <v>615</v>
      </c>
      <c r="N78" s="17"/>
      <c r="O78" s="17"/>
      <c r="P78" s="17"/>
      <c r="Q78" s="17"/>
      <c r="R78" s="17"/>
      <c r="S78" s="17"/>
      <c r="T78" s="17"/>
      <c r="U78" s="18"/>
      <c r="V78" s="18"/>
      <c r="W78" s="18"/>
      <c r="X78" s="18"/>
      <c r="Y78" s="18"/>
      <c r="Z78" s="18"/>
      <c r="AA78" s="18"/>
      <c r="AB78" s="18"/>
      <c r="AC78" s="18"/>
      <c r="AD78" s="18"/>
      <c r="AE78" s="18" t="s">
        <v>207</v>
      </c>
      <c r="AF78" s="85" t="e">
        <v>#VALUE!</v>
      </c>
      <c r="AG78" s="85" t="e">
        <v>#VALUE!</v>
      </c>
      <c r="AH78" s="85" t="e">
        <v>#VALUE!</v>
      </c>
      <c r="AI78" s="85" t="e">
        <v>#VALUE!</v>
      </c>
      <c r="AJ78" s="85" t="e">
        <v>#VALUE!</v>
      </c>
      <c r="AK78" s="85" t="e">
        <v>#VALUE!</v>
      </c>
      <c r="AL78" s="85" t="e">
        <v>#VALUE!</v>
      </c>
      <c r="AM78" s="85" t="e">
        <v>#VALUE!</v>
      </c>
      <c r="AN78" s="18"/>
      <c r="AO78" s="18"/>
      <c r="AP78" s="104" t="s">
        <v>207</v>
      </c>
      <c r="AQ78" s="113" t="s">
        <v>1811</v>
      </c>
      <c r="AR78" s="113" t="s">
        <v>1811</v>
      </c>
      <c r="AS78" s="113" t="s">
        <v>1811</v>
      </c>
      <c r="AT78" s="113" t="s">
        <v>1811</v>
      </c>
      <c r="AU78" s="113" t="s">
        <v>1811</v>
      </c>
      <c r="AV78" s="113" t="s">
        <v>1811</v>
      </c>
      <c r="AW78" s="113" t="s">
        <v>1811</v>
      </c>
      <c r="AX78" s="113" t="s">
        <v>1811</v>
      </c>
      <c r="AY78" s="113" t="s">
        <v>1811</v>
      </c>
      <c r="AZ78" s="113" t="s">
        <v>1811</v>
      </c>
      <c r="BA78" s="114" t="s">
        <v>1811</v>
      </c>
      <c r="BB78" s="18"/>
      <c r="BC78" s="18"/>
      <c r="BD78" s="18"/>
      <c r="BE78" s="18"/>
      <c r="BF78" s="18"/>
      <c r="BG78" s="18"/>
      <c r="BH78" s="18"/>
      <c r="BI78" s="18"/>
      <c r="BJ78" s="18"/>
      <c r="BK78" s="18"/>
      <c r="BL78" s="18"/>
      <c r="BM78" s="18"/>
      <c r="BN78" s="18"/>
      <c r="BO78" s="18"/>
      <c r="BP78" s="18"/>
      <c r="BQ78" s="37">
        <v>42277</v>
      </c>
      <c r="BR78" s="38">
        <v>52850.606599999999</v>
      </c>
      <c r="BS78" s="17"/>
      <c r="BT78" s="37">
        <v>42277</v>
      </c>
      <c r="BU78" s="38">
        <v>3630</v>
      </c>
      <c r="BV78" s="18"/>
      <c r="BW78" s="37"/>
      <c r="BX78" s="38"/>
      <c r="BY78" s="18"/>
      <c r="BZ78" s="39">
        <v>42277</v>
      </c>
      <c r="CA78" s="40">
        <v>52850.606599999999</v>
      </c>
      <c r="CB78" s="17"/>
      <c r="CC78" s="39">
        <v>42277</v>
      </c>
      <c r="CD78" s="40">
        <v>36.300000000000004</v>
      </c>
      <c r="CE78" s="18"/>
      <c r="CF78" s="18"/>
      <c r="CG78" s="18"/>
      <c r="CH78" s="18"/>
      <c r="CI78" s="18"/>
      <c r="CJ78" s="18"/>
      <c r="CK78" s="18"/>
      <c r="CL78" s="18"/>
      <c r="CM78" s="18"/>
      <c r="CN78" s="17"/>
      <c r="CO78" s="17"/>
      <c r="CP78" s="17"/>
      <c r="CQ78" s="18"/>
      <c r="CR78" s="18"/>
      <c r="CS78" s="18"/>
      <c r="CT78" s="18"/>
      <c r="CU78" s="18"/>
      <c r="CV78" s="18"/>
      <c r="CW78" s="18"/>
      <c r="CX78" s="18"/>
      <c r="CY78" s="37">
        <v>44868</v>
      </c>
      <c r="CZ78" s="38">
        <v>17.947600000000001</v>
      </c>
      <c r="DA78" s="18"/>
      <c r="DB78" s="37">
        <v>43962</v>
      </c>
      <c r="DC78" s="38">
        <v>18.934799999999999</v>
      </c>
      <c r="DD78" s="18"/>
      <c r="DE78" s="37">
        <v>43962</v>
      </c>
      <c r="DF78" s="38">
        <v>18.423400000000001</v>
      </c>
      <c r="DG78" s="18"/>
      <c r="DH78" s="37">
        <v>43962</v>
      </c>
      <c r="DI78" s="38">
        <v>22.7227</v>
      </c>
      <c r="DJ78" s="18"/>
      <c r="DK78" s="37">
        <v>43962</v>
      </c>
      <c r="DL78" s="38">
        <v>0.1711</v>
      </c>
      <c r="DM78" s="18"/>
      <c r="DN78" s="18"/>
      <c r="DO78" s="18"/>
      <c r="DP78" s="18"/>
      <c r="DQ78" s="18"/>
      <c r="DR78" s="18"/>
      <c r="DS78" s="18"/>
      <c r="DT78" s="18"/>
      <c r="DU78" s="18"/>
      <c r="DV78" s="18"/>
      <c r="DW78" s="18"/>
      <c r="DX78" s="18"/>
      <c r="DY78" s="18"/>
      <c r="DZ78" s="18"/>
    </row>
    <row r="79" spans="1:130" ht="15" customHeight="1" x14ac:dyDescent="0.3">
      <c r="A79" s="30"/>
      <c r="B79" s="73"/>
      <c r="C79" s="74"/>
      <c r="D79" s="74"/>
      <c r="E79" s="74"/>
      <c r="F79" s="74"/>
      <c r="G79" s="74"/>
      <c r="H79" s="74"/>
      <c r="I79" s="74"/>
      <c r="J79" s="74"/>
      <c r="K79" s="74"/>
      <c r="L79" s="74"/>
      <c r="M79" s="75"/>
      <c r="N79" s="17"/>
      <c r="O79" s="17"/>
      <c r="P79" s="17"/>
      <c r="Q79" s="17"/>
      <c r="R79" s="17"/>
      <c r="S79" s="17"/>
      <c r="T79" s="17"/>
      <c r="U79" s="18"/>
      <c r="V79" s="18"/>
      <c r="W79" s="18"/>
      <c r="X79" s="18"/>
      <c r="Y79" s="18"/>
      <c r="Z79" s="18"/>
      <c r="AA79" s="18"/>
      <c r="AB79" s="18"/>
      <c r="AC79" s="18"/>
      <c r="AD79" s="18"/>
      <c r="AE79" s="18"/>
      <c r="AF79" s="85"/>
      <c r="AG79" s="85"/>
      <c r="AH79" s="85"/>
      <c r="AI79" s="85"/>
      <c r="AJ79" s="85"/>
      <c r="AK79" s="85"/>
      <c r="AL79" s="85"/>
      <c r="AM79" s="85"/>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37">
        <v>42307</v>
      </c>
      <c r="BR79" s="38">
        <v>57430.482300000003</v>
      </c>
      <c r="BS79" s="17"/>
      <c r="BT79" s="37">
        <v>42307</v>
      </c>
      <c r="BU79" s="38">
        <v>3941</v>
      </c>
      <c r="BV79" s="18"/>
      <c r="BW79" s="37"/>
      <c r="BX79" s="38"/>
      <c r="BY79" s="18"/>
      <c r="BZ79" s="39">
        <v>42307</v>
      </c>
      <c r="CA79" s="40">
        <v>57430.482300000003</v>
      </c>
      <c r="CB79" s="17"/>
      <c r="CC79" s="39">
        <v>42307</v>
      </c>
      <c r="CD79" s="40">
        <v>39.410000000000004</v>
      </c>
      <c r="CE79" s="18"/>
      <c r="CF79" s="18"/>
      <c r="CG79" s="18"/>
      <c r="CH79" s="18"/>
      <c r="CI79" s="18"/>
      <c r="CJ79" s="18"/>
      <c r="CK79" s="18"/>
      <c r="CL79" s="18"/>
      <c r="CM79" s="18"/>
      <c r="CN79" s="18"/>
      <c r="CO79" s="18"/>
      <c r="CP79" s="18"/>
      <c r="CQ79" s="18"/>
      <c r="CR79" s="18"/>
      <c r="CS79" s="18"/>
      <c r="CT79" s="18"/>
      <c r="CU79" s="18"/>
      <c r="CV79" s="18"/>
      <c r="CW79" s="18"/>
      <c r="CX79" s="18"/>
      <c r="CY79" s="37">
        <v>44869</v>
      </c>
      <c r="CZ79" s="38">
        <v>17.947600000000001</v>
      </c>
      <c r="DA79" s="18"/>
      <c r="DB79" s="37">
        <v>43963</v>
      </c>
      <c r="DC79" s="38">
        <v>19.009899999999998</v>
      </c>
      <c r="DD79" s="18"/>
      <c r="DE79" s="37">
        <v>43963</v>
      </c>
      <c r="DF79" s="38">
        <v>18.431100000000001</v>
      </c>
      <c r="DG79" s="18"/>
      <c r="DH79" s="37">
        <v>43963</v>
      </c>
      <c r="DI79" s="38">
        <v>22.614899999999999</v>
      </c>
      <c r="DJ79" s="18"/>
      <c r="DK79" s="37">
        <v>43963</v>
      </c>
      <c r="DL79" s="38">
        <v>0.17199999999999999</v>
      </c>
      <c r="DM79" s="18"/>
      <c r="DN79" s="18"/>
      <c r="DO79" s="18"/>
      <c r="DP79" s="18"/>
      <c r="DQ79" s="18"/>
      <c r="DR79" s="18"/>
      <c r="DS79" s="18"/>
      <c r="DT79" s="18"/>
      <c r="DU79" s="18"/>
      <c r="DV79" s="18"/>
      <c r="DW79" s="18"/>
      <c r="DX79" s="18"/>
      <c r="DY79" s="18"/>
      <c r="DZ79" s="18"/>
    </row>
    <row r="80" spans="1:130" ht="15" customHeight="1" x14ac:dyDescent="0.3">
      <c r="A80" s="30"/>
      <c r="B80" s="73"/>
      <c r="C80" s="74"/>
      <c r="D80" s="74"/>
      <c r="E80" s="74"/>
      <c r="F80" s="74"/>
      <c r="G80" s="74"/>
      <c r="H80" s="74"/>
      <c r="I80" s="74"/>
      <c r="J80" s="74"/>
      <c r="K80" s="74"/>
      <c r="L80" s="74"/>
      <c r="M80" s="75"/>
      <c r="N80" s="17"/>
      <c r="O80" s="17"/>
      <c r="P80" s="17"/>
      <c r="Q80" s="17"/>
      <c r="R80" s="17"/>
      <c r="S80" s="17"/>
      <c r="T80" s="17"/>
      <c r="U80" s="18"/>
      <c r="V80" s="18"/>
      <c r="W80" s="18"/>
      <c r="X80" s="18"/>
      <c r="Y80" s="18"/>
      <c r="Z80" s="18"/>
      <c r="AA80" s="18"/>
      <c r="AB80" s="18"/>
      <c r="AC80" s="18"/>
      <c r="AD80" s="18"/>
      <c r="AE80" s="18"/>
      <c r="AF80" s="85"/>
      <c r="AG80" s="85"/>
      <c r="AH80" s="85"/>
      <c r="AI80" s="85"/>
      <c r="AJ80" s="85"/>
      <c r="AK80" s="85"/>
      <c r="AL80" s="85"/>
      <c r="AM80" s="85"/>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37">
        <v>42338</v>
      </c>
      <c r="BR80" s="38">
        <v>52461.237300000001</v>
      </c>
      <c r="BS80" s="17"/>
      <c r="BT80" s="37">
        <v>42338</v>
      </c>
      <c r="BU80" s="38">
        <v>3600</v>
      </c>
      <c r="BV80" s="18"/>
      <c r="BW80" s="37"/>
      <c r="BX80" s="38"/>
      <c r="BY80" s="18"/>
      <c r="BZ80" s="39">
        <v>42338</v>
      </c>
      <c r="CA80" s="40">
        <v>52461.237300000001</v>
      </c>
      <c r="CB80" s="17"/>
      <c r="CC80" s="39">
        <v>42338</v>
      </c>
      <c r="CD80" s="40">
        <v>36</v>
      </c>
      <c r="CE80" s="18"/>
      <c r="CF80" s="18"/>
      <c r="CG80" s="18"/>
      <c r="CH80" s="18"/>
      <c r="CI80" s="18"/>
      <c r="CJ80" s="18"/>
      <c r="CK80" s="18"/>
      <c r="CL80" s="18"/>
      <c r="CM80" s="18"/>
      <c r="CN80" s="18"/>
      <c r="CO80" s="18"/>
      <c r="CP80" s="18"/>
      <c r="CQ80" s="18"/>
      <c r="CR80" s="18"/>
      <c r="CS80" s="18"/>
      <c r="CT80" s="18"/>
      <c r="CU80" s="18"/>
      <c r="CV80" s="18"/>
      <c r="CW80" s="18"/>
      <c r="CX80" s="18"/>
      <c r="CY80" s="37">
        <v>44872</v>
      </c>
      <c r="CZ80" s="38">
        <v>17.759899999999998</v>
      </c>
      <c r="DA80" s="18"/>
      <c r="DB80" s="37">
        <v>43964</v>
      </c>
      <c r="DC80" s="38">
        <v>19.023700000000002</v>
      </c>
      <c r="DD80" s="18"/>
      <c r="DE80" s="37">
        <v>43964</v>
      </c>
      <c r="DF80" s="38">
        <v>18.499300000000002</v>
      </c>
      <c r="DG80" s="18"/>
      <c r="DH80" s="37">
        <v>43964</v>
      </c>
      <c r="DI80" s="38">
        <v>22.634</v>
      </c>
      <c r="DJ80" s="18"/>
      <c r="DK80" s="37">
        <v>43964</v>
      </c>
      <c r="DL80" s="38">
        <v>0.17280000000000001</v>
      </c>
      <c r="DM80" s="18"/>
      <c r="DN80" s="18"/>
      <c r="DO80" s="18"/>
      <c r="DP80" s="18"/>
      <c r="DQ80" s="18"/>
      <c r="DR80" s="18"/>
      <c r="DS80" s="18"/>
      <c r="DT80" s="18"/>
      <c r="DU80" s="18"/>
      <c r="DV80" s="18"/>
      <c r="DW80" s="18"/>
      <c r="DX80" s="18"/>
      <c r="DY80" s="18"/>
      <c r="DZ80" s="18"/>
    </row>
    <row r="81" spans="1:130" ht="15" customHeight="1" x14ac:dyDescent="0.3">
      <c r="A81" s="30"/>
      <c r="B81" s="73"/>
      <c r="C81" s="74"/>
      <c r="D81" s="74"/>
      <c r="E81" s="74"/>
      <c r="F81" s="74"/>
      <c r="G81" s="74"/>
      <c r="H81" s="74"/>
      <c r="I81" s="74"/>
      <c r="J81" s="74"/>
      <c r="K81" s="74"/>
      <c r="L81" s="74"/>
      <c r="M81" s="75"/>
      <c r="N81" s="17"/>
      <c r="O81" s="17"/>
      <c r="P81" s="17"/>
      <c r="Q81" s="17"/>
      <c r="R81" s="17"/>
      <c r="S81" s="17"/>
      <c r="T81" s="17"/>
      <c r="U81" s="18"/>
      <c r="V81" s="18"/>
      <c r="W81" s="18"/>
      <c r="X81" s="18"/>
      <c r="Y81" s="18"/>
      <c r="Z81" s="18"/>
      <c r="AA81" s="18"/>
      <c r="AB81" s="18"/>
      <c r="AC81" s="18"/>
      <c r="AD81" s="18"/>
      <c r="AE81" s="18"/>
      <c r="AF81" s="85"/>
      <c r="AG81" s="85"/>
      <c r="AH81" s="85"/>
      <c r="AI81" s="85"/>
      <c r="AJ81" s="85"/>
      <c r="AK81" s="85"/>
      <c r="AL81" s="85"/>
      <c r="AM81" s="85"/>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37">
        <v>42369</v>
      </c>
      <c r="BR81" s="38">
        <v>49400.998500000002</v>
      </c>
      <c r="BS81" s="17"/>
      <c r="BT81" s="37">
        <v>42369</v>
      </c>
      <c r="BU81" s="38">
        <v>3390</v>
      </c>
      <c r="BV81" s="18"/>
      <c r="BW81" s="37"/>
      <c r="BX81" s="38"/>
      <c r="BY81" s="18"/>
      <c r="BZ81" s="39">
        <v>42369</v>
      </c>
      <c r="CA81" s="40">
        <v>49400.998500000002</v>
      </c>
      <c r="CB81" s="17"/>
      <c r="CC81" s="39">
        <v>42369</v>
      </c>
      <c r="CD81" s="40">
        <v>33.9</v>
      </c>
      <c r="CE81" s="18"/>
      <c r="CF81" s="18"/>
      <c r="CG81" s="18"/>
      <c r="CH81" s="18"/>
      <c r="CI81" s="18"/>
      <c r="CJ81" s="18"/>
      <c r="CK81" s="18"/>
      <c r="CL81" s="18"/>
      <c r="CM81" s="18"/>
      <c r="CN81" s="18"/>
      <c r="CO81" s="18"/>
      <c r="CP81" s="18"/>
      <c r="CQ81" s="18"/>
      <c r="CR81" s="18"/>
      <c r="CS81" s="18"/>
      <c r="CT81" s="18"/>
      <c r="CU81" s="18"/>
      <c r="CV81" s="18"/>
      <c r="CW81" s="18"/>
      <c r="CX81" s="18"/>
      <c r="CY81" s="37">
        <v>44873</v>
      </c>
      <c r="CZ81" s="38">
        <v>17.8537</v>
      </c>
      <c r="DA81" s="18"/>
      <c r="DB81" s="37">
        <v>43965</v>
      </c>
      <c r="DC81" s="38">
        <v>18.955400000000001</v>
      </c>
      <c r="DD81" s="18"/>
      <c r="DE81" s="37">
        <v>43965</v>
      </c>
      <c r="DF81" s="38">
        <v>18.444299999999998</v>
      </c>
      <c r="DG81" s="18"/>
      <c r="DH81" s="37">
        <v>43965</v>
      </c>
      <c r="DI81" s="38">
        <v>22.567</v>
      </c>
      <c r="DJ81" s="18"/>
      <c r="DK81" s="37">
        <v>43965</v>
      </c>
      <c r="DL81" s="38">
        <v>0.17199999999999999</v>
      </c>
      <c r="DM81" s="18"/>
      <c r="DN81" s="18"/>
      <c r="DO81" s="18"/>
      <c r="DP81" s="18"/>
      <c r="DQ81" s="18"/>
      <c r="DR81" s="18"/>
      <c r="DS81" s="18"/>
      <c r="DT81" s="18"/>
      <c r="DU81" s="18"/>
      <c r="DV81" s="18"/>
      <c r="DW81" s="18"/>
      <c r="DX81" s="18"/>
      <c r="DY81" s="18"/>
      <c r="DZ81" s="18"/>
    </row>
    <row r="82" spans="1:130" ht="15" customHeight="1" x14ac:dyDescent="0.3">
      <c r="A82" s="30"/>
      <c r="B82" s="73"/>
      <c r="C82" s="74"/>
      <c r="D82" s="74"/>
      <c r="E82" s="74"/>
      <c r="F82" s="74"/>
      <c r="G82" s="74"/>
      <c r="H82" s="74"/>
      <c r="I82" s="74"/>
      <c r="J82" s="74"/>
      <c r="K82" s="74"/>
      <c r="L82" s="74"/>
      <c r="M82" s="75"/>
      <c r="N82" s="17"/>
      <c r="O82" s="17"/>
      <c r="P82" s="17"/>
      <c r="Q82" s="17"/>
      <c r="R82" s="17"/>
      <c r="S82" s="17"/>
      <c r="T82" s="17"/>
      <c r="U82" s="18"/>
      <c r="V82" s="18"/>
      <c r="W82" s="18"/>
      <c r="X82" s="18"/>
      <c r="Y82" s="18"/>
      <c r="Z82" s="18"/>
      <c r="AA82" s="18"/>
      <c r="AB82" s="18"/>
      <c r="AC82" s="18"/>
      <c r="AD82" s="18"/>
      <c r="AE82" s="18"/>
      <c r="AF82" s="85"/>
      <c r="AG82" s="85"/>
      <c r="AH82" s="85"/>
      <c r="AI82" s="85"/>
      <c r="AJ82" s="85"/>
      <c r="AK82" s="85"/>
      <c r="AL82" s="85"/>
      <c r="AM82" s="85"/>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37">
        <v>42398</v>
      </c>
      <c r="BR82" s="38">
        <v>49106.7281</v>
      </c>
      <c r="BS82" s="17"/>
      <c r="BT82" s="37">
        <v>42398</v>
      </c>
      <c r="BU82" s="38">
        <v>3360</v>
      </c>
      <c r="BV82" s="18"/>
      <c r="BW82" s="37"/>
      <c r="BX82" s="38"/>
      <c r="BY82" s="18"/>
      <c r="BZ82" s="39">
        <v>42398</v>
      </c>
      <c r="CA82" s="40">
        <v>49106.7281</v>
      </c>
      <c r="CB82" s="17"/>
      <c r="CC82" s="39">
        <v>42398</v>
      </c>
      <c r="CD82" s="40">
        <v>33.6</v>
      </c>
      <c r="CE82" s="18"/>
      <c r="CF82" s="18"/>
      <c r="CG82" s="18"/>
      <c r="CH82" s="18"/>
      <c r="CI82" s="18"/>
      <c r="CJ82" s="18"/>
      <c r="CK82" s="18"/>
      <c r="CL82" s="18"/>
      <c r="CM82" s="18"/>
      <c r="CN82" s="18"/>
      <c r="CO82" s="18"/>
      <c r="CP82" s="18"/>
      <c r="CQ82" s="18"/>
      <c r="CR82" s="18"/>
      <c r="CS82" s="18"/>
      <c r="CT82" s="18"/>
      <c r="CU82" s="18"/>
      <c r="CV82" s="18"/>
      <c r="CW82" s="18"/>
      <c r="CX82" s="18"/>
      <c r="CY82" s="37">
        <v>44874</v>
      </c>
      <c r="CZ82" s="38">
        <v>17.801400000000001</v>
      </c>
      <c r="DA82" s="18"/>
      <c r="DB82" s="37">
        <v>43966</v>
      </c>
      <c r="DC82" s="38">
        <v>19.134</v>
      </c>
      <c r="DD82" s="18"/>
      <c r="DE82" s="37">
        <v>43966</v>
      </c>
      <c r="DF82" s="38">
        <v>18.59</v>
      </c>
      <c r="DG82" s="18"/>
      <c r="DH82" s="37">
        <v>43966</v>
      </c>
      <c r="DI82" s="38">
        <v>22.496400000000001</v>
      </c>
      <c r="DJ82" s="18"/>
      <c r="DK82" s="37">
        <v>43966</v>
      </c>
      <c r="DL82" s="38">
        <v>0.1736</v>
      </c>
      <c r="DM82" s="18"/>
      <c r="DN82" s="18"/>
      <c r="DO82" s="18"/>
      <c r="DP82" s="18"/>
      <c r="DQ82" s="18"/>
      <c r="DR82" s="18"/>
      <c r="DS82" s="18"/>
      <c r="DT82" s="18"/>
      <c r="DU82" s="18"/>
      <c r="DV82" s="18"/>
      <c r="DW82" s="18"/>
      <c r="DX82" s="18"/>
      <c r="DY82" s="18"/>
      <c r="DZ82" s="18"/>
    </row>
    <row r="83" spans="1:130" ht="15" customHeight="1" x14ac:dyDescent="0.3">
      <c r="A83" s="115"/>
      <c r="B83" s="121"/>
      <c r="C83" s="117"/>
      <c r="D83" s="117"/>
      <c r="E83" s="117"/>
      <c r="F83" s="117"/>
      <c r="G83" s="117"/>
      <c r="H83" s="117"/>
      <c r="I83" s="117"/>
      <c r="J83" s="117"/>
      <c r="K83" s="117"/>
      <c r="L83" s="117"/>
      <c r="M83" s="118"/>
      <c r="N83" s="17"/>
      <c r="O83" s="17"/>
      <c r="P83" s="17"/>
      <c r="Q83" s="17"/>
      <c r="R83" s="17"/>
      <c r="S83" s="17"/>
      <c r="T83" s="17"/>
      <c r="U83" s="18"/>
      <c r="V83" s="18"/>
      <c r="W83" s="18"/>
      <c r="X83" s="18"/>
      <c r="Y83" s="18"/>
      <c r="Z83" s="18"/>
      <c r="AA83" s="18"/>
      <c r="AB83" s="18"/>
      <c r="AC83" s="18"/>
      <c r="AD83" s="18"/>
      <c r="AE83" s="18"/>
      <c r="AF83" s="85"/>
      <c r="AG83" s="85"/>
      <c r="AH83" s="85"/>
      <c r="AI83" s="85"/>
      <c r="AJ83" s="85"/>
      <c r="AK83" s="85"/>
      <c r="AL83" s="85"/>
      <c r="AM83" s="85"/>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37">
        <v>42429</v>
      </c>
      <c r="BR83" s="38">
        <v>47250.610699999997</v>
      </c>
      <c r="BS83" s="17"/>
      <c r="BT83" s="37">
        <v>42429</v>
      </c>
      <c r="BU83" s="38">
        <v>3233</v>
      </c>
      <c r="BV83" s="18"/>
      <c r="BW83" s="37"/>
      <c r="BX83" s="38"/>
      <c r="BY83" s="18"/>
      <c r="BZ83" s="39">
        <v>42429</v>
      </c>
      <c r="CA83" s="40">
        <v>47250.610699999997</v>
      </c>
      <c r="CB83" s="17"/>
      <c r="CC83" s="39">
        <v>42429</v>
      </c>
      <c r="CD83" s="40">
        <v>32.33</v>
      </c>
      <c r="CE83" s="18"/>
      <c r="CF83" s="18"/>
      <c r="CG83" s="18"/>
      <c r="CH83" s="18"/>
      <c r="CI83" s="18"/>
      <c r="CJ83" s="18"/>
      <c r="CK83" s="18"/>
      <c r="CL83" s="18"/>
      <c r="CM83" s="18"/>
      <c r="CN83" s="18"/>
      <c r="CO83" s="18"/>
      <c r="CP83" s="18"/>
      <c r="CQ83" s="18"/>
      <c r="CR83" s="18"/>
      <c r="CS83" s="18"/>
      <c r="CT83" s="18"/>
      <c r="CU83" s="18"/>
      <c r="CV83" s="18"/>
      <c r="CW83" s="18"/>
      <c r="CX83" s="18"/>
      <c r="CY83" s="37">
        <v>44875</v>
      </c>
      <c r="CZ83" s="38">
        <v>17.7271</v>
      </c>
      <c r="DA83" s="18"/>
      <c r="DB83" s="37">
        <v>43969</v>
      </c>
      <c r="DC83" s="38">
        <v>18.8886</v>
      </c>
      <c r="DD83" s="18"/>
      <c r="DE83" s="37">
        <v>43969</v>
      </c>
      <c r="DF83" s="38">
        <v>18.356000000000002</v>
      </c>
      <c r="DG83" s="18"/>
      <c r="DH83" s="37">
        <v>43969</v>
      </c>
      <c r="DI83" s="38">
        <v>22.3597</v>
      </c>
      <c r="DJ83" s="18"/>
      <c r="DK83" s="37">
        <v>43969</v>
      </c>
      <c r="DL83" s="38">
        <v>0.17100000000000001</v>
      </c>
      <c r="DM83" s="18"/>
      <c r="DN83" s="18"/>
      <c r="DO83" s="18"/>
      <c r="DP83" s="18"/>
      <c r="DQ83" s="18"/>
      <c r="DR83" s="18"/>
      <c r="DS83" s="18"/>
      <c r="DT83" s="18"/>
      <c r="DU83" s="18"/>
      <c r="DV83" s="18"/>
      <c r="DW83" s="18"/>
      <c r="DX83" s="18"/>
      <c r="DY83" s="18"/>
      <c r="DZ83" s="18"/>
    </row>
    <row r="84" spans="1:130" ht="15" customHeight="1" x14ac:dyDescent="0.3">
      <c r="A84" s="16"/>
      <c r="B84" s="16"/>
      <c r="C84" s="62"/>
      <c r="D84" s="62"/>
      <c r="E84" s="62"/>
      <c r="F84" s="62"/>
      <c r="G84" s="62"/>
      <c r="H84" s="62"/>
      <c r="I84" s="62"/>
      <c r="J84" s="62"/>
      <c r="K84" s="62"/>
      <c r="L84" s="62"/>
      <c r="M84" s="62"/>
      <c r="N84" s="17"/>
      <c r="O84" s="17"/>
      <c r="P84" s="17"/>
      <c r="Q84" s="17"/>
      <c r="R84" s="17"/>
      <c r="S84" s="17"/>
      <c r="T84" s="17"/>
      <c r="U84" s="18"/>
      <c r="V84" s="18"/>
      <c r="W84" s="18"/>
      <c r="X84" s="18"/>
      <c r="Y84" s="18"/>
      <c r="Z84" s="18"/>
      <c r="AA84" s="18"/>
      <c r="AB84" s="18"/>
      <c r="AC84" s="18"/>
      <c r="AD84" s="18"/>
      <c r="AE84" s="18"/>
      <c r="AF84" s="85"/>
      <c r="AG84" s="85"/>
      <c r="AH84" s="85"/>
      <c r="AI84" s="85"/>
      <c r="AJ84" s="85"/>
      <c r="AK84" s="85"/>
      <c r="AL84" s="85"/>
      <c r="AM84" s="85"/>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37">
        <v>42460</v>
      </c>
      <c r="BR84" s="38">
        <v>52760.502500000002</v>
      </c>
      <c r="BS84" s="17"/>
      <c r="BT84" s="37">
        <v>42460</v>
      </c>
      <c r="BU84" s="38">
        <v>3610</v>
      </c>
      <c r="BV84" s="18"/>
      <c r="BW84" s="37"/>
      <c r="BX84" s="38"/>
      <c r="BY84" s="18"/>
      <c r="BZ84" s="39">
        <v>42460</v>
      </c>
      <c r="CA84" s="40">
        <v>52760.502500000002</v>
      </c>
      <c r="CB84" s="17"/>
      <c r="CC84" s="39">
        <v>42460</v>
      </c>
      <c r="CD84" s="40">
        <v>36.1</v>
      </c>
      <c r="CE84" s="18"/>
      <c r="CF84" s="18"/>
      <c r="CG84" s="18"/>
      <c r="CH84" s="18"/>
      <c r="CI84" s="18"/>
      <c r="CJ84" s="18"/>
      <c r="CK84" s="18"/>
      <c r="CL84" s="18"/>
      <c r="CM84" s="18"/>
      <c r="CN84" s="18"/>
      <c r="CO84" s="18"/>
      <c r="CP84" s="18"/>
      <c r="CQ84" s="18"/>
      <c r="CR84" s="18"/>
      <c r="CS84" s="18"/>
      <c r="CT84" s="18"/>
      <c r="CU84" s="18"/>
      <c r="CV84" s="18"/>
      <c r="CW84" s="18"/>
      <c r="CX84" s="18"/>
      <c r="CY84" s="37">
        <v>44876</v>
      </c>
      <c r="CZ84" s="38">
        <v>17.838999999999999</v>
      </c>
      <c r="DA84" s="18"/>
      <c r="DB84" s="37">
        <v>43970</v>
      </c>
      <c r="DC84" s="38">
        <v>18.8719</v>
      </c>
      <c r="DD84" s="18"/>
      <c r="DE84" s="37">
        <v>43970</v>
      </c>
      <c r="DF84" s="38">
        <v>18.3385</v>
      </c>
      <c r="DG84" s="18"/>
      <c r="DH84" s="37">
        <v>43970</v>
      </c>
      <c r="DI84" s="38">
        <v>22.468299999999999</v>
      </c>
      <c r="DJ84" s="18"/>
      <c r="DK84" s="37">
        <v>43970</v>
      </c>
      <c r="DL84" s="38">
        <v>0.17030000000000001</v>
      </c>
      <c r="DM84" s="18"/>
      <c r="DN84" s="18"/>
      <c r="DO84" s="18"/>
      <c r="DP84" s="18"/>
      <c r="DQ84" s="18"/>
      <c r="DR84" s="18"/>
      <c r="DS84" s="18"/>
      <c r="DT84" s="18"/>
      <c r="DU84" s="18"/>
      <c r="DV84" s="18"/>
      <c r="DW84" s="18"/>
      <c r="DX84" s="18"/>
      <c r="DY84" s="18"/>
      <c r="DZ84" s="18"/>
    </row>
    <row r="85" spans="1:130" ht="15" customHeight="1" x14ac:dyDescent="0.3">
      <c r="A85" s="16"/>
      <c r="B85" s="16"/>
      <c r="C85" s="62"/>
      <c r="D85" s="62"/>
      <c r="E85" s="62"/>
      <c r="F85" s="62"/>
      <c r="G85" s="62"/>
      <c r="H85" s="62"/>
      <c r="I85" s="62"/>
      <c r="J85" s="62"/>
      <c r="K85" s="62"/>
      <c r="L85" s="62"/>
      <c r="M85" s="62"/>
      <c r="N85" s="17"/>
      <c r="O85" s="17"/>
      <c r="P85" s="17"/>
      <c r="Q85" s="17"/>
      <c r="R85" s="17"/>
      <c r="S85" s="17"/>
      <c r="T85" s="17"/>
      <c r="U85" s="18"/>
      <c r="V85" s="18"/>
      <c r="W85" s="18"/>
      <c r="X85" s="18"/>
      <c r="Y85" s="18"/>
      <c r="Z85" s="18"/>
      <c r="AA85" s="18"/>
      <c r="AB85" s="18"/>
      <c r="AC85" s="18"/>
      <c r="AD85" s="18"/>
      <c r="AE85" s="18"/>
      <c r="AF85" s="85"/>
      <c r="AG85" s="85"/>
      <c r="AH85" s="85"/>
      <c r="AI85" s="85"/>
      <c r="AJ85" s="85"/>
      <c r="AK85" s="85"/>
      <c r="AL85" s="85"/>
      <c r="AM85" s="85"/>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37">
        <v>42489</v>
      </c>
      <c r="BR85" s="38">
        <v>52994.344100000002</v>
      </c>
      <c r="BS85" s="17"/>
      <c r="BT85" s="37">
        <v>42489</v>
      </c>
      <c r="BU85" s="38">
        <v>3626</v>
      </c>
      <c r="BV85" s="18"/>
      <c r="BW85" s="37"/>
      <c r="BX85" s="38"/>
      <c r="BY85" s="18"/>
      <c r="BZ85" s="39">
        <v>42489</v>
      </c>
      <c r="CA85" s="40">
        <v>52994.344100000002</v>
      </c>
      <c r="CB85" s="17"/>
      <c r="CC85" s="39">
        <v>42489</v>
      </c>
      <c r="CD85" s="40">
        <v>36.26</v>
      </c>
      <c r="CE85" s="18"/>
      <c r="CF85" s="18"/>
      <c r="CG85" s="18"/>
      <c r="CH85" s="18"/>
      <c r="CI85" s="18"/>
      <c r="CJ85" s="18"/>
      <c r="CK85" s="18"/>
      <c r="CL85" s="18"/>
      <c r="CM85" s="18"/>
      <c r="CN85" s="18"/>
      <c r="CO85" s="18"/>
      <c r="CP85" s="18"/>
      <c r="CQ85" s="18"/>
      <c r="CR85" s="18"/>
      <c r="CS85" s="18"/>
      <c r="CT85" s="18"/>
      <c r="CU85" s="18"/>
      <c r="CV85" s="18"/>
      <c r="CW85" s="18"/>
      <c r="CX85" s="18"/>
      <c r="CY85" s="37">
        <v>44879</v>
      </c>
      <c r="CZ85" s="38">
        <v>17.866199999999999</v>
      </c>
      <c r="DA85" s="18"/>
      <c r="DB85" s="37">
        <v>43971</v>
      </c>
      <c r="DC85" s="38">
        <v>18.579000000000001</v>
      </c>
      <c r="DD85" s="18"/>
      <c r="DE85" s="37">
        <v>43971</v>
      </c>
      <c r="DF85" s="38">
        <v>17.921600000000002</v>
      </c>
      <c r="DG85" s="18"/>
      <c r="DH85" s="37">
        <v>43971</v>
      </c>
      <c r="DI85" s="38">
        <v>21.934200000000001</v>
      </c>
      <c r="DJ85" s="18"/>
      <c r="DK85" s="37">
        <v>43971</v>
      </c>
      <c r="DL85" s="38">
        <v>0.16669999999999999</v>
      </c>
      <c r="DM85" s="18"/>
      <c r="DN85" s="18"/>
      <c r="DO85" s="18"/>
      <c r="DP85" s="18"/>
      <c r="DQ85" s="18"/>
      <c r="DR85" s="18"/>
      <c r="DS85" s="18"/>
      <c r="DT85" s="18"/>
      <c r="DU85" s="18"/>
      <c r="DV85" s="18"/>
      <c r="DW85" s="18"/>
      <c r="DX85" s="18"/>
      <c r="DY85" s="18"/>
      <c r="DZ85" s="18"/>
    </row>
    <row r="86" spans="1:130" ht="15" customHeight="1" x14ac:dyDescent="0.3">
      <c r="A86" s="16"/>
      <c r="B86" s="16"/>
      <c r="C86" s="62"/>
      <c r="D86" s="62"/>
      <c r="E86" s="62"/>
      <c r="F86" s="62"/>
      <c r="G86" s="62"/>
      <c r="H86" s="62"/>
      <c r="I86" s="62"/>
      <c r="J86" s="62"/>
      <c r="K86" s="62"/>
      <c r="L86" s="62"/>
      <c r="M86" s="62"/>
      <c r="N86" s="17"/>
      <c r="O86" s="17"/>
      <c r="P86" s="17"/>
      <c r="Q86" s="17"/>
      <c r="R86" s="17"/>
      <c r="S86" s="17"/>
      <c r="T86" s="17"/>
      <c r="U86" s="18"/>
      <c r="V86" s="18"/>
      <c r="W86" s="18"/>
      <c r="X86" s="18"/>
      <c r="Y86" s="18"/>
      <c r="Z86" s="18"/>
      <c r="AA86" s="18"/>
      <c r="AB86" s="18"/>
      <c r="AC86" s="18"/>
      <c r="AD86" s="18"/>
      <c r="AE86" s="18"/>
      <c r="AF86" s="85"/>
      <c r="AG86" s="85"/>
      <c r="AH86" s="85"/>
      <c r="AI86" s="85"/>
      <c r="AJ86" s="85"/>
      <c r="AK86" s="85"/>
      <c r="AL86" s="85"/>
      <c r="AM86" s="85"/>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37">
        <v>42521</v>
      </c>
      <c r="BR86" s="38">
        <v>47747.523999999998</v>
      </c>
      <c r="BS86" s="17"/>
      <c r="BT86" s="37">
        <v>42521</v>
      </c>
      <c r="BU86" s="38">
        <v>3267</v>
      </c>
      <c r="BV86" s="18"/>
      <c r="BW86" s="37"/>
      <c r="BX86" s="38"/>
      <c r="BY86" s="18"/>
      <c r="BZ86" s="39">
        <v>42521</v>
      </c>
      <c r="CA86" s="40">
        <v>47747.523999999998</v>
      </c>
      <c r="CB86" s="17"/>
      <c r="CC86" s="39">
        <v>42521</v>
      </c>
      <c r="CD86" s="40">
        <v>32.67</v>
      </c>
      <c r="CE86" s="18"/>
      <c r="CF86" s="18"/>
      <c r="CG86" s="18"/>
      <c r="CH86" s="18"/>
      <c r="CI86" s="18"/>
      <c r="CJ86" s="18"/>
      <c r="CK86" s="18"/>
      <c r="CL86" s="18"/>
      <c r="CM86" s="18"/>
      <c r="CN86" s="18"/>
      <c r="CO86" s="18"/>
      <c r="CP86" s="18"/>
      <c r="CQ86" s="18"/>
      <c r="CR86" s="18"/>
      <c r="CS86" s="18"/>
      <c r="CT86" s="18"/>
      <c r="CU86" s="18"/>
      <c r="CV86" s="18"/>
      <c r="CW86" s="18"/>
      <c r="CX86" s="18"/>
      <c r="CY86" s="37">
        <v>44880</v>
      </c>
      <c r="CZ86" s="38">
        <v>17.923500000000001</v>
      </c>
      <c r="DA86" s="18"/>
      <c r="DB86" s="37">
        <v>43972</v>
      </c>
      <c r="DC86" s="38">
        <v>18.127700000000001</v>
      </c>
      <c r="DD86" s="18"/>
      <c r="DE86" s="37">
        <v>43972</v>
      </c>
      <c r="DF86" s="38">
        <v>17.592600000000001</v>
      </c>
      <c r="DG86" s="18"/>
      <c r="DH86" s="37">
        <v>43972</v>
      </c>
      <c r="DI86" s="38">
        <v>21.4984</v>
      </c>
      <c r="DJ86" s="18"/>
      <c r="DK86" s="37">
        <v>43972</v>
      </c>
      <c r="DL86" s="38">
        <v>0.16350000000000001</v>
      </c>
      <c r="DM86" s="18"/>
      <c r="DN86" s="18"/>
      <c r="DO86" s="18"/>
      <c r="DP86" s="18"/>
      <c r="DQ86" s="18"/>
      <c r="DR86" s="18"/>
      <c r="DS86" s="18"/>
      <c r="DT86" s="18"/>
      <c r="DU86" s="18"/>
      <c r="DV86" s="18"/>
      <c r="DW86" s="18"/>
      <c r="DX86" s="18"/>
      <c r="DY86" s="18"/>
      <c r="DZ86" s="18"/>
    </row>
    <row r="87" spans="1:130" ht="15" customHeight="1" x14ac:dyDescent="0.3">
      <c r="A87" s="16"/>
      <c r="B87" s="16"/>
      <c r="C87" s="62"/>
      <c r="D87" s="62"/>
      <c r="E87" s="62"/>
      <c r="F87" s="62"/>
      <c r="G87" s="62"/>
      <c r="H87" s="62"/>
      <c r="I87" s="62"/>
      <c r="J87" s="62"/>
      <c r="K87" s="62"/>
      <c r="L87" s="62"/>
      <c r="M87" s="62"/>
      <c r="N87" s="17"/>
      <c r="O87" s="17"/>
      <c r="P87" s="17"/>
      <c r="Q87" s="17"/>
      <c r="R87" s="17"/>
      <c r="S87" s="17"/>
      <c r="T87" s="17"/>
      <c r="U87" s="18"/>
      <c r="V87" s="18"/>
      <c r="W87" s="18"/>
      <c r="X87" s="18"/>
      <c r="Y87" s="18"/>
      <c r="Z87" s="18"/>
      <c r="AA87" s="18"/>
      <c r="AB87" s="18"/>
      <c r="AC87" s="18"/>
      <c r="AD87" s="18"/>
      <c r="AE87" s="18"/>
      <c r="AF87" s="85"/>
      <c r="AG87" s="85"/>
      <c r="AH87" s="85"/>
      <c r="AI87" s="85"/>
      <c r="AJ87" s="85"/>
      <c r="AK87" s="85"/>
      <c r="AL87" s="85"/>
      <c r="AM87" s="85"/>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37">
        <v>42551</v>
      </c>
      <c r="BR87" s="38">
        <v>45569.874499999998</v>
      </c>
      <c r="BS87" s="17"/>
      <c r="BT87" s="37">
        <v>42551</v>
      </c>
      <c r="BU87" s="38">
        <v>3118</v>
      </c>
      <c r="BV87" s="18"/>
      <c r="BW87" s="37"/>
      <c r="BX87" s="38"/>
      <c r="BY87" s="18"/>
      <c r="BZ87" s="39">
        <v>42551</v>
      </c>
      <c r="CA87" s="40">
        <v>45569.874499999998</v>
      </c>
      <c r="CB87" s="17"/>
      <c r="CC87" s="39">
        <v>42551</v>
      </c>
      <c r="CD87" s="40">
        <v>31.18</v>
      </c>
      <c r="CE87" s="18"/>
      <c r="CF87" s="18"/>
      <c r="CG87" s="18"/>
      <c r="CH87" s="18"/>
      <c r="CI87" s="18"/>
      <c r="CJ87" s="18"/>
      <c r="CK87" s="18"/>
      <c r="CL87" s="18"/>
      <c r="CM87" s="18"/>
      <c r="CN87" s="18"/>
      <c r="CO87" s="18"/>
      <c r="CP87" s="18"/>
      <c r="CQ87" s="18"/>
      <c r="CR87" s="18"/>
      <c r="CS87" s="18"/>
      <c r="CT87" s="18"/>
      <c r="CU87" s="18"/>
      <c r="CV87" s="18"/>
      <c r="CW87" s="18"/>
      <c r="CX87" s="18"/>
      <c r="CY87" s="37">
        <v>44881</v>
      </c>
      <c r="CZ87" s="38">
        <v>17.9344</v>
      </c>
      <c r="DA87" s="18"/>
      <c r="DB87" s="37">
        <v>43973</v>
      </c>
      <c r="DC87" s="38">
        <v>18.137</v>
      </c>
      <c r="DD87" s="18"/>
      <c r="DE87" s="37">
        <v>43973</v>
      </c>
      <c r="DF87" s="38">
        <v>17.622299999999999</v>
      </c>
      <c r="DG87" s="18"/>
      <c r="DH87" s="37">
        <v>43973</v>
      </c>
      <c r="DI87" s="38">
        <v>21.430299999999999</v>
      </c>
      <c r="DJ87" s="18"/>
      <c r="DK87" s="37">
        <v>43973</v>
      </c>
      <c r="DL87" s="38">
        <v>0.1636</v>
      </c>
      <c r="DM87" s="18"/>
      <c r="DN87" s="18"/>
      <c r="DO87" s="18"/>
      <c r="DP87" s="18"/>
      <c r="DQ87" s="18"/>
      <c r="DR87" s="18"/>
      <c r="DS87" s="18"/>
      <c r="DT87" s="18"/>
      <c r="DU87" s="18"/>
      <c r="DV87" s="18"/>
      <c r="DW87" s="18"/>
      <c r="DX87" s="18"/>
      <c r="DY87" s="18"/>
      <c r="DZ87" s="18"/>
    </row>
    <row r="88" spans="1:130" ht="15" customHeight="1" thickBot="1" x14ac:dyDescent="0.35">
      <c r="A88" s="16"/>
      <c r="B88" s="16"/>
      <c r="C88" s="62"/>
      <c r="D88" s="62"/>
      <c r="E88" s="62"/>
      <c r="F88" s="62"/>
      <c r="G88" s="62"/>
      <c r="H88" s="62"/>
      <c r="I88" s="62"/>
      <c r="J88" s="62"/>
      <c r="K88" s="62"/>
      <c r="L88" s="62"/>
      <c r="M88" s="62"/>
      <c r="N88" s="17"/>
      <c r="O88" s="17"/>
      <c r="P88" s="17"/>
      <c r="Q88" s="17"/>
      <c r="R88" s="17"/>
      <c r="S88" s="17"/>
      <c r="T88" s="17"/>
      <c r="U88" s="18"/>
      <c r="V88" s="18"/>
      <c r="W88" s="18"/>
      <c r="X88" s="18"/>
      <c r="Y88" s="18"/>
      <c r="Z88" s="18"/>
      <c r="AA88" s="18"/>
      <c r="AB88" s="18"/>
      <c r="AC88" s="18"/>
      <c r="AD88" s="18"/>
      <c r="AE88" s="18"/>
      <c r="AF88" s="85"/>
      <c r="AG88" s="85"/>
      <c r="AH88" s="85"/>
      <c r="AI88" s="85"/>
      <c r="AJ88" s="85"/>
      <c r="AK88" s="85"/>
      <c r="AL88" s="85"/>
      <c r="AM88" s="85"/>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37">
        <v>42580</v>
      </c>
      <c r="BR88" s="38">
        <v>46987.538999999997</v>
      </c>
      <c r="BS88" s="17"/>
      <c r="BT88" s="37">
        <v>42580</v>
      </c>
      <c r="BU88" s="38">
        <v>3215</v>
      </c>
      <c r="BV88" s="18"/>
      <c r="BW88" s="37"/>
      <c r="BX88" s="38"/>
      <c r="BY88" s="18"/>
      <c r="BZ88" s="39">
        <v>42580</v>
      </c>
      <c r="CA88" s="40">
        <v>46987.538999999997</v>
      </c>
      <c r="CB88" s="17"/>
      <c r="CC88" s="39">
        <v>42580</v>
      </c>
      <c r="CD88" s="40">
        <v>32.15</v>
      </c>
      <c r="CE88" s="18"/>
      <c r="CF88" s="18"/>
      <c r="CG88" s="18"/>
      <c r="CH88" s="18"/>
      <c r="CI88" s="18"/>
      <c r="CJ88" s="18"/>
      <c r="CK88" s="18"/>
      <c r="CL88" s="18"/>
      <c r="CM88" s="18"/>
      <c r="CN88" s="18"/>
      <c r="CO88" s="18"/>
      <c r="CP88" s="18"/>
      <c r="CQ88" s="18"/>
      <c r="CR88" s="18"/>
      <c r="CS88" s="18"/>
      <c r="CT88" s="18"/>
      <c r="CU88" s="18"/>
      <c r="CV88" s="18"/>
      <c r="CW88" s="18"/>
      <c r="CX88" s="18"/>
      <c r="CY88" s="37">
        <v>44882</v>
      </c>
      <c r="CZ88" s="38">
        <v>18.000900000000001</v>
      </c>
      <c r="DA88" s="18"/>
      <c r="DB88" s="37">
        <v>43976</v>
      </c>
      <c r="DC88" s="38">
        <v>18.163399999999999</v>
      </c>
      <c r="DD88" s="18"/>
      <c r="DE88" s="37">
        <v>43976</v>
      </c>
      <c r="DF88" s="38">
        <v>17.6435</v>
      </c>
      <c r="DG88" s="18"/>
      <c r="DH88" s="37">
        <v>43976</v>
      </c>
      <c r="DI88" s="38">
        <v>21.519600000000001</v>
      </c>
      <c r="DJ88" s="18"/>
      <c r="DK88" s="37">
        <v>43976</v>
      </c>
      <c r="DL88" s="38">
        <v>0.1638</v>
      </c>
      <c r="DM88" s="18"/>
      <c r="DN88" s="18"/>
      <c r="DO88" s="18"/>
      <c r="DP88" s="18"/>
      <c r="DQ88" s="18"/>
      <c r="DR88" s="18"/>
      <c r="DS88" s="18"/>
      <c r="DT88" s="18"/>
      <c r="DU88" s="18"/>
      <c r="DV88" s="18"/>
      <c r="DW88" s="18"/>
      <c r="DX88" s="18"/>
      <c r="DY88" s="18"/>
      <c r="DZ88" s="18"/>
    </row>
    <row r="89" spans="1:130" ht="15" customHeight="1" x14ac:dyDescent="0.3">
      <c r="A89" s="63"/>
      <c r="B89" s="64" t="s">
        <v>208</v>
      </c>
      <c r="C89" s="65"/>
      <c r="D89" s="65"/>
      <c r="E89" s="65"/>
      <c r="F89" s="65"/>
      <c r="G89" s="65"/>
      <c r="H89" s="65"/>
      <c r="I89" s="65"/>
      <c r="J89" s="65"/>
      <c r="K89" s="65"/>
      <c r="L89" s="65"/>
      <c r="M89" s="66"/>
      <c r="N89" s="17"/>
      <c r="O89" s="17"/>
      <c r="P89" s="17"/>
      <c r="Q89" s="17"/>
      <c r="R89" s="17"/>
      <c r="S89" s="17"/>
      <c r="T89" s="17"/>
      <c r="U89" s="18"/>
      <c r="V89" s="18"/>
      <c r="W89" s="18"/>
      <c r="X89" s="18"/>
      <c r="Y89" s="18"/>
      <c r="Z89" s="18"/>
      <c r="AA89" s="18"/>
      <c r="AB89" s="18"/>
      <c r="AC89" s="18"/>
      <c r="AD89" s="18"/>
      <c r="AE89" s="18"/>
      <c r="AF89" s="85"/>
      <c r="AG89" s="85"/>
      <c r="AH89" s="85"/>
      <c r="AI89" s="85"/>
      <c r="AJ89" s="85"/>
      <c r="AK89" s="85"/>
      <c r="AL89" s="85"/>
      <c r="AM89" s="85"/>
      <c r="AN89" s="18"/>
      <c r="AO89" s="18"/>
      <c r="AP89" s="67" t="s">
        <v>208</v>
      </c>
      <c r="AQ89" s="68"/>
      <c r="AR89" s="68"/>
      <c r="AS89" s="68"/>
      <c r="AT89" s="68"/>
      <c r="AU89" s="68"/>
      <c r="AV89" s="68"/>
      <c r="AW89" s="68"/>
      <c r="AX89" s="68"/>
      <c r="AY89" s="68"/>
      <c r="AZ89" s="68"/>
      <c r="BA89" s="69"/>
      <c r="BB89" s="18"/>
      <c r="BC89" s="18"/>
      <c r="BD89" s="18"/>
      <c r="BE89" s="18"/>
      <c r="BF89" s="18"/>
      <c r="BG89" s="18"/>
      <c r="BH89" s="18"/>
      <c r="BI89" s="18"/>
      <c r="BJ89" s="18"/>
      <c r="BK89" s="18"/>
      <c r="BL89" s="18"/>
      <c r="BM89" s="18"/>
      <c r="BN89" s="18"/>
      <c r="BO89" s="18"/>
      <c r="BP89" s="18"/>
      <c r="BQ89" s="37">
        <v>42613</v>
      </c>
      <c r="BR89" s="38">
        <v>48010.595800000003</v>
      </c>
      <c r="BS89" s="17"/>
      <c r="BT89" s="37">
        <v>42613</v>
      </c>
      <c r="BU89" s="38">
        <v>3285</v>
      </c>
      <c r="BV89" s="18"/>
      <c r="BW89" s="37"/>
      <c r="BX89" s="38"/>
      <c r="BY89" s="18"/>
      <c r="BZ89" s="39">
        <v>42613</v>
      </c>
      <c r="CA89" s="40">
        <v>48010.595800000003</v>
      </c>
      <c r="CB89" s="17"/>
      <c r="CC89" s="39">
        <v>42613</v>
      </c>
      <c r="CD89" s="40">
        <v>32.85</v>
      </c>
      <c r="CE89" s="18"/>
      <c r="CF89" s="18"/>
      <c r="CG89" s="18"/>
      <c r="CH89" s="18"/>
      <c r="CI89" s="18"/>
      <c r="CJ89" s="18"/>
      <c r="CK89" s="18"/>
      <c r="CL89" s="18"/>
      <c r="CM89" s="18"/>
      <c r="CN89" s="18"/>
      <c r="CO89" s="18"/>
      <c r="CP89" s="18"/>
      <c r="CQ89" s="18"/>
      <c r="CR89" s="18"/>
      <c r="CS89" s="18"/>
      <c r="CT89" s="18"/>
      <c r="CU89" s="18"/>
      <c r="CV89" s="18"/>
      <c r="CW89" s="18"/>
      <c r="CX89" s="18"/>
      <c r="CY89" s="37">
        <v>44883</v>
      </c>
      <c r="CZ89" s="38">
        <v>17.820699999999999</v>
      </c>
      <c r="DA89" s="18"/>
      <c r="DB89" s="37">
        <v>43977</v>
      </c>
      <c r="DC89" s="38">
        <v>18.022500000000001</v>
      </c>
      <c r="DD89" s="18"/>
      <c r="DE89" s="37">
        <v>43977</v>
      </c>
      <c r="DF89" s="38">
        <v>17.401499999999999</v>
      </c>
      <c r="DG89" s="18"/>
      <c r="DH89" s="37">
        <v>43977</v>
      </c>
      <c r="DI89" s="38">
        <v>21.462700000000002</v>
      </c>
      <c r="DJ89" s="18"/>
      <c r="DK89" s="37">
        <v>43977</v>
      </c>
      <c r="DL89" s="38">
        <v>0.1618</v>
      </c>
      <c r="DM89" s="18"/>
      <c r="DN89" s="18"/>
      <c r="DO89" s="18"/>
      <c r="DP89" s="18"/>
      <c r="DQ89" s="18"/>
      <c r="DR89" s="18"/>
      <c r="DS89" s="18"/>
      <c r="DT89" s="18"/>
      <c r="DU89" s="18"/>
      <c r="DV89" s="18"/>
      <c r="DW89" s="18"/>
      <c r="DX89" s="18"/>
      <c r="DY89" s="18"/>
      <c r="DZ89" s="18"/>
    </row>
    <row r="90" spans="1:130" ht="15" customHeight="1" x14ac:dyDescent="0.3">
      <c r="A90" s="72"/>
      <c r="B90" s="73"/>
      <c r="C90" s="74"/>
      <c r="D90" s="74"/>
      <c r="E90" s="74"/>
      <c r="F90" s="74"/>
      <c r="G90" s="74"/>
      <c r="H90" s="74"/>
      <c r="I90" s="74"/>
      <c r="J90" s="74"/>
      <c r="K90" s="74"/>
      <c r="L90" s="74"/>
      <c r="M90" s="75"/>
      <c r="N90" s="17"/>
      <c r="O90" s="17"/>
      <c r="P90" s="17"/>
      <c r="Q90" s="17"/>
      <c r="R90" s="17"/>
      <c r="S90" s="17"/>
      <c r="T90" s="17"/>
      <c r="U90" s="18"/>
      <c r="V90" s="18"/>
      <c r="W90" s="18"/>
      <c r="X90" s="18"/>
      <c r="Y90" s="18"/>
      <c r="Z90" s="18"/>
      <c r="AA90" s="18"/>
      <c r="AB90" s="18"/>
      <c r="AC90" s="18"/>
      <c r="AD90" s="18"/>
      <c r="AE90" s="18"/>
      <c r="AF90" s="85"/>
      <c r="AG90" s="85"/>
      <c r="AH90" s="85"/>
      <c r="AI90" s="85"/>
      <c r="AJ90" s="85"/>
      <c r="AK90" s="85"/>
      <c r="AL90" s="85"/>
      <c r="AM90" s="85"/>
      <c r="AN90" s="18"/>
      <c r="AO90" s="18"/>
      <c r="AP90" s="77"/>
      <c r="AQ90" s="18"/>
      <c r="AR90" s="18"/>
      <c r="AS90" s="18"/>
      <c r="AT90" s="18"/>
      <c r="AU90" s="18"/>
      <c r="AV90" s="18"/>
      <c r="AW90" s="18"/>
      <c r="AX90" s="18"/>
      <c r="AY90" s="18"/>
      <c r="AZ90" s="18"/>
      <c r="BA90" s="78"/>
      <c r="BB90" s="18"/>
      <c r="BC90" s="18"/>
      <c r="BD90" s="18"/>
      <c r="BE90" s="18"/>
      <c r="BF90" s="18"/>
      <c r="BG90" s="18"/>
      <c r="BH90" s="18"/>
      <c r="BI90" s="18"/>
      <c r="BJ90" s="18"/>
      <c r="BK90" s="18"/>
      <c r="BL90" s="18"/>
      <c r="BM90" s="18"/>
      <c r="BN90" s="18"/>
      <c r="BO90" s="18"/>
      <c r="BP90" s="18"/>
      <c r="BQ90" s="37">
        <v>42643</v>
      </c>
      <c r="BR90" s="38">
        <v>49177.479099999997</v>
      </c>
      <c r="BS90" s="17"/>
      <c r="BT90" s="37">
        <v>42643</v>
      </c>
      <c r="BU90" s="38">
        <v>3363</v>
      </c>
      <c r="BV90" s="18"/>
      <c r="BW90" s="37"/>
      <c r="BX90" s="38"/>
      <c r="BY90" s="18"/>
      <c r="BZ90" s="39">
        <v>42643</v>
      </c>
      <c r="CA90" s="40">
        <v>49177.479099999997</v>
      </c>
      <c r="CB90" s="17"/>
      <c r="CC90" s="39">
        <v>42643</v>
      </c>
      <c r="CD90" s="40">
        <v>33.630000000000003</v>
      </c>
      <c r="CE90" s="18"/>
      <c r="CF90" s="18"/>
      <c r="CG90" s="18"/>
      <c r="CH90" s="18"/>
      <c r="CI90" s="18"/>
      <c r="CJ90" s="18"/>
      <c r="CK90" s="18"/>
      <c r="CL90" s="18"/>
      <c r="CM90" s="18"/>
      <c r="CN90" s="18"/>
      <c r="CO90" s="18"/>
      <c r="CP90" s="18"/>
      <c r="CQ90" s="18"/>
      <c r="CR90" s="18"/>
      <c r="CS90" s="18"/>
      <c r="CT90" s="18"/>
      <c r="CU90" s="18"/>
      <c r="CV90" s="18"/>
      <c r="CW90" s="18"/>
      <c r="CX90" s="18"/>
      <c r="CY90" s="37">
        <v>44886</v>
      </c>
      <c r="CZ90" s="38">
        <v>17.765599999999999</v>
      </c>
      <c r="DA90" s="18"/>
      <c r="DB90" s="37">
        <v>43978</v>
      </c>
      <c r="DC90" s="38">
        <v>17.9574</v>
      </c>
      <c r="DD90" s="18"/>
      <c r="DE90" s="37">
        <v>43978</v>
      </c>
      <c r="DF90" s="38">
        <v>17.3856</v>
      </c>
      <c r="DG90" s="18"/>
      <c r="DH90" s="37">
        <v>43978</v>
      </c>
      <c r="DI90" s="38">
        <v>21.314800000000002</v>
      </c>
      <c r="DJ90" s="18"/>
      <c r="DK90" s="37">
        <v>43978</v>
      </c>
      <c r="DL90" s="38">
        <v>0.16139999999999999</v>
      </c>
      <c r="DM90" s="18"/>
      <c r="DN90" s="18"/>
      <c r="DO90" s="18"/>
      <c r="DP90" s="18"/>
      <c r="DQ90" s="18"/>
      <c r="DR90" s="18"/>
      <c r="DS90" s="18"/>
      <c r="DT90" s="18"/>
      <c r="DU90" s="18"/>
      <c r="DV90" s="18"/>
      <c r="DW90" s="18"/>
      <c r="DX90" s="18"/>
      <c r="DY90" s="18"/>
      <c r="DZ90" s="18"/>
    </row>
    <row r="91" spans="1:130" ht="15" customHeight="1" x14ac:dyDescent="0.3">
      <c r="A91" s="30" t="s">
        <v>344</v>
      </c>
      <c r="B91" s="73" t="s">
        <v>345</v>
      </c>
      <c r="C91" s="48">
        <v>2022</v>
      </c>
      <c r="D91" s="48">
        <v>2021</v>
      </c>
      <c r="E91" s="48">
        <v>2020</v>
      </c>
      <c r="F91" s="48">
        <v>2019</v>
      </c>
      <c r="G91" s="48">
        <v>2018</v>
      </c>
      <c r="H91" s="48">
        <v>2017</v>
      </c>
      <c r="I91" s="48">
        <v>2016</v>
      </c>
      <c r="J91" s="48">
        <v>2015</v>
      </c>
      <c r="K91" s="48">
        <v>2014</v>
      </c>
      <c r="L91" s="48">
        <v>2013</v>
      </c>
      <c r="M91" s="49">
        <v>2012</v>
      </c>
      <c r="N91" s="17"/>
      <c r="O91" s="17"/>
      <c r="P91" s="17"/>
      <c r="Q91" s="17"/>
      <c r="R91" s="17"/>
      <c r="S91" s="17"/>
      <c r="T91" s="17"/>
      <c r="U91" s="18"/>
      <c r="V91" s="18"/>
      <c r="W91" s="18"/>
      <c r="X91" s="18"/>
      <c r="Y91" s="18"/>
      <c r="Z91" s="18"/>
      <c r="AA91" s="18"/>
      <c r="AB91" s="18"/>
      <c r="AC91" s="18"/>
      <c r="AD91" s="18"/>
      <c r="AE91" s="18" t="s">
        <v>345</v>
      </c>
      <c r="AF91" s="76">
        <v>2022</v>
      </c>
      <c r="AG91" s="76">
        <v>2021</v>
      </c>
      <c r="AH91" s="76">
        <v>2020</v>
      </c>
      <c r="AI91" s="76">
        <v>2019</v>
      </c>
      <c r="AJ91" s="76">
        <v>2018</v>
      </c>
      <c r="AK91" s="76">
        <v>2017</v>
      </c>
      <c r="AL91" s="76">
        <v>2016</v>
      </c>
      <c r="AM91" s="76">
        <v>2015</v>
      </c>
      <c r="AN91" s="18"/>
      <c r="AO91" s="18"/>
      <c r="AP91" s="77"/>
      <c r="AQ91" s="76" t="s">
        <v>1924</v>
      </c>
      <c r="AR91" s="76" t="s">
        <v>1921</v>
      </c>
      <c r="AS91" s="76" t="s">
        <v>1821</v>
      </c>
      <c r="AT91" s="76" t="s">
        <v>1812</v>
      </c>
      <c r="AU91" s="76" t="s">
        <v>1813</v>
      </c>
      <c r="AV91" s="76" t="s">
        <v>1814</v>
      </c>
      <c r="AW91" s="76" t="s">
        <v>1815</v>
      </c>
      <c r="AX91" s="76" t="s">
        <v>1816</v>
      </c>
      <c r="AY91" s="76" t="s">
        <v>1817</v>
      </c>
      <c r="AZ91" s="76" t="s">
        <v>1818</v>
      </c>
      <c r="BA91" s="83" t="s">
        <v>1819</v>
      </c>
      <c r="BB91" s="18"/>
      <c r="BC91" s="18"/>
      <c r="BD91" s="18"/>
      <c r="BE91" s="18"/>
      <c r="BF91" s="18"/>
      <c r="BG91" s="18"/>
      <c r="BH91" s="18"/>
      <c r="BI91" s="18"/>
      <c r="BJ91" s="18"/>
      <c r="BK91" s="18"/>
      <c r="BL91" s="18"/>
      <c r="BM91" s="18"/>
      <c r="BN91" s="18"/>
      <c r="BO91" s="18"/>
      <c r="BP91" s="18"/>
      <c r="BQ91" s="37">
        <v>42674</v>
      </c>
      <c r="BR91" s="38">
        <v>50639.7889</v>
      </c>
      <c r="BS91" s="17"/>
      <c r="BT91" s="37">
        <v>42674</v>
      </c>
      <c r="BU91" s="38">
        <v>3463</v>
      </c>
      <c r="BV91" s="18"/>
      <c r="BW91" s="37"/>
      <c r="BX91" s="38"/>
      <c r="BY91" s="18"/>
      <c r="BZ91" s="39">
        <v>42674</v>
      </c>
      <c r="CA91" s="40">
        <v>50639.7889</v>
      </c>
      <c r="CB91" s="17"/>
      <c r="CC91" s="39">
        <v>42674</v>
      </c>
      <c r="CD91" s="40">
        <v>34.630000000000003</v>
      </c>
      <c r="CE91" s="18"/>
      <c r="CF91" s="18"/>
      <c r="CG91" s="18"/>
      <c r="CH91" s="18"/>
      <c r="CI91" s="18"/>
      <c r="CJ91" s="18"/>
      <c r="CK91" s="18"/>
      <c r="CL91" s="18"/>
      <c r="CM91" s="18"/>
      <c r="CN91" s="18"/>
      <c r="CO91" s="18"/>
      <c r="CP91" s="18"/>
      <c r="CQ91" s="18"/>
      <c r="CR91" s="18"/>
      <c r="CS91" s="18"/>
      <c r="CT91" s="18"/>
      <c r="CU91" s="18"/>
      <c r="CV91" s="18"/>
      <c r="CW91" s="18"/>
      <c r="CX91" s="18"/>
      <c r="CY91" s="37">
        <v>44887</v>
      </c>
      <c r="CZ91" s="38">
        <v>17.8033</v>
      </c>
      <c r="DA91" s="18"/>
      <c r="DB91" s="37">
        <v>43979</v>
      </c>
      <c r="DC91" s="38">
        <v>18.160699999999999</v>
      </c>
      <c r="DD91" s="18"/>
      <c r="DE91" s="37">
        <v>43979</v>
      </c>
      <c r="DF91" s="38">
        <v>17.511900000000001</v>
      </c>
      <c r="DG91" s="18"/>
      <c r="DH91" s="37">
        <v>43979</v>
      </c>
      <c r="DI91" s="38">
        <v>21.577200000000001</v>
      </c>
      <c r="DJ91" s="18"/>
      <c r="DK91" s="37">
        <v>43979</v>
      </c>
      <c r="DL91" s="38">
        <v>0.16270000000000001</v>
      </c>
      <c r="DM91" s="18"/>
      <c r="DN91" s="18"/>
      <c r="DO91" s="18"/>
      <c r="DP91" s="18"/>
      <c r="DQ91" s="18"/>
      <c r="DR91" s="18"/>
      <c r="DS91" s="18"/>
      <c r="DT91" s="18"/>
      <c r="DU91" s="18"/>
      <c r="DV91" s="18"/>
      <c r="DW91" s="18"/>
      <c r="DX91" s="18"/>
      <c r="DY91" s="18"/>
      <c r="DZ91" s="18"/>
    </row>
    <row r="92" spans="1:130" ht="15" customHeight="1" x14ac:dyDescent="0.3">
      <c r="A92" s="30" t="s">
        <v>361</v>
      </c>
      <c r="B92" s="73" t="s">
        <v>209</v>
      </c>
      <c r="C92" s="74">
        <v>1499</v>
      </c>
      <c r="D92" s="74">
        <v>1456</v>
      </c>
      <c r="E92" s="74">
        <v>1450</v>
      </c>
      <c r="F92" s="74">
        <v>1732</v>
      </c>
      <c r="G92" s="74">
        <v>1371</v>
      </c>
      <c r="H92" s="74">
        <v>2531</v>
      </c>
      <c r="I92" s="74">
        <v>1980</v>
      </c>
      <c r="J92" s="74">
        <v>2551</v>
      </c>
      <c r="K92" s="74">
        <v>1712</v>
      </c>
      <c r="L92" s="74">
        <v>1620</v>
      </c>
      <c r="M92" s="75">
        <v>2906</v>
      </c>
      <c r="N92" s="17"/>
      <c r="O92" s="17"/>
      <c r="P92" s="17"/>
      <c r="Q92" s="17"/>
      <c r="R92" s="17"/>
      <c r="S92" s="17"/>
      <c r="T92" s="17"/>
      <c r="U92" s="18"/>
      <c r="V92" s="18"/>
      <c r="W92" s="18"/>
      <c r="X92" s="18"/>
      <c r="Y92" s="18"/>
      <c r="Z92" s="18"/>
      <c r="AA92" s="18"/>
      <c r="AB92" s="18"/>
      <c r="AC92" s="18"/>
      <c r="AD92" s="18"/>
      <c r="AE92" s="18" t="s">
        <v>209</v>
      </c>
      <c r="AF92" s="85">
        <v>0</v>
      </c>
      <c r="AG92" s="85">
        <v>0</v>
      </c>
      <c r="AH92" s="85">
        <v>0</v>
      </c>
      <c r="AI92" s="85">
        <v>0</v>
      </c>
      <c r="AJ92" s="85">
        <v>0</v>
      </c>
      <c r="AK92" s="85">
        <v>0</v>
      </c>
      <c r="AL92" s="85">
        <v>0</v>
      </c>
      <c r="AM92" s="85">
        <v>0</v>
      </c>
      <c r="AN92" s="18"/>
      <c r="AO92" s="18"/>
      <c r="AP92" s="77" t="s">
        <v>209</v>
      </c>
      <c r="AQ92" s="18">
        <v>1499</v>
      </c>
      <c r="AR92" s="18">
        <v>1456</v>
      </c>
      <c r="AS92" s="18">
        <v>1450</v>
      </c>
      <c r="AT92" s="18">
        <v>1732</v>
      </c>
      <c r="AU92" s="18">
        <v>1371</v>
      </c>
      <c r="AV92" s="18">
        <v>2531</v>
      </c>
      <c r="AW92" s="18">
        <v>1980</v>
      </c>
      <c r="AX92" s="18">
        <v>2551</v>
      </c>
      <c r="AY92" s="18">
        <v>1712</v>
      </c>
      <c r="AZ92" s="18">
        <v>1620</v>
      </c>
      <c r="BA92" s="78">
        <v>2906</v>
      </c>
      <c r="BB92" s="18"/>
      <c r="BC92" s="18"/>
      <c r="BD92" s="18"/>
      <c r="BE92" s="18"/>
      <c r="BF92" s="18"/>
      <c r="BG92" s="18"/>
      <c r="BH92" s="18"/>
      <c r="BI92" s="18"/>
      <c r="BJ92" s="18"/>
      <c r="BK92" s="18"/>
      <c r="BL92" s="18"/>
      <c r="BM92" s="18"/>
      <c r="BN92" s="18"/>
      <c r="BO92" s="18"/>
      <c r="BP92" s="18"/>
      <c r="BQ92" s="37">
        <v>42704</v>
      </c>
      <c r="BR92" s="38">
        <v>45682.558599999997</v>
      </c>
      <c r="BS92" s="17"/>
      <c r="BT92" s="37">
        <v>42704</v>
      </c>
      <c r="BU92" s="38">
        <v>3124</v>
      </c>
      <c r="BV92" s="18"/>
      <c r="BW92" s="37"/>
      <c r="BX92" s="38"/>
      <c r="BY92" s="18"/>
      <c r="BZ92" s="39">
        <v>42704</v>
      </c>
      <c r="CA92" s="40">
        <v>45682.558599999997</v>
      </c>
      <c r="CB92" s="17"/>
      <c r="CC92" s="39">
        <v>42704</v>
      </c>
      <c r="CD92" s="40">
        <v>31.240000000000002</v>
      </c>
      <c r="CE92" s="18"/>
      <c r="CF92" s="18"/>
      <c r="CG92" s="18"/>
      <c r="CH92" s="18"/>
      <c r="CI92" s="18"/>
      <c r="CJ92" s="18"/>
      <c r="CK92" s="18"/>
      <c r="CL92" s="18"/>
      <c r="CM92" s="18"/>
      <c r="CN92" s="18"/>
      <c r="CO92" s="18"/>
      <c r="CP92" s="18"/>
      <c r="CQ92" s="18"/>
      <c r="CR92" s="18"/>
      <c r="CS92" s="18"/>
      <c r="CT92" s="18"/>
      <c r="CU92" s="18"/>
      <c r="CV92" s="18"/>
      <c r="CW92" s="18"/>
      <c r="CX92" s="18"/>
      <c r="CY92" s="37">
        <v>44888</v>
      </c>
      <c r="CZ92" s="38">
        <v>17.693100000000001</v>
      </c>
      <c r="DA92" s="18"/>
      <c r="DB92" s="37">
        <v>43980</v>
      </c>
      <c r="DC92" s="38">
        <v>18.252400000000002</v>
      </c>
      <c r="DD92" s="18"/>
      <c r="DE92" s="37">
        <v>43980</v>
      </c>
      <c r="DF92" s="38">
        <v>17.546500000000002</v>
      </c>
      <c r="DG92" s="18"/>
      <c r="DH92" s="37">
        <v>43980</v>
      </c>
      <c r="DI92" s="38">
        <v>21.672699999999999</v>
      </c>
      <c r="DJ92" s="18"/>
      <c r="DK92" s="37">
        <v>43980</v>
      </c>
      <c r="DL92" s="38">
        <v>0.1628</v>
      </c>
      <c r="DM92" s="18"/>
      <c r="DN92" s="18"/>
      <c r="DO92" s="18"/>
      <c r="DP92" s="18"/>
      <c r="DQ92" s="18"/>
      <c r="DR92" s="18"/>
      <c r="DS92" s="18"/>
      <c r="DT92" s="18"/>
      <c r="DU92" s="18"/>
      <c r="DV92" s="18"/>
      <c r="DW92" s="18"/>
      <c r="DX92" s="18"/>
      <c r="DY92" s="18"/>
      <c r="DZ92" s="18"/>
    </row>
    <row r="93" spans="1:130" ht="15" customHeight="1" x14ac:dyDescent="0.3">
      <c r="A93" s="30" t="s">
        <v>362</v>
      </c>
      <c r="B93" s="73" t="s">
        <v>210</v>
      </c>
      <c r="C93" s="74">
        <v>2</v>
      </c>
      <c r="D93" s="74">
        <v>4</v>
      </c>
      <c r="E93" s="74" t="s">
        <v>615</v>
      </c>
      <c r="F93" s="74" t="s">
        <v>615</v>
      </c>
      <c r="G93" s="74" t="s">
        <v>615</v>
      </c>
      <c r="H93" s="74">
        <v>1</v>
      </c>
      <c r="I93" s="74" t="s">
        <v>615</v>
      </c>
      <c r="J93" s="74" t="s">
        <v>615</v>
      </c>
      <c r="K93" s="74" t="s">
        <v>615</v>
      </c>
      <c r="L93" s="74" t="s">
        <v>615</v>
      </c>
      <c r="M93" s="75" t="s">
        <v>615</v>
      </c>
      <c r="N93" s="17"/>
      <c r="O93" s="17"/>
      <c r="P93" s="17"/>
      <c r="Q93" s="17"/>
      <c r="R93" s="17"/>
      <c r="S93" s="17"/>
      <c r="T93" s="17"/>
      <c r="U93" s="18"/>
      <c r="V93" s="18"/>
      <c r="W93" s="18"/>
      <c r="X93" s="18"/>
      <c r="Y93" s="18"/>
      <c r="Z93" s="18"/>
      <c r="AA93" s="18"/>
      <c r="AB93" s="18"/>
      <c r="AC93" s="18"/>
      <c r="AD93" s="18"/>
      <c r="AE93" s="18" t="s">
        <v>210</v>
      </c>
      <c r="AF93" s="85">
        <v>0</v>
      </c>
      <c r="AG93" s="85">
        <v>0</v>
      </c>
      <c r="AH93" s="85" t="e">
        <v>#VALUE!</v>
      </c>
      <c r="AI93" s="85" t="e">
        <v>#VALUE!</v>
      </c>
      <c r="AJ93" s="85" t="e">
        <v>#VALUE!</v>
      </c>
      <c r="AK93" s="85">
        <v>0</v>
      </c>
      <c r="AL93" s="85" t="e">
        <v>#VALUE!</v>
      </c>
      <c r="AM93" s="85" t="e">
        <v>#VALUE!</v>
      </c>
      <c r="AN93" s="18"/>
      <c r="AO93" s="18"/>
      <c r="AP93" s="77" t="s">
        <v>210</v>
      </c>
      <c r="AQ93" s="18">
        <v>2</v>
      </c>
      <c r="AR93" s="18">
        <v>4</v>
      </c>
      <c r="AS93" s="18">
        <v>0</v>
      </c>
      <c r="AT93" s="18">
        <v>0</v>
      </c>
      <c r="AU93" s="18">
        <v>0</v>
      </c>
      <c r="AV93" s="18">
        <v>1</v>
      </c>
      <c r="AW93" s="18">
        <v>0</v>
      </c>
      <c r="AX93" s="18">
        <v>0</v>
      </c>
      <c r="AY93" s="18">
        <v>0</v>
      </c>
      <c r="AZ93" s="18">
        <v>0</v>
      </c>
      <c r="BA93" s="78">
        <v>0</v>
      </c>
      <c r="BB93" s="18"/>
      <c r="BC93" s="18"/>
      <c r="BD93" s="18"/>
      <c r="BE93" s="18"/>
      <c r="BF93" s="18"/>
      <c r="BG93" s="18"/>
      <c r="BH93" s="18"/>
      <c r="BI93" s="18"/>
      <c r="BJ93" s="18"/>
      <c r="BK93" s="18"/>
      <c r="BL93" s="18"/>
      <c r="BM93" s="18"/>
      <c r="BN93" s="18"/>
      <c r="BO93" s="18"/>
      <c r="BP93" s="18"/>
      <c r="BQ93" s="37">
        <v>42734</v>
      </c>
      <c r="BR93" s="38">
        <v>46559.944499999998</v>
      </c>
      <c r="BS93" s="17"/>
      <c r="BT93" s="37">
        <v>42734</v>
      </c>
      <c r="BU93" s="38">
        <v>3184</v>
      </c>
      <c r="BV93" s="18"/>
      <c r="BW93" s="37"/>
      <c r="BX93" s="38"/>
      <c r="BY93" s="18"/>
      <c r="BZ93" s="39">
        <v>42734</v>
      </c>
      <c r="CA93" s="40">
        <v>46559.944499999998</v>
      </c>
      <c r="CB93" s="17"/>
      <c r="CC93" s="39">
        <v>42734</v>
      </c>
      <c r="CD93" s="40">
        <v>31.84</v>
      </c>
      <c r="CE93" s="18"/>
      <c r="CF93" s="18"/>
      <c r="CG93" s="18"/>
      <c r="CH93" s="18"/>
      <c r="CI93" s="18"/>
      <c r="CJ93" s="18"/>
      <c r="CK93" s="18"/>
      <c r="CL93" s="18"/>
      <c r="CM93" s="18"/>
      <c r="CN93" s="18"/>
      <c r="CO93" s="18"/>
      <c r="CP93" s="18"/>
      <c r="CQ93" s="18"/>
      <c r="CR93" s="18"/>
      <c r="CS93" s="18"/>
      <c r="CT93" s="18"/>
      <c r="CU93" s="18"/>
      <c r="CV93" s="18"/>
      <c r="CW93" s="18"/>
      <c r="CX93" s="18"/>
      <c r="CY93" s="37">
        <v>44889</v>
      </c>
      <c r="CZ93" s="38">
        <v>17.71</v>
      </c>
      <c r="DA93" s="18"/>
      <c r="DB93" s="37">
        <v>43983</v>
      </c>
      <c r="DC93" s="38">
        <v>18.0745</v>
      </c>
      <c r="DD93" s="18"/>
      <c r="DE93" s="37">
        <v>43983</v>
      </c>
      <c r="DF93" s="38">
        <v>17.368300000000001</v>
      </c>
      <c r="DG93" s="18"/>
      <c r="DH93" s="37">
        <v>43983</v>
      </c>
      <c r="DI93" s="38">
        <v>21.696400000000001</v>
      </c>
      <c r="DJ93" s="18"/>
      <c r="DK93" s="37">
        <v>43983</v>
      </c>
      <c r="DL93" s="38">
        <v>0.16139999999999999</v>
      </c>
      <c r="DM93" s="18"/>
      <c r="DN93" s="18"/>
      <c r="DO93" s="18"/>
      <c r="DP93" s="18"/>
      <c r="DQ93" s="18"/>
      <c r="DR93" s="18"/>
      <c r="DS93" s="18"/>
      <c r="DT93" s="18"/>
      <c r="DU93" s="18"/>
      <c r="DV93" s="18"/>
      <c r="DW93" s="18"/>
      <c r="DX93" s="18"/>
      <c r="DY93" s="18"/>
      <c r="DZ93" s="18"/>
    </row>
    <row r="94" spans="1:130" ht="15" customHeight="1" x14ac:dyDescent="0.3">
      <c r="A94" s="30" t="s">
        <v>363</v>
      </c>
      <c r="B94" s="73" t="s">
        <v>211</v>
      </c>
      <c r="C94" s="74">
        <v>2939</v>
      </c>
      <c r="D94" s="74">
        <v>2947</v>
      </c>
      <c r="E94" s="74">
        <v>2699</v>
      </c>
      <c r="F94" s="74">
        <v>2473</v>
      </c>
      <c r="G94" s="74">
        <v>2358</v>
      </c>
      <c r="H94" s="74">
        <v>3498</v>
      </c>
      <c r="I94" s="74">
        <v>3736</v>
      </c>
      <c r="J94" s="74">
        <v>3976</v>
      </c>
      <c r="K94" s="74">
        <v>3567</v>
      </c>
      <c r="L94" s="74">
        <v>3158</v>
      </c>
      <c r="M94" s="75">
        <v>2834</v>
      </c>
      <c r="N94" s="17"/>
      <c r="O94" s="17"/>
      <c r="P94" s="17"/>
      <c r="Q94" s="17"/>
      <c r="R94" s="17"/>
      <c r="S94" s="17"/>
      <c r="T94" s="17"/>
      <c r="U94" s="18"/>
      <c r="V94" s="18"/>
      <c r="W94" s="18"/>
      <c r="X94" s="18"/>
      <c r="Y94" s="18"/>
      <c r="Z94" s="18"/>
      <c r="AA94" s="18"/>
      <c r="AB94" s="18"/>
      <c r="AC94" s="18"/>
      <c r="AD94" s="18"/>
      <c r="AE94" s="18" t="s">
        <v>211</v>
      </c>
      <c r="AF94" s="85">
        <v>0</v>
      </c>
      <c r="AG94" s="85">
        <v>0</v>
      </c>
      <c r="AH94" s="85">
        <v>0</v>
      </c>
      <c r="AI94" s="85">
        <v>0</v>
      </c>
      <c r="AJ94" s="85">
        <v>0</v>
      </c>
      <c r="AK94" s="85">
        <v>0</v>
      </c>
      <c r="AL94" s="85">
        <v>0</v>
      </c>
      <c r="AM94" s="85">
        <v>0</v>
      </c>
      <c r="AN94" s="18"/>
      <c r="AO94" s="18"/>
      <c r="AP94" s="77" t="s">
        <v>211</v>
      </c>
      <c r="AQ94" s="18">
        <v>2939</v>
      </c>
      <c r="AR94" s="18">
        <v>2947</v>
      </c>
      <c r="AS94" s="18">
        <v>2699</v>
      </c>
      <c r="AT94" s="18">
        <v>2473</v>
      </c>
      <c r="AU94" s="18">
        <v>2358</v>
      </c>
      <c r="AV94" s="18">
        <v>3498</v>
      </c>
      <c r="AW94" s="18">
        <v>3736</v>
      </c>
      <c r="AX94" s="18">
        <v>3976</v>
      </c>
      <c r="AY94" s="18">
        <v>3567</v>
      </c>
      <c r="AZ94" s="18">
        <v>3158</v>
      </c>
      <c r="BA94" s="78">
        <v>2834</v>
      </c>
      <c r="BB94" s="18"/>
      <c r="BC94" s="18"/>
      <c r="BD94" s="18"/>
      <c r="BE94" s="18"/>
      <c r="BF94" s="18"/>
      <c r="BG94" s="18"/>
      <c r="BH94" s="18"/>
      <c r="BI94" s="18"/>
      <c r="BJ94" s="18"/>
      <c r="BK94" s="18"/>
      <c r="BL94" s="18"/>
      <c r="BM94" s="18"/>
      <c r="BN94" s="18"/>
      <c r="BO94" s="18"/>
      <c r="BP94" s="18"/>
      <c r="BQ94" s="37">
        <v>42766</v>
      </c>
      <c r="BR94" s="38">
        <v>47232.607000000004</v>
      </c>
      <c r="BS94" s="17"/>
      <c r="BT94" s="37">
        <v>42766</v>
      </c>
      <c r="BU94" s="38">
        <v>3230</v>
      </c>
      <c r="BV94" s="18"/>
      <c r="BW94" s="37"/>
      <c r="BX94" s="38"/>
      <c r="BY94" s="18"/>
      <c r="BZ94" s="39">
        <v>42766</v>
      </c>
      <c r="CA94" s="40">
        <v>47232.607000000004</v>
      </c>
      <c r="CB94" s="17"/>
      <c r="CC94" s="39">
        <v>42766</v>
      </c>
      <c r="CD94" s="40">
        <v>32.299999999999997</v>
      </c>
      <c r="CE94" s="18"/>
      <c r="CF94" s="18"/>
      <c r="CG94" s="18"/>
      <c r="CH94" s="18"/>
      <c r="CI94" s="18"/>
      <c r="CJ94" s="18"/>
      <c r="CK94" s="18"/>
      <c r="CL94" s="18"/>
      <c r="CM94" s="18"/>
      <c r="CN94" s="18"/>
      <c r="CO94" s="18"/>
      <c r="CP94" s="18"/>
      <c r="CQ94" s="18"/>
      <c r="CR94" s="18"/>
      <c r="CS94" s="18"/>
      <c r="CT94" s="18"/>
      <c r="CU94" s="18"/>
      <c r="CV94" s="18"/>
      <c r="CW94" s="18"/>
      <c r="CX94" s="18"/>
      <c r="CY94" s="37">
        <v>44890</v>
      </c>
      <c r="CZ94" s="38">
        <v>17.77</v>
      </c>
      <c r="DA94" s="18"/>
      <c r="DB94" s="37">
        <v>43984</v>
      </c>
      <c r="DC94" s="38">
        <v>17.831399999999999</v>
      </c>
      <c r="DD94" s="18"/>
      <c r="DE94" s="37">
        <v>43984</v>
      </c>
      <c r="DF94" s="38">
        <v>17.162800000000001</v>
      </c>
      <c r="DG94" s="18"/>
      <c r="DH94" s="37">
        <v>43984</v>
      </c>
      <c r="DI94" s="38">
        <v>21.540299999999998</v>
      </c>
      <c r="DJ94" s="18"/>
      <c r="DK94" s="37">
        <v>43984</v>
      </c>
      <c r="DL94" s="38">
        <v>0.15790000000000001</v>
      </c>
      <c r="DM94" s="18"/>
      <c r="DN94" s="18"/>
      <c r="DO94" s="18"/>
      <c r="DP94" s="18"/>
      <c r="DQ94" s="18"/>
      <c r="DR94" s="18"/>
      <c r="DS94" s="18"/>
      <c r="DT94" s="18"/>
      <c r="DU94" s="18"/>
      <c r="DV94" s="18"/>
      <c r="DW94" s="18"/>
      <c r="DX94" s="18"/>
      <c r="DY94" s="18"/>
      <c r="DZ94" s="18"/>
    </row>
    <row r="95" spans="1:130" ht="15" customHeight="1" x14ac:dyDescent="0.3">
      <c r="A95" s="30" t="s">
        <v>173</v>
      </c>
      <c r="B95" s="73" t="s">
        <v>50</v>
      </c>
      <c r="C95" s="74">
        <v>562</v>
      </c>
      <c r="D95" s="74">
        <v>640</v>
      </c>
      <c r="E95" s="74">
        <v>1206</v>
      </c>
      <c r="F95" s="74">
        <v>564</v>
      </c>
      <c r="G95" s="74">
        <v>589</v>
      </c>
      <c r="H95" s="74">
        <v>984</v>
      </c>
      <c r="I95" s="74">
        <v>1019</v>
      </c>
      <c r="J95" s="74">
        <v>1107</v>
      </c>
      <c r="K95" s="74">
        <v>987</v>
      </c>
      <c r="L95" s="74">
        <v>912</v>
      </c>
      <c r="M95" s="75">
        <v>817</v>
      </c>
      <c r="N95" s="17"/>
      <c r="O95" s="17"/>
      <c r="P95" s="17"/>
      <c r="Q95" s="17"/>
      <c r="R95" s="17"/>
      <c r="S95" s="17"/>
      <c r="T95" s="17"/>
      <c r="U95" s="18"/>
      <c r="V95" s="18"/>
      <c r="W95" s="18"/>
      <c r="X95" s="18"/>
      <c r="Y95" s="18"/>
      <c r="Z95" s="18"/>
      <c r="AA95" s="18"/>
      <c r="AB95" s="18"/>
      <c r="AC95" s="18"/>
      <c r="AD95" s="18"/>
      <c r="AE95" s="18" t="s">
        <v>50</v>
      </c>
      <c r="AF95" s="85">
        <v>0</v>
      </c>
      <c r="AG95" s="85">
        <v>0</v>
      </c>
      <c r="AH95" s="85">
        <v>0</v>
      </c>
      <c r="AI95" s="85">
        <v>0</v>
      </c>
      <c r="AJ95" s="85">
        <v>0</v>
      </c>
      <c r="AK95" s="85">
        <v>0</v>
      </c>
      <c r="AL95" s="85">
        <v>0</v>
      </c>
      <c r="AM95" s="85">
        <v>0</v>
      </c>
      <c r="AN95" s="18"/>
      <c r="AO95" s="18"/>
      <c r="AP95" s="77" t="s">
        <v>447</v>
      </c>
      <c r="AQ95" s="18">
        <v>562</v>
      </c>
      <c r="AR95" s="18">
        <v>640</v>
      </c>
      <c r="AS95" s="18">
        <v>1206</v>
      </c>
      <c r="AT95" s="18">
        <v>564</v>
      </c>
      <c r="AU95" s="18">
        <v>589</v>
      </c>
      <c r="AV95" s="18">
        <v>984</v>
      </c>
      <c r="AW95" s="18">
        <v>1019</v>
      </c>
      <c r="AX95" s="18">
        <v>1107</v>
      </c>
      <c r="AY95" s="18">
        <v>987</v>
      </c>
      <c r="AZ95" s="18">
        <v>912</v>
      </c>
      <c r="BA95" s="78">
        <v>817</v>
      </c>
      <c r="BB95" s="18"/>
      <c r="BC95" s="18"/>
      <c r="BD95" s="18"/>
      <c r="BE95" s="18"/>
      <c r="BF95" s="18"/>
      <c r="BG95" s="18"/>
      <c r="BH95" s="18"/>
      <c r="BI95" s="18"/>
      <c r="BJ95" s="18"/>
      <c r="BK95" s="18"/>
      <c r="BL95" s="18"/>
      <c r="BM95" s="18"/>
      <c r="BN95" s="18"/>
      <c r="BO95" s="18"/>
      <c r="BP95" s="18"/>
      <c r="BQ95" s="37">
        <v>42794</v>
      </c>
      <c r="BR95" s="38">
        <v>46501.452100000002</v>
      </c>
      <c r="BS95" s="17"/>
      <c r="BT95" s="37">
        <v>42794</v>
      </c>
      <c r="BU95" s="38">
        <v>3180</v>
      </c>
      <c r="BV95" s="18"/>
      <c r="BW95" s="37"/>
      <c r="BX95" s="38"/>
      <c r="BY95" s="18"/>
      <c r="BZ95" s="39">
        <v>42794</v>
      </c>
      <c r="CA95" s="40">
        <v>46501.452100000002</v>
      </c>
      <c r="CB95" s="17"/>
      <c r="CC95" s="39">
        <v>42794</v>
      </c>
      <c r="CD95" s="40">
        <v>31.8</v>
      </c>
      <c r="CE95" s="18"/>
      <c r="CF95" s="18"/>
      <c r="CG95" s="18"/>
      <c r="CH95" s="18"/>
      <c r="CI95" s="18"/>
      <c r="CJ95" s="18"/>
      <c r="CK95" s="18"/>
      <c r="CL95" s="18"/>
      <c r="CM95" s="18"/>
      <c r="CN95" s="18"/>
      <c r="CO95" s="18"/>
      <c r="CP95" s="18"/>
      <c r="CQ95" s="18"/>
      <c r="CR95" s="18"/>
      <c r="CS95" s="18"/>
      <c r="CT95" s="18"/>
      <c r="CU95" s="18"/>
      <c r="CV95" s="18"/>
      <c r="CW95" s="18"/>
      <c r="CX95" s="18"/>
      <c r="CY95" s="37">
        <v>44893</v>
      </c>
      <c r="CZ95" s="38">
        <v>17.741299999999999</v>
      </c>
      <c r="DA95" s="18"/>
      <c r="DB95" s="37">
        <v>43985</v>
      </c>
      <c r="DC95" s="38">
        <v>17.610199999999999</v>
      </c>
      <c r="DD95" s="18"/>
      <c r="DE95" s="37">
        <v>43985</v>
      </c>
      <c r="DF95" s="38">
        <v>16.927099999999999</v>
      </c>
      <c r="DG95" s="18"/>
      <c r="DH95" s="37">
        <v>43985</v>
      </c>
      <c r="DI95" s="38">
        <v>21.290299999999998</v>
      </c>
      <c r="DJ95" s="18"/>
      <c r="DK95" s="37">
        <v>43985</v>
      </c>
      <c r="DL95" s="38">
        <v>0.15540000000000001</v>
      </c>
      <c r="DM95" s="18"/>
      <c r="DN95" s="18"/>
      <c r="DO95" s="18"/>
      <c r="DP95" s="18"/>
      <c r="DQ95" s="18"/>
      <c r="DR95" s="18"/>
      <c r="DS95" s="18"/>
      <c r="DT95" s="18"/>
      <c r="DU95" s="18"/>
      <c r="DV95" s="18"/>
      <c r="DW95" s="18"/>
      <c r="DX95" s="18"/>
      <c r="DY95" s="18"/>
      <c r="DZ95" s="18"/>
    </row>
    <row r="96" spans="1:130" ht="15" customHeight="1" x14ac:dyDescent="0.3">
      <c r="A96" s="30" t="s">
        <v>174</v>
      </c>
      <c r="B96" s="73" t="s">
        <v>51</v>
      </c>
      <c r="C96" s="74">
        <v>436</v>
      </c>
      <c r="D96" s="74">
        <v>548</v>
      </c>
      <c r="E96" s="74">
        <v>695</v>
      </c>
      <c r="F96" s="74">
        <v>755</v>
      </c>
      <c r="G96" s="74">
        <v>930</v>
      </c>
      <c r="H96" s="74">
        <v>1145</v>
      </c>
      <c r="I96" s="74">
        <v>1310</v>
      </c>
      <c r="J96" s="74">
        <v>1314</v>
      </c>
      <c r="K96" s="74">
        <v>1152</v>
      </c>
      <c r="L96" s="74">
        <v>926</v>
      </c>
      <c r="M96" s="75">
        <v>699</v>
      </c>
      <c r="N96" s="17"/>
      <c r="O96" s="17"/>
      <c r="P96" s="17"/>
      <c r="Q96" s="17"/>
      <c r="R96" s="17"/>
      <c r="S96" s="17"/>
      <c r="T96" s="17"/>
      <c r="U96" s="18"/>
      <c r="V96" s="18"/>
      <c r="W96" s="18"/>
      <c r="X96" s="18"/>
      <c r="Y96" s="18"/>
      <c r="Z96" s="18"/>
      <c r="AA96" s="18"/>
      <c r="AB96" s="18"/>
      <c r="AC96" s="18"/>
      <c r="AD96" s="18"/>
      <c r="AE96" s="18" t="s">
        <v>51</v>
      </c>
      <c r="AF96" s="85">
        <v>0</v>
      </c>
      <c r="AG96" s="85">
        <v>0</v>
      </c>
      <c r="AH96" s="85">
        <v>0</v>
      </c>
      <c r="AI96" s="85">
        <v>0</v>
      </c>
      <c r="AJ96" s="85">
        <v>0</v>
      </c>
      <c r="AK96" s="85">
        <v>0</v>
      </c>
      <c r="AL96" s="85">
        <v>0</v>
      </c>
      <c r="AM96" s="85">
        <v>0</v>
      </c>
      <c r="AN96" s="18"/>
      <c r="AO96" s="18"/>
      <c r="AP96" s="77" t="s">
        <v>51</v>
      </c>
      <c r="AQ96" s="86">
        <v>436</v>
      </c>
      <c r="AR96" s="86">
        <v>548</v>
      </c>
      <c r="AS96" s="86">
        <v>695</v>
      </c>
      <c r="AT96" s="86">
        <v>755</v>
      </c>
      <c r="AU96" s="86">
        <v>930</v>
      </c>
      <c r="AV96" s="86">
        <v>1145</v>
      </c>
      <c r="AW96" s="86">
        <v>1310</v>
      </c>
      <c r="AX96" s="86">
        <v>1314</v>
      </c>
      <c r="AY96" s="86">
        <v>1152</v>
      </c>
      <c r="AZ96" s="86">
        <v>926</v>
      </c>
      <c r="BA96" s="87">
        <v>699</v>
      </c>
      <c r="BB96" s="18"/>
      <c r="BC96" s="18"/>
      <c r="BD96" s="18"/>
      <c r="BE96" s="18"/>
      <c r="BF96" s="18"/>
      <c r="BG96" s="18"/>
      <c r="BH96" s="18"/>
      <c r="BI96" s="18"/>
      <c r="BJ96" s="18"/>
      <c r="BK96" s="18"/>
      <c r="BL96" s="18"/>
      <c r="BM96" s="18"/>
      <c r="BN96" s="18"/>
      <c r="BO96" s="18"/>
      <c r="BP96" s="18"/>
      <c r="BQ96" s="37">
        <v>42825</v>
      </c>
      <c r="BR96" s="38">
        <v>37447.931299999997</v>
      </c>
      <c r="BS96" s="17"/>
      <c r="BT96" s="37">
        <v>42825</v>
      </c>
      <c r="BU96" s="38">
        <v>2560</v>
      </c>
      <c r="BV96" s="18"/>
      <c r="BW96" s="37"/>
      <c r="BX96" s="38"/>
      <c r="BY96" s="18"/>
      <c r="BZ96" s="39">
        <v>42825</v>
      </c>
      <c r="CA96" s="40">
        <v>37447.931299999997</v>
      </c>
      <c r="CB96" s="17"/>
      <c r="CC96" s="39">
        <v>42825</v>
      </c>
      <c r="CD96" s="40">
        <v>25.6</v>
      </c>
      <c r="CE96" s="18"/>
      <c r="CF96" s="18"/>
      <c r="CG96" s="18"/>
      <c r="CH96" s="18"/>
      <c r="CI96" s="18"/>
      <c r="CJ96" s="18"/>
      <c r="CK96" s="18"/>
      <c r="CL96" s="18"/>
      <c r="CM96" s="18"/>
      <c r="CN96" s="18"/>
      <c r="CO96" s="18"/>
      <c r="CP96" s="18"/>
      <c r="CQ96" s="18"/>
      <c r="CR96" s="18"/>
      <c r="CS96" s="18"/>
      <c r="CT96" s="18"/>
      <c r="CU96" s="18"/>
      <c r="CV96" s="18"/>
      <c r="CW96" s="18"/>
      <c r="CX96" s="18"/>
      <c r="CY96" s="37">
        <v>44894</v>
      </c>
      <c r="CZ96" s="38">
        <v>17.548500000000001</v>
      </c>
      <c r="DA96" s="18"/>
      <c r="DB96" s="37">
        <v>43986</v>
      </c>
      <c r="DC96" s="38">
        <v>17.6966</v>
      </c>
      <c r="DD96" s="18"/>
      <c r="DE96" s="37">
        <v>43986</v>
      </c>
      <c r="DF96" s="38">
        <v>16.909700000000001</v>
      </c>
      <c r="DG96" s="18"/>
      <c r="DH96" s="37">
        <v>43986</v>
      </c>
      <c r="DI96" s="38">
        <v>21.2987</v>
      </c>
      <c r="DJ96" s="18"/>
      <c r="DK96" s="37">
        <v>43986</v>
      </c>
      <c r="DL96" s="38">
        <v>0.15490000000000001</v>
      </c>
      <c r="DM96" s="18"/>
      <c r="DN96" s="18"/>
      <c r="DO96" s="18"/>
      <c r="DP96" s="18"/>
      <c r="DQ96" s="18"/>
      <c r="DR96" s="18"/>
      <c r="DS96" s="18"/>
      <c r="DT96" s="18"/>
      <c r="DU96" s="18"/>
      <c r="DV96" s="18"/>
      <c r="DW96" s="18"/>
      <c r="DX96" s="18"/>
      <c r="DY96" s="18"/>
      <c r="DZ96" s="18"/>
    </row>
    <row r="97" spans="1:130" ht="15" customHeight="1" x14ac:dyDescent="0.3">
      <c r="A97" s="30" t="s">
        <v>364</v>
      </c>
      <c r="B97" s="90" t="s">
        <v>52</v>
      </c>
      <c r="C97" s="91">
        <v>5438</v>
      </c>
      <c r="D97" s="91">
        <v>5595</v>
      </c>
      <c r="E97" s="91">
        <v>6050</v>
      </c>
      <c r="F97" s="91">
        <v>5524</v>
      </c>
      <c r="G97" s="91">
        <v>5248</v>
      </c>
      <c r="H97" s="91">
        <v>8159</v>
      </c>
      <c r="I97" s="91">
        <v>8045</v>
      </c>
      <c r="J97" s="91">
        <v>8948</v>
      </c>
      <c r="K97" s="91">
        <v>7418</v>
      </c>
      <c r="L97" s="91">
        <v>6616</v>
      </c>
      <c r="M97" s="92">
        <v>7256</v>
      </c>
      <c r="N97" s="17"/>
      <c r="O97" s="17"/>
      <c r="P97" s="17"/>
      <c r="Q97" s="17"/>
      <c r="R97" s="17"/>
      <c r="S97" s="17"/>
      <c r="T97" s="17"/>
      <c r="U97" s="18"/>
      <c r="V97" s="18"/>
      <c r="W97" s="18"/>
      <c r="X97" s="18"/>
      <c r="Y97" s="18"/>
      <c r="Z97" s="18"/>
      <c r="AA97" s="18"/>
      <c r="AB97" s="18"/>
      <c r="AC97" s="18"/>
      <c r="AD97" s="18"/>
      <c r="AE97" s="18" t="s">
        <v>52</v>
      </c>
      <c r="AF97" s="85">
        <v>0</v>
      </c>
      <c r="AG97" s="85">
        <v>0</v>
      </c>
      <c r="AH97" s="85">
        <v>0</v>
      </c>
      <c r="AI97" s="85">
        <v>0</v>
      </c>
      <c r="AJ97" s="85">
        <v>0</v>
      </c>
      <c r="AK97" s="85">
        <v>0</v>
      </c>
      <c r="AL97" s="85">
        <v>0</v>
      </c>
      <c r="AM97" s="85">
        <v>0</v>
      </c>
      <c r="AN97" s="18"/>
      <c r="AO97" s="18"/>
      <c r="AP97" s="93" t="s">
        <v>52</v>
      </c>
      <c r="AQ97" s="18">
        <v>5438</v>
      </c>
      <c r="AR97" s="18">
        <v>5595</v>
      </c>
      <c r="AS97" s="18">
        <v>6050</v>
      </c>
      <c r="AT97" s="18">
        <v>5524</v>
      </c>
      <c r="AU97" s="18">
        <v>5248</v>
      </c>
      <c r="AV97" s="18">
        <v>8159</v>
      </c>
      <c r="AW97" s="18">
        <v>8045</v>
      </c>
      <c r="AX97" s="18">
        <v>8948</v>
      </c>
      <c r="AY97" s="18">
        <v>7418</v>
      </c>
      <c r="AZ97" s="18">
        <v>6616</v>
      </c>
      <c r="BA97" s="78">
        <v>7256</v>
      </c>
      <c r="BB97" s="18"/>
      <c r="BC97" s="18"/>
      <c r="BD97" s="18"/>
      <c r="BE97" s="18"/>
      <c r="BF97" s="18"/>
      <c r="BG97" s="18"/>
      <c r="BH97" s="18"/>
      <c r="BI97" s="18"/>
      <c r="BJ97" s="18"/>
      <c r="BK97" s="18"/>
      <c r="BL97" s="18"/>
      <c r="BM97" s="18"/>
      <c r="BN97" s="18"/>
      <c r="BO97" s="18"/>
      <c r="BP97" s="18"/>
      <c r="BQ97" s="37">
        <v>42853</v>
      </c>
      <c r="BR97" s="38">
        <v>38779.088199999998</v>
      </c>
      <c r="BS97" s="17"/>
      <c r="BT97" s="37">
        <v>42853</v>
      </c>
      <c r="BU97" s="38">
        <v>2651</v>
      </c>
      <c r="BV97" s="18"/>
      <c r="BW97" s="37"/>
      <c r="BX97" s="38"/>
      <c r="BY97" s="18"/>
      <c r="BZ97" s="39">
        <v>42853</v>
      </c>
      <c r="CA97" s="40">
        <v>38779.088199999998</v>
      </c>
      <c r="CB97" s="17"/>
      <c r="CC97" s="39">
        <v>42853</v>
      </c>
      <c r="CD97" s="40">
        <v>26.51</v>
      </c>
      <c r="CE97" s="18"/>
      <c r="CF97" s="18"/>
      <c r="CG97" s="18"/>
      <c r="CH97" s="18"/>
      <c r="CI97" s="18"/>
      <c r="CJ97" s="18"/>
      <c r="CK97" s="18"/>
      <c r="CL97" s="18"/>
      <c r="CM97" s="18"/>
      <c r="CN97" s="18"/>
      <c r="CO97" s="18"/>
      <c r="CP97" s="18"/>
      <c r="CQ97" s="18"/>
      <c r="CR97" s="18"/>
      <c r="CS97" s="18"/>
      <c r="CT97" s="18"/>
      <c r="CU97" s="18"/>
      <c r="CV97" s="18"/>
      <c r="CW97" s="18"/>
      <c r="CX97" s="18"/>
      <c r="CY97" s="37">
        <v>44895</v>
      </c>
      <c r="CZ97" s="38">
        <v>17.8932</v>
      </c>
      <c r="DA97" s="18"/>
      <c r="DB97" s="37">
        <v>43987</v>
      </c>
      <c r="DC97" s="38">
        <v>17.538699999999999</v>
      </c>
      <c r="DD97" s="18"/>
      <c r="DE97" s="37">
        <v>43987</v>
      </c>
      <c r="DF97" s="38">
        <v>16.879000000000001</v>
      </c>
      <c r="DG97" s="18"/>
      <c r="DH97" s="37">
        <v>43987</v>
      </c>
      <c r="DI97" s="38">
        <v>21.358499999999999</v>
      </c>
      <c r="DJ97" s="18"/>
      <c r="DK97" s="37">
        <v>43987</v>
      </c>
      <c r="DL97" s="38">
        <v>0.154</v>
      </c>
      <c r="DM97" s="18"/>
      <c r="DN97" s="18"/>
      <c r="DO97" s="18"/>
      <c r="DP97" s="18"/>
      <c r="DQ97" s="18"/>
      <c r="DR97" s="18"/>
      <c r="DS97" s="18"/>
      <c r="DT97" s="18"/>
      <c r="DU97" s="18"/>
      <c r="DV97" s="18"/>
      <c r="DW97" s="18"/>
      <c r="DX97" s="18"/>
      <c r="DY97" s="18"/>
      <c r="DZ97" s="18"/>
    </row>
    <row r="98" spans="1:130" ht="15" customHeight="1" x14ac:dyDescent="0.3">
      <c r="A98" s="30" t="s">
        <v>365</v>
      </c>
      <c r="B98" s="73" t="s">
        <v>212</v>
      </c>
      <c r="C98" s="74">
        <v>176</v>
      </c>
      <c r="D98" s="74">
        <v>219</v>
      </c>
      <c r="E98" s="74">
        <v>158</v>
      </c>
      <c r="F98" s="74">
        <v>289</v>
      </c>
      <c r="G98" s="74">
        <v>249</v>
      </c>
      <c r="H98" s="74">
        <v>1831</v>
      </c>
      <c r="I98" s="74">
        <v>1667</v>
      </c>
      <c r="J98" s="74">
        <v>1699</v>
      </c>
      <c r="K98" s="74">
        <v>1357</v>
      </c>
      <c r="L98" s="74">
        <v>979</v>
      </c>
      <c r="M98" s="75">
        <v>646</v>
      </c>
      <c r="N98" s="17"/>
      <c r="O98" s="17"/>
      <c r="P98" s="17"/>
      <c r="Q98" s="17"/>
      <c r="R98" s="17"/>
      <c r="S98" s="17"/>
      <c r="T98" s="17"/>
      <c r="U98" s="18"/>
      <c r="V98" s="18"/>
      <c r="W98" s="18"/>
      <c r="X98" s="18"/>
      <c r="Y98" s="18"/>
      <c r="Z98" s="18"/>
      <c r="AA98" s="18"/>
      <c r="AB98" s="18"/>
      <c r="AC98" s="18"/>
      <c r="AD98" s="18"/>
      <c r="AE98" s="18" t="s">
        <v>212</v>
      </c>
      <c r="AF98" s="85">
        <v>0</v>
      </c>
      <c r="AG98" s="85">
        <v>0</v>
      </c>
      <c r="AH98" s="85">
        <v>0</v>
      </c>
      <c r="AI98" s="85">
        <v>0</v>
      </c>
      <c r="AJ98" s="85">
        <v>0</v>
      </c>
      <c r="AK98" s="85">
        <v>0</v>
      </c>
      <c r="AL98" s="85">
        <v>0</v>
      </c>
      <c r="AM98" s="85">
        <v>0</v>
      </c>
      <c r="AN98" s="18"/>
      <c r="AO98" s="18"/>
      <c r="AP98" s="77" t="s">
        <v>212</v>
      </c>
      <c r="AQ98" s="18">
        <v>176</v>
      </c>
      <c r="AR98" s="18">
        <v>219</v>
      </c>
      <c r="AS98" s="18">
        <v>158</v>
      </c>
      <c r="AT98" s="18">
        <v>289</v>
      </c>
      <c r="AU98" s="18">
        <v>249</v>
      </c>
      <c r="AV98" s="18">
        <v>1831</v>
      </c>
      <c r="AW98" s="18">
        <v>1667</v>
      </c>
      <c r="AX98" s="18">
        <v>1699</v>
      </c>
      <c r="AY98" s="18">
        <v>1357</v>
      </c>
      <c r="AZ98" s="18">
        <v>979</v>
      </c>
      <c r="BA98" s="78">
        <v>646</v>
      </c>
      <c r="BB98" s="18"/>
      <c r="BC98" s="18"/>
      <c r="BD98" s="18"/>
      <c r="BE98" s="18"/>
      <c r="BF98" s="18"/>
      <c r="BG98" s="18"/>
      <c r="BH98" s="18"/>
      <c r="BI98" s="18"/>
      <c r="BJ98" s="18"/>
      <c r="BK98" s="18"/>
      <c r="BL98" s="18"/>
      <c r="BM98" s="18"/>
      <c r="BN98" s="18"/>
      <c r="BO98" s="18"/>
      <c r="BP98" s="18"/>
      <c r="BQ98" s="37">
        <v>42886</v>
      </c>
      <c r="BR98" s="38">
        <v>39437.352599999998</v>
      </c>
      <c r="BS98" s="17"/>
      <c r="BT98" s="37">
        <v>42886</v>
      </c>
      <c r="BU98" s="38">
        <v>2696</v>
      </c>
      <c r="BV98" s="18"/>
      <c r="BW98" s="37"/>
      <c r="BX98" s="38"/>
      <c r="BY98" s="18"/>
      <c r="BZ98" s="39">
        <v>42886</v>
      </c>
      <c r="CA98" s="40">
        <v>39437.352599999998</v>
      </c>
      <c r="CB98" s="17"/>
      <c r="CC98" s="39">
        <v>42886</v>
      </c>
      <c r="CD98" s="40">
        <v>26.96</v>
      </c>
      <c r="CE98" s="18"/>
      <c r="CF98" s="18"/>
      <c r="CG98" s="18"/>
      <c r="CH98" s="18"/>
      <c r="CI98" s="18"/>
      <c r="CJ98" s="18"/>
      <c r="CK98" s="18"/>
      <c r="CL98" s="18"/>
      <c r="CM98" s="18"/>
      <c r="CN98" s="18"/>
      <c r="CO98" s="18"/>
      <c r="CP98" s="18"/>
      <c r="CQ98" s="18"/>
      <c r="CR98" s="18"/>
      <c r="CS98" s="18"/>
      <c r="CT98" s="18"/>
      <c r="CU98" s="18"/>
      <c r="CV98" s="18"/>
      <c r="CW98" s="18"/>
      <c r="CX98" s="18"/>
      <c r="CY98" s="37">
        <v>44896</v>
      </c>
      <c r="CZ98" s="38">
        <v>18.505199999999999</v>
      </c>
      <c r="DA98" s="18"/>
      <c r="DB98" s="37">
        <v>43990</v>
      </c>
      <c r="DC98" s="38">
        <v>17.419699999999999</v>
      </c>
      <c r="DD98" s="18"/>
      <c r="DE98" s="37">
        <v>43990</v>
      </c>
      <c r="DF98" s="38">
        <v>16.680099999999999</v>
      </c>
      <c r="DG98" s="18"/>
      <c r="DH98" s="37">
        <v>43990</v>
      </c>
      <c r="DI98" s="38">
        <v>21.221800000000002</v>
      </c>
      <c r="DJ98" s="18"/>
      <c r="DK98" s="37">
        <v>43990</v>
      </c>
      <c r="DL98" s="38">
        <v>0.15379999999999999</v>
      </c>
      <c r="DM98" s="18"/>
      <c r="DN98" s="18"/>
      <c r="DO98" s="18"/>
      <c r="DP98" s="18"/>
      <c r="DQ98" s="18"/>
      <c r="DR98" s="18"/>
      <c r="DS98" s="18"/>
      <c r="DT98" s="18"/>
      <c r="DU98" s="18"/>
      <c r="DV98" s="18"/>
      <c r="DW98" s="18"/>
      <c r="DX98" s="18"/>
      <c r="DY98" s="18"/>
      <c r="DZ98" s="18"/>
    </row>
    <row r="99" spans="1:130" ht="15" customHeight="1" x14ac:dyDescent="0.3">
      <c r="A99" s="30" t="s">
        <v>366</v>
      </c>
      <c r="B99" s="73" t="s">
        <v>213</v>
      </c>
      <c r="C99" s="74">
        <v>22953</v>
      </c>
      <c r="D99" s="74">
        <v>22042</v>
      </c>
      <c r="E99" s="74">
        <v>21671</v>
      </c>
      <c r="F99" s="74">
        <v>17365</v>
      </c>
      <c r="G99" s="74">
        <v>16628</v>
      </c>
      <c r="H99" s="74">
        <v>24395</v>
      </c>
      <c r="I99" s="74">
        <v>22527</v>
      </c>
      <c r="J99" s="74">
        <v>21410</v>
      </c>
      <c r="K99" s="74">
        <v>18058</v>
      </c>
      <c r="L99" s="74">
        <v>15722</v>
      </c>
      <c r="M99" s="75">
        <v>34735</v>
      </c>
      <c r="N99" s="17"/>
      <c r="O99" s="17"/>
      <c r="P99" s="17"/>
      <c r="Q99" s="17"/>
      <c r="R99" s="17"/>
      <c r="S99" s="17"/>
      <c r="T99" s="17"/>
      <c r="U99" s="18"/>
      <c r="V99" s="18"/>
      <c r="W99" s="18"/>
      <c r="X99" s="18"/>
      <c r="Y99" s="18"/>
      <c r="Z99" s="18"/>
      <c r="AA99" s="18"/>
      <c r="AB99" s="18"/>
      <c r="AC99" s="18"/>
      <c r="AD99" s="18"/>
      <c r="AE99" s="18" t="s">
        <v>213</v>
      </c>
      <c r="AF99" s="85">
        <v>0</v>
      </c>
      <c r="AG99" s="85">
        <v>0</v>
      </c>
      <c r="AH99" s="85">
        <v>0</v>
      </c>
      <c r="AI99" s="85">
        <v>0</v>
      </c>
      <c r="AJ99" s="85">
        <v>0</v>
      </c>
      <c r="AK99" s="85">
        <v>0</v>
      </c>
      <c r="AL99" s="85">
        <v>0</v>
      </c>
      <c r="AM99" s="85">
        <v>0</v>
      </c>
      <c r="AN99" s="18"/>
      <c r="AO99" s="18"/>
      <c r="AP99" s="77" t="s">
        <v>213</v>
      </c>
      <c r="AQ99" s="88">
        <v>22953</v>
      </c>
      <c r="AR99" s="18">
        <v>22042</v>
      </c>
      <c r="AS99" s="18">
        <v>21671</v>
      </c>
      <c r="AT99" s="18">
        <v>17365</v>
      </c>
      <c r="AU99" s="18">
        <v>16628</v>
      </c>
      <c r="AV99" s="18">
        <v>24395</v>
      </c>
      <c r="AW99" s="18">
        <v>22527</v>
      </c>
      <c r="AX99" s="18">
        <v>21410</v>
      </c>
      <c r="AY99" s="18">
        <v>18058</v>
      </c>
      <c r="AZ99" s="18">
        <v>15722</v>
      </c>
      <c r="BA99" s="78">
        <v>34735</v>
      </c>
      <c r="BB99" s="18"/>
      <c r="BC99" s="18"/>
      <c r="BD99" s="18"/>
      <c r="BE99" s="18"/>
      <c r="BF99" s="18"/>
      <c r="BG99" s="18"/>
      <c r="BH99" s="18"/>
      <c r="BI99" s="18"/>
      <c r="BJ99" s="18"/>
      <c r="BK99" s="18"/>
      <c r="BL99" s="18"/>
      <c r="BM99" s="18"/>
      <c r="BN99" s="18"/>
      <c r="BO99" s="18"/>
      <c r="BP99" s="18"/>
      <c r="BQ99" s="37">
        <v>42916</v>
      </c>
      <c r="BR99" s="38">
        <v>37638.0965</v>
      </c>
      <c r="BS99" s="17"/>
      <c r="BT99" s="37">
        <v>42916</v>
      </c>
      <c r="BU99" s="38">
        <v>2573</v>
      </c>
      <c r="BV99" s="18"/>
      <c r="BW99" s="37"/>
      <c r="BX99" s="38"/>
      <c r="BY99" s="18"/>
      <c r="BZ99" s="39">
        <v>42916</v>
      </c>
      <c r="CA99" s="40">
        <v>37638.0965</v>
      </c>
      <c r="CB99" s="17"/>
      <c r="CC99" s="39">
        <v>42916</v>
      </c>
      <c r="CD99" s="40">
        <v>25.73</v>
      </c>
      <c r="CE99" s="18"/>
      <c r="CF99" s="18"/>
      <c r="CG99" s="18"/>
      <c r="CH99" s="18"/>
      <c r="CI99" s="18"/>
      <c r="CJ99" s="18"/>
      <c r="CK99" s="18"/>
      <c r="CL99" s="18"/>
      <c r="CM99" s="18"/>
      <c r="CN99" s="18"/>
      <c r="CO99" s="18"/>
      <c r="CP99" s="18"/>
      <c r="CQ99" s="18"/>
      <c r="CR99" s="18"/>
      <c r="CS99" s="18"/>
      <c r="CT99" s="18"/>
      <c r="CU99" s="18"/>
      <c r="CV99" s="18"/>
      <c r="CW99" s="18"/>
      <c r="CX99" s="18"/>
      <c r="CY99" s="37">
        <v>44897</v>
      </c>
      <c r="CZ99" s="38">
        <v>18.413900000000002</v>
      </c>
      <c r="DA99" s="18"/>
      <c r="DB99" s="37">
        <v>43991</v>
      </c>
      <c r="DC99" s="38">
        <v>17.491199999999999</v>
      </c>
      <c r="DD99" s="18"/>
      <c r="DE99" s="37">
        <v>43991</v>
      </c>
      <c r="DF99" s="38">
        <v>16.630700000000001</v>
      </c>
      <c r="DG99" s="18"/>
      <c r="DH99" s="37">
        <v>43991</v>
      </c>
      <c r="DI99" s="38">
        <v>21.167400000000001</v>
      </c>
      <c r="DJ99" s="18"/>
      <c r="DK99" s="37">
        <v>43991</v>
      </c>
      <c r="DL99" s="38">
        <v>0.15429999999999999</v>
      </c>
      <c r="DM99" s="18"/>
      <c r="DN99" s="18"/>
      <c r="DO99" s="18"/>
      <c r="DP99" s="18"/>
      <c r="DQ99" s="18"/>
      <c r="DR99" s="18"/>
      <c r="DS99" s="18"/>
      <c r="DT99" s="18"/>
      <c r="DU99" s="18"/>
      <c r="DV99" s="18"/>
      <c r="DW99" s="18"/>
      <c r="DX99" s="18"/>
      <c r="DY99" s="18"/>
      <c r="DZ99" s="18"/>
    </row>
    <row r="100" spans="1:130" ht="15" customHeight="1" x14ac:dyDescent="0.3">
      <c r="A100" s="30" t="s">
        <v>367</v>
      </c>
      <c r="B100" s="73" t="s">
        <v>214</v>
      </c>
      <c r="C100" s="74">
        <v>5714</v>
      </c>
      <c r="D100" s="74">
        <v>5527</v>
      </c>
      <c r="E100" s="74">
        <v>5251</v>
      </c>
      <c r="F100" s="74">
        <v>4824</v>
      </c>
      <c r="G100" s="74">
        <v>4530</v>
      </c>
      <c r="H100" s="74">
        <v>10487</v>
      </c>
      <c r="I100" s="74">
        <v>8106</v>
      </c>
      <c r="J100" s="74">
        <v>7788</v>
      </c>
      <c r="K100" s="74">
        <v>6554</v>
      </c>
      <c r="L100" s="74">
        <v>5321</v>
      </c>
      <c r="M100" s="75">
        <v>7057</v>
      </c>
      <c r="N100" s="17"/>
      <c r="O100" s="17"/>
      <c r="P100" s="17"/>
      <c r="Q100" s="17"/>
      <c r="R100" s="17"/>
      <c r="S100" s="17"/>
      <c r="T100" s="17"/>
      <c r="U100" s="18"/>
      <c r="V100" s="18"/>
      <c r="W100" s="18"/>
      <c r="X100" s="18"/>
      <c r="Y100" s="18"/>
      <c r="Z100" s="18"/>
      <c r="AA100" s="18"/>
      <c r="AB100" s="18"/>
      <c r="AC100" s="18"/>
      <c r="AD100" s="18"/>
      <c r="AE100" s="18" t="s">
        <v>214</v>
      </c>
      <c r="AF100" s="85">
        <v>0</v>
      </c>
      <c r="AG100" s="85">
        <v>0</v>
      </c>
      <c r="AH100" s="85">
        <v>0</v>
      </c>
      <c r="AI100" s="85">
        <v>0</v>
      </c>
      <c r="AJ100" s="85">
        <v>0</v>
      </c>
      <c r="AK100" s="85">
        <v>0</v>
      </c>
      <c r="AL100" s="85">
        <v>0</v>
      </c>
      <c r="AM100" s="85">
        <v>0</v>
      </c>
      <c r="AN100" s="18"/>
      <c r="AO100" s="18"/>
      <c r="AP100" s="77" t="s">
        <v>214</v>
      </c>
      <c r="AQ100" s="18">
        <v>5714</v>
      </c>
      <c r="AR100" s="18">
        <v>5527</v>
      </c>
      <c r="AS100" s="18">
        <v>5251</v>
      </c>
      <c r="AT100" s="18">
        <v>4824</v>
      </c>
      <c r="AU100" s="18">
        <v>4530</v>
      </c>
      <c r="AV100" s="18">
        <v>10487</v>
      </c>
      <c r="AW100" s="18">
        <v>8106</v>
      </c>
      <c r="AX100" s="18">
        <v>7788</v>
      </c>
      <c r="AY100" s="18">
        <v>6554</v>
      </c>
      <c r="AZ100" s="18">
        <v>5321</v>
      </c>
      <c r="BA100" s="78">
        <v>7057</v>
      </c>
      <c r="BB100" s="18"/>
      <c r="BC100" s="18"/>
      <c r="BD100" s="18"/>
      <c r="BE100" s="18"/>
      <c r="BF100" s="18"/>
      <c r="BG100" s="18"/>
      <c r="BH100" s="18"/>
      <c r="BI100" s="18"/>
      <c r="BJ100" s="18"/>
      <c r="BK100" s="18"/>
      <c r="BL100" s="18"/>
      <c r="BM100" s="18"/>
      <c r="BN100" s="18"/>
      <c r="BO100" s="18"/>
      <c r="BP100" s="18"/>
      <c r="BQ100" s="37">
        <v>42947</v>
      </c>
      <c r="BR100" s="38">
        <v>35911.980900000002</v>
      </c>
      <c r="BS100" s="17"/>
      <c r="BT100" s="37">
        <v>42947</v>
      </c>
      <c r="BU100" s="38">
        <v>2455</v>
      </c>
      <c r="BV100" s="18"/>
      <c r="BW100" s="37"/>
      <c r="BX100" s="38"/>
      <c r="BY100" s="18"/>
      <c r="BZ100" s="39">
        <v>42947</v>
      </c>
      <c r="CA100" s="40">
        <v>35911.980900000002</v>
      </c>
      <c r="CB100" s="17"/>
      <c r="CC100" s="39">
        <v>42947</v>
      </c>
      <c r="CD100" s="40">
        <v>24.55</v>
      </c>
      <c r="CE100" s="18"/>
      <c r="CF100" s="18"/>
      <c r="CG100" s="18"/>
      <c r="CH100" s="18"/>
      <c r="CI100" s="18"/>
      <c r="CJ100" s="18"/>
      <c r="CK100" s="18"/>
      <c r="CL100" s="18"/>
      <c r="CM100" s="18"/>
      <c r="CN100" s="18"/>
      <c r="CO100" s="18"/>
      <c r="CP100" s="18"/>
      <c r="CQ100" s="18"/>
      <c r="CR100" s="18"/>
      <c r="CS100" s="18"/>
      <c r="CT100" s="18"/>
      <c r="CU100" s="18"/>
      <c r="CV100" s="18"/>
      <c r="CW100" s="18"/>
      <c r="CX100" s="18"/>
      <c r="CY100" s="37">
        <v>44900</v>
      </c>
      <c r="CZ100" s="38">
        <v>18.322800000000001</v>
      </c>
      <c r="DA100" s="18"/>
      <c r="DB100" s="37">
        <v>43992</v>
      </c>
      <c r="DC100" s="38">
        <v>17.506599999999999</v>
      </c>
      <c r="DD100" s="18"/>
      <c r="DE100" s="37">
        <v>43992</v>
      </c>
      <c r="DF100" s="38">
        <v>16.5259</v>
      </c>
      <c r="DG100" s="18"/>
      <c r="DH100" s="37">
        <v>43992</v>
      </c>
      <c r="DI100" s="38">
        <v>21.066700000000001</v>
      </c>
      <c r="DJ100" s="18"/>
      <c r="DK100" s="37">
        <v>43992</v>
      </c>
      <c r="DL100" s="38">
        <v>0.15429999999999999</v>
      </c>
      <c r="DM100" s="18"/>
      <c r="DN100" s="18"/>
      <c r="DO100" s="18"/>
      <c r="DP100" s="18"/>
      <c r="DQ100" s="18"/>
      <c r="DR100" s="18"/>
      <c r="DS100" s="18"/>
      <c r="DT100" s="18"/>
      <c r="DU100" s="18"/>
      <c r="DV100" s="18"/>
      <c r="DW100" s="18"/>
      <c r="DX100" s="18"/>
      <c r="DY100" s="18"/>
      <c r="DZ100" s="18"/>
    </row>
    <row r="101" spans="1:130" ht="15" customHeight="1" x14ac:dyDescent="0.3">
      <c r="A101" s="30" t="s">
        <v>368</v>
      </c>
      <c r="B101" s="73" t="s">
        <v>215</v>
      </c>
      <c r="C101" s="74">
        <v>17239</v>
      </c>
      <c r="D101" s="74">
        <v>16515</v>
      </c>
      <c r="E101" s="74">
        <v>16420</v>
      </c>
      <c r="F101" s="74">
        <v>12541</v>
      </c>
      <c r="G101" s="74">
        <v>12098</v>
      </c>
      <c r="H101" s="74">
        <v>13908</v>
      </c>
      <c r="I101" s="74">
        <v>14421</v>
      </c>
      <c r="J101" s="74">
        <v>13622</v>
      </c>
      <c r="K101" s="74">
        <v>11504</v>
      </c>
      <c r="L101" s="74">
        <v>10401</v>
      </c>
      <c r="M101" s="75">
        <v>27678</v>
      </c>
      <c r="N101" s="17"/>
      <c r="O101" s="17"/>
      <c r="P101" s="17"/>
      <c r="Q101" s="17"/>
      <c r="R101" s="17"/>
      <c r="S101" s="17"/>
      <c r="T101" s="17"/>
      <c r="U101" s="18"/>
      <c r="V101" s="18"/>
      <c r="W101" s="18"/>
      <c r="X101" s="18"/>
      <c r="Y101" s="18"/>
      <c r="Z101" s="18"/>
      <c r="AA101" s="18"/>
      <c r="AB101" s="18"/>
      <c r="AC101" s="18"/>
      <c r="AD101" s="18"/>
      <c r="AE101" s="18" t="s">
        <v>215</v>
      </c>
      <c r="AF101" s="85">
        <v>0</v>
      </c>
      <c r="AG101" s="85">
        <v>0</v>
      </c>
      <c r="AH101" s="85">
        <v>0</v>
      </c>
      <c r="AI101" s="85">
        <v>0</v>
      </c>
      <c r="AJ101" s="85">
        <v>0</v>
      </c>
      <c r="AK101" s="85">
        <v>0</v>
      </c>
      <c r="AL101" s="85">
        <v>0</v>
      </c>
      <c r="AM101" s="85">
        <v>0</v>
      </c>
      <c r="AN101" s="18"/>
      <c r="AO101" s="18"/>
      <c r="AP101" s="77" t="s">
        <v>215</v>
      </c>
      <c r="AQ101" s="18">
        <v>17239</v>
      </c>
      <c r="AR101" s="18">
        <v>16515</v>
      </c>
      <c r="AS101" s="18">
        <v>16420</v>
      </c>
      <c r="AT101" s="18">
        <v>12541</v>
      </c>
      <c r="AU101" s="18">
        <v>12098</v>
      </c>
      <c r="AV101" s="18">
        <v>13908</v>
      </c>
      <c r="AW101" s="18">
        <v>14421</v>
      </c>
      <c r="AX101" s="18">
        <v>13622</v>
      </c>
      <c r="AY101" s="18">
        <v>11504</v>
      </c>
      <c r="AZ101" s="18">
        <v>10401</v>
      </c>
      <c r="BA101" s="78">
        <v>27678</v>
      </c>
      <c r="BB101" s="18"/>
      <c r="BC101" s="18"/>
      <c r="BD101" s="18"/>
      <c r="BE101" s="18"/>
      <c r="BF101" s="18"/>
      <c r="BG101" s="18"/>
      <c r="BH101" s="18"/>
      <c r="BI101" s="18"/>
      <c r="BJ101" s="18"/>
      <c r="BK101" s="18"/>
      <c r="BL101" s="18"/>
      <c r="BM101" s="18"/>
      <c r="BN101" s="18"/>
      <c r="BO101" s="18"/>
      <c r="BP101" s="18"/>
      <c r="BQ101" s="37">
        <v>42978</v>
      </c>
      <c r="BR101" s="38">
        <v>35268.344599999997</v>
      </c>
      <c r="BS101" s="17"/>
      <c r="BT101" s="37">
        <v>42978</v>
      </c>
      <c r="BU101" s="38">
        <v>2411</v>
      </c>
      <c r="BV101" s="18"/>
      <c r="BW101" s="37"/>
      <c r="BX101" s="38"/>
      <c r="BY101" s="18"/>
      <c r="BZ101" s="39">
        <v>42978</v>
      </c>
      <c r="CA101" s="40">
        <v>35268.344599999997</v>
      </c>
      <c r="CB101" s="17"/>
      <c r="CC101" s="39">
        <v>42978</v>
      </c>
      <c r="CD101" s="40">
        <v>24.11</v>
      </c>
      <c r="CE101" s="18"/>
      <c r="CF101" s="18"/>
      <c r="CG101" s="18"/>
      <c r="CH101" s="18"/>
      <c r="CI101" s="18"/>
      <c r="CJ101" s="18"/>
      <c r="CK101" s="18"/>
      <c r="CL101" s="18"/>
      <c r="CM101" s="18"/>
      <c r="CN101" s="18"/>
      <c r="CO101" s="18"/>
      <c r="CP101" s="18"/>
      <c r="CQ101" s="18"/>
      <c r="CR101" s="18"/>
      <c r="CS101" s="18"/>
      <c r="CT101" s="18"/>
      <c r="CU101" s="18"/>
      <c r="CV101" s="18"/>
      <c r="CW101" s="18"/>
      <c r="CX101" s="18"/>
      <c r="CY101" s="37">
        <v>44901</v>
      </c>
      <c r="CZ101" s="38">
        <v>18.134899999999998</v>
      </c>
      <c r="DA101" s="18"/>
      <c r="DB101" s="37">
        <v>43993</v>
      </c>
      <c r="DC101" s="38">
        <v>18.185500000000001</v>
      </c>
      <c r="DD101" s="18"/>
      <c r="DE101" s="37">
        <v>43993</v>
      </c>
      <c r="DF101" s="38">
        <v>17.169599999999999</v>
      </c>
      <c r="DG101" s="18"/>
      <c r="DH101" s="37">
        <v>43993</v>
      </c>
      <c r="DI101" s="38">
        <v>21.6402</v>
      </c>
      <c r="DJ101" s="18"/>
      <c r="DK101" s="37">
        <v>43993</v>
      </c>
      <c r="DL101" s="38">
        <v>0.16070000000000001</v>
      </c>
      <c r="DM101" s="18"/>
      <c r="DN101" s="18"/>
      <c r="DO101" s="18"/>
      <c r="DP101" s="18"/>
      <c r="DQ101" s="18"/>
      <c r="DR101" s="18"/>
      <c r="DS101" s="18"/>
      <c r="DT101" s="18"/>
      <c r="DU101" s="18"/>
      <c r="DV101" s="18"/>
      <c r="DW101" s="18"/>
      <c r="DX101" s="18"/>
      <c r="DY101" s="18"/>
      <c r="DZ101" s="18"/>
    </row>
    <row r="102" spans="1:130" ht="15" customHeight="1" x14ac:dyDescent="0.3">
      <c r="A102" s="119" t="s">
        <v>429</v>
      </c>
      <c r="B102" s="73" t="s">
        <v>48</v>
      </c>
      <c r="C102" s="74">
        <v>3417</v>
      </c>
      <c r="D102" s="74">
        <v>3292</v>
      </c>
      <c r="E102" s="74">
        <v>3316</v>
      </c>
      <c r="F102" s="74">
        <v>3061</v>
      </c>
      <c r="G102" s="74">
        <v>2953</v>
      </c>
      <c r="H102" s="74">
        <v>4214</v>
      </c>
      <c r="I102" s="74">
        <v>6526</v>
      </c>
      <c r="J102" s="74">
        <v>7395</v>
      </c>
      <c r="K102" s="74">
        <v>6438</v>
      </c>
      <c r="L102" s="74">
        <v>5812</v>
      </c>
      <c r="M102" s="75">
        <v>8642</v>
      </c>
      <c r="N102" s="17"/>
      <c r="O102" s="17"/>
      <c r="P102" s="17"/>
      <c r="Q102" s="17"/>
      <c r="R102" s="17"/>
      <c r="S102" s="17"/>
      <c r="T102" s="17"/>
      <c r="U102" s="18"/>
      <c r="V102" s="18"/>
      <c r="W102" s="18"/>
      <c r="X102" s="18"/>
      <c r="Y102" s="18"/>
      <c r="Z102" s="18"/>
      <c r="AA102" s="18"/>
      <c r="AB102" s="18"/>
      <c r="AC102" s="18"/>
      <c r="AD102" s="18"/>
      <c r="AE102" s="18" t="s">
        <v>48</v>
      </c>
      <c r="AF102" s="85">
        <v>0</v>
      </c>
      <c r="AG102" s="85">
        <v>0</v>
      </c>
      <c r="AH102" s="85">
        <v>0</v>
      </c>
      <c r="AI102" s="85">
        <v>0</v>
      </c>
      <c r="AJ102" s="85">
        <v>0</v>
      </c>
      <c r="AK102" s="85">
        <v>0</v>
      </c>
      <c r="AL102" s="85">
        <v>0</v>
      </c>
      <c r="AM102" s="85">
        <v>0</v>
      </c>
      <c r="AN102" s="18"/>
      <c r="AO102" s="18"/>
      <c r="AP102" s="120" t="s">
        <v>48</v>
      </c>
      <c r="AQ102" s="86">
        <v>3417</v>
      </c>
      <c r="AR102" s="86">
        <v>3292</v>
      </c>
      <c r="AS102" s="86">
        <v>3316</v>
      </c>
      <c r="AT102" s="86">
        <v>3061</v>
      </c>
      <c r="AU102" s="86">
        <v>2953</v>
      </c>
      <c r="AV102" s="86">
        <v>4214</v>
      </c>
      <c r="AW102" s="86">
        <v>6526</v>
      </c>
      <c r="AX102" s="86">
        <v>7395</v>
      </c>
      <c r="AY102" s="86">
        <v>6438</v>
      </c>
      <c r="AZ102" s="86">
        <v>5812</v>
      </c>
      <c r="BA102" s="87">
        <v>8642</v>
      </c>
      <c r="BB102" s="18"/>
      <c r="BC102" s="18"/>
      <c r="BD102" s="18"/>
      <c r="BE102" s="18"/>
      <c r="BF102" s="18"/>
      <c r="BG102" s="18"/>
      <c r="BH102" s="18"/>
      <c r="BI102" s="18"/>
      <c r="BJ102" s="18"/>
      <c r="BK102" s="18"/>
      <c r="BL102" s="18"/>
      <c r="BM102" s="18"/>
      <c r="BN102" s="18"/>
      <c r="BO102" s="18"/>
      <c r="BP102" s="18"/>
      <c r="BQ102" s="37">
        <v>43007</v>
      </c>
      <c r="BR102" s="38">
        <v>34814.873599999999</v>
      </c>
      <c r="BS102" s="17"/>
      <c r="BT102" s="37">
        <v>43007</v>
      </c>
      <c r="BU102" s="38">
        <v>2380</v>
      </c>
      <c r="BV102" s="18"/>
      <c r="BW102" s="37"/>
      <c r="BX102" s="38"/>
      <c r="BY102" s="18"/>
      <c r="BZ102" s="39">
        <v>43007</v>
      </c>
      <c r="CA102" s="40">
        <v>34814.873599999999</v>
      </c>
      <c r="CB102" s="17"/>
      <c r="CC102" s="39">
        <v>43007</v>
      </c>
      <c r="CD102" s="40">
        <v>23.8</v>
      </c>
      <c r="CE102" s="18"/>
      <c r="CF102" s="18"/>
      <c r="CG102" s="18"/>
      <c r="CH102" s="18"/>
      <c r="CI102" s="18"/>
      <c r="CJ102" s="18"/>
      <c r="CK102" s="18"/>
      <c r="CL102" s="18"/>
      <c r="CM102" s="18"/>
      <c r="CN102" s="18"/>
      <c r="CO102" s="18"/>
      <c r="CP102" s="18"/>
      <c r="CQ102" s="18"/>
      <c r="CR102" s="18"/>
      <c r="CS102" s="18"/>
      <c r="CT102" s="18"/>
      <c r="CU102" s="18"/>
      <c r="CV102" s="18"/>
      <c r="CW102" s="18"/>
      <c r="CX102" s="18"/>
      <c r="CY102" s="37">
        <v>44902</v>
      </c>
      <c r="CZ102" s="38">
        <v>18.043800000000001</v>
      </c>
      <c r="DA102" s="18"/>
      <c r="DB102" s="37">
        <v>43994</v>
      </c>
      <c r="DC102" s="38">
        <v>17.917899999999999</v>
      </c>
      <c r="DD102" s="18"/>
      <c r="DE102" s="37">
        <v>43994</v>
      </c>
      <c r="DF102" s="38">
        <v>17.078399999999998</v>
      </c>
      <c r="DG102" s="18"/>
      <c r="DH102" s="37">
        <v>43994</v>
      </c>
      <c r="DI102" s="38">
        <v>21.379000000000001</v>
      </c>
      <c r="DJ102" s="18"/>
      <c r="DK102" s="37">
        <v>43994</v>
      </c>
      <c r="DL102" s="38">
        <v>0.159</v>
      </c>
      <c r="DM102" s="18"/>
      <c r="DN102" s="18"/>
      <c r="DO102" s="18"/>
      <c r="DP102" s="18"/>
      <c r="DQ102" s="18"/>
      <c r="DR102" s="18"/>
      <c r="DS102" s="18"/>
      <c r="DT102" s="18"/>
      <c r="DU102" s="18"/>
      <c r="DV102" s="18"/>
      <c r="DW102" s="18"/>
      <c r="DX102" s="18"/>
      <c r="DY102" s="18"/>
      <c r="DZ102" s="18"/>
    </row>
    <row r="103" spans="1:130" ht="15" customHeight="1" x14ac:dyDescent="0.3">
      <c r="A103" s="30" t="s">
        <v>172</v>
      </c>
      <c r="B103" s="90" t="s">
        <v>49</v>
      </c>
      <c r="C103" s="91">
        <v>20832</v>
      </c>
      <c r="D103" s="91">
        <v>20026</v>
      </c>
      <c r="E103" s="91">
        <v>19894</v>
      </c>
      <c r="F103" s="91">
        <v>15891</v>
      </c>
      <c r="G103" s="91">
        <v>15300</v>
      </c>
      <c r="H103" s="91">
        <v>19953</v>
      </c>
      <c r="I103" s="91">
        <v>22614</v>
      </c>
      <c r="J103" s="91">
        <v>22716</v>
      </c>
      <c r="K103" s="91">
        <v>19299</v>
      </c>
      <c r="L103" s="91">
        <v>17192</v>
      </c>
      <c r="M103" s="92">
        <v>36966</v>
      </c>
      <c r="N103" s="17"/>
      <c r="O103" s="17"/>
      <c r="P103" s="17"/>
      <c r="Q103" s="17"/>
      <c r="R103" s="17"/>
      <c r="S103" s="17"/>
      <c r="T103" s="17"/>
      <c r="U103" s="18"/>
      <c r="V103" s="18"/>
      <c r="W103" s="18"/>
      <c r="X103" s="18"/>
      <c r="Y103" s="18"/>
      <c r="Z103" s="18"/>
      <c r="AA103" s="18"/>
      <c r="AB103" s="18"/>
      <c r="AC103" s="18"/>
      <c r="AD103" s="18"/>
      <c r="AE103" s="18" t="s">
        <v>49</v>
      </c>
      <c r="AF103" s="85">
        <v>0</v>
      </c>
      <c r="AG103" s="85">
        <v>0</v>
      </c>
      <c r="AH103" s="85">
        <v>0</v>
      </c>
      <c r="AI103" s="85">
        <v>0</v>
      </c>
      <c r="AJ103" s="85">
        <v>0</v>
      </c>
      <c r="AK103" s="85">
        <v>0</v>
      </c>
      <c r="AL103" s="85">
        <v>0</v>
      </c>
      <c r="AM103" s="85">
        <v>0</v>
      </c>
      <c r="AN103" s="18"/>
      <c r="AO103" s="18"/>
      <c r="AP103" s="77" t="s">
        <v>448</v>
      </c>
      <c r="AQ103" s="18">
        <v>20832</v>
      </c>
      <c r="AR103" s="18">
        <v>20026</v>
      </c>
      <c r="AS103" s="18">
        <v>19894</v>
      </c>
      <c r="AT103" s="18">
        <v>15891</v>
      </c>
      <c r="AU103" s="18">
        <v>15300</v>
      </c>
      <c r="AV103" s="18">
        <v>19953</v>
      </c>
      <c r="AW103" s="18">
        <v>22614</v>
      </c>
      <c r="AX103" s="18">
        <v>22716</v>
      </c>
      <c r="AY103" s="18">
        <v>19299</v>
      </c>
      <c r="AZ103" s="18">
        <v>17192</v>
      </c>
      <c r="BA103" s="78">
        <v>36966</v>
      </c>
      <c r="BB103" s="18"/>
      <c r="BC103" s="18"/>
      <c r="BD103" s="18"/>
      <c r="BE103" s="18"/>
      <c r="BF103" s="18"/>
      <c r="BG103" s="18"/>
      <c r="BH103" s="18"/>
      <c r="BI103" s="18"/>
      <c r="BJ103" s="18"/>
      <c r="BK103" s="18"/>
      <c r="BL103" s="18"/>
      <c r="BM103" s="18"/>
      <c r="BN103" s="18"/>
      <c r="BO103" s="18"/>
      <c r="BP103" s="18"/>
      <c r="BQ103" s="37">
        <v>43039</v>
      </c>
      <c r="BR103" s="38">
        <v>36409.336300000003</v>
      </c>
      <c r="BS103" s="17"/>
      <c r="BT103" s="37">
        <v>43039</v>
      </c>
      <c r="BU103" s="38">
        <v>2489</v>
      </c>
      <c r="BV103" s="18"/>
      <c r="BW103" s="37"/>
      <c r="BX103" s="38"/>
      <c r="BY103" s="18"/>
      <c r="BZ103" s="39">
        <v>43039</v>
      </c>
      <c r="CA103" s="40">
        <v>36409.336300000003</v>
      </c>
      <c r="CB103" s="17"/>
      <c r="CC103" s="39">
        <v>43039</v>
      </c>
      <c r="CD103" s="40">
        <v>24.89</v>
      </c>
      <c r="CE103" s="18"/>
      <c r="CF103" s="18"/>
      <c r="CG103" s="18"/>
      <c r="CH103" s="18"/>
      <c r="CI103" s="18"/>
      <c r="CJ103" s="18"/>
      <c r="CK103" s="18"/>
      <c r="CL103" s="18"/>
      <c r="CM103" s="18"/>
      <c r="CN103" s="18"/>
      <c r="CO103" s="18"/>
      <c r="CP103" s="18"/>
      <c r="CQ103" s="18"/>
      <c r="CR103" s="18"/>
      <c r="CS103" s="18"/>
      <c r="CT103" s="18"/>
      <c r="CU103" s="18"/>
      <c r="CV103" s="18"/>
      <c r="CW103" s="18"/>
      <c r="CX103" s="18"/>
      <c r="CY103" s="37">
        <v>44903</v>
      </c>
      <c r="CZ103" s="38">
        <v>18.1235</v>
      </c>
      <c r="DA103" s="18"/>
      <c r="DB103" s="37">
        <v>43997</v>
      </c>
      <c r="DC103" s="38">
        <v>18.026199999999999</v>
      </c>
      <c r="DD103" s="18"/>
      <c r="DE103" s="37">
        <v>43997</v>
      </c>
      <c r="DF103" s="38">
        <v>17.102</v>
      </c>
      <c r="DG103" s="18"/>
      <c r="DH103" s="37">
        <v>43997</v>
      </c>
      <c r="DI103" s="38">
        <v>21.567299999999999</v>
      </c>
      <c r="DJ103" s="18"/>
      <c r="DK103" s="37">
        <v>43997</v>
      </c>
      <c r="DL103" s="38">
        <v>0.1595</v>
      </c>
      <c r="DM103" s="18"/>
      <c r="DN103" s="18"/>
      <c r="DO103" s="18"/>
      <c r="DP103" s="18"/>
      <c r="DQ103" s="18"/>
      <c r="DR103" s="18"/>
      <c r="DS103" s="18"/>
      <c r="DT103" s="18"/>
      <c r="DU103" s="18"/>
      <c r="DV103" s="18"/>
      <c r="DW103" s="18"/>
      <c r="DX103" s="18"/>
      <c r="DY103" s="18"/>
      <c r="DZ103" s="18"/>
    </row>
    <row r="104" spans="1:130" ht="15" customHeight="1" thickBot="1" x14ac:dyDescent="0.35">
      <c r="A104" s="30" t="s">
        <v>175</v>
      </c>
      <c r="B104" s="73" t="s">
        <v>53</v>
      </c>
      <c r="C104" s="74">
        <v>26270</v>
      </c>
      <c r="D104" s="74">
        <v>25621</v>
      </c>
      <c r="E104" s="74">
        <v>25944</v>
      </c>
      <c r="F104" s="74">
        <v>21415</v>
      </c>
      <c r="G104" s="74">
        <v>20548</v>
      </c>
      <c r="H104" s="74">
        <v>28112</v>
      </c>
      <c r="I104" s="74">
        <v>30659</v>
      </c>
      <c r="J104" s="74">
        <v>31664</v>
      </c>
      <c r="K104" s="74">
        <v>26717</v>
      </c>
      <c r="L104" s="74">
        <v>23808</v>
      </c>
      <c r="M104" s="75">
        <v>44222</v>
      </c>
      <c r="N104" s="17"/>
      <c r="O104" s="17"/>
      <c r="P104" s="17"/>
      <c r="Q104" s="17"/>
      <c r="R104" s="17"/>
      <c r="S104" s="17"/>
      <c r="T104" s="17"/>
      <c r="U104" s="18"/>
      <c r="V104" s="18"/>
      <c r="W104" s="18"/>
      <c r="X104" s="18"/>
      <c r="Y104" s="18"/>
      <c r="Z104" s="18"/>
      <c r="AA104" s="18"/>
      <c r="AB104" s="18"/>
      <c r="AC104" s="18"/>
      <c r="AD104" s="18"/>
      <c r="AE104" s="18" t="s">
        <v>53</v>
      </c>
      <c r="AF104" s="85">
        <v>0</v>
      </c>
      <c r="AG104" s="85">
        <v>0</v>
      </c>
      <c r="AH104" s="85">
        <v>0</v>
      </c>
      <c r="AI104" s="85">
        <v>0</v>
      </c>
      <c r="AJ104" s="85">
        <v>0</v>
      </c>
      <c r="AK104" s="85">
        <v>0</v>
      </c>
      <c r="AL104" s="85">
        <v>0</v>
      </c>
      <c r="AM104" s="85">
        <v>0</v>
      </c>
      <c r="AN104" s="18"/>
      <c r="AO104" s="18"/>
      <c r="AP104" s="104" t="s">
        <v>53</v>
      </c>
      <c r="AQ104" s="86">
        <v>26270</v>
      </c>
      <c r="AR104" s="86">
        <v>25621</v>
      </c>
      <c r="AS104" s="86">
        <v>25944</v>
      </c>
      <c r="AT104" s="86">
        <v>21415</v>
      </c>
      <c r="AU104" s="86">
        <v>20548</v>
      </c>
      <c r="AV104" s="86">
        <v>28112</v>
      </c>
      <c r="AW104" s="86">
        <v>30659</v>
      </c>
      <c r="AX104" s="86">
        <v>31664</v>
      </c>
      <c r="AY104" s="86">
        <v>26717</v>
      </c>
      <c r="AZ104" s="86">
        <v>23808</v>
      </c>
      <c r="BA104" s="87">
        <v>44222</v>
      </c>
      <c r="BB104" s="18"/>
      <c r="BC104" s="18"/>
      <c r="BD104" s="18"/>
      <c r="BE104" s="18"/>
      <c r="BF104" s="18"/>
      <c r="BG104" s="18"/>
      <c r="BH104" s="18"/>
      <c r="BI104" s="18"/>
      <c r="BJ104" s="18"/>
      <c r="BK104" s="18"/>
      <c r="BL104" s="18"/>
      <c r="BM104" s="18"/>
      <c r="BN104" s="18"/>
      <c r="BO104" s="18"/>
      <c r="BP104" s="18"/>
      <c r="BQ104" s="37">
        <v>43069</v>
      </c>
      <c r="BR104" s="38">
        <v>32917.72</v>
      </c>
      <c r="BS104" s="17"/>
      <c r="BT104" s="37">
        <v>43069</v>
      </c>
      <c r="BU104" s="38">
        <v>2250</v>
      </c>
      <c r="BV104" s="18"/>
      <c r="BW104" s="37"/>
      <c r="BX104" s="38"/>
      <c r="BY104" s="18"/>
      <c r="BZ104" s="39">
        <v>43069</v>
      </c>
      <c r="CA104" s="40">
        <v>32917.72</v>
      </c>
      <c r="CB104" s="17"/>
      <c r="CC104" s="39">
        <v>43069</v>
      </c>
      <c r="CD104" s="40">
        <v>22.5</v>
      </c>
      <c r="CE104" s="18"/>
      <c r="CF104" s="18"/>
      <c r="CG104" s="18"/>
      <c r="CH104" s="18"/>
      <c r="CI104" s="18"/>
      <c r="CJ104" s="18"/>
      <c r="CK104" s="18"/>
      <c r="CL104" s="18"/>
      <c r="CM104" s="18"/>
      <c r="CN104" s="18"/>
      <c r="CO104" s="18"/>
      <c r="CP104" s="18"/>
      <c r="CQ104" s="18"/>
      <c r="CR104" s="18"/>
      <c r="CS104" s="18"/>
      <c r="CT104" s="18"/>
      <c r="CU104" s="18"/>
      <c r="CV104" s="18"/>
      <c r="CW104" s="18"/>
      <c r="CX104" s="18"/>
      <c r="CY104" s="37">
        <v>44904</v>
      </c>
      <c r="CZ104" s="38">
        <v>18.303799999999999</v>
      </c>
      <c r="DA104" s="18"/>
      <c r="DB104" s="37">
        <v>43999</v>
      </c>
      <c r="DC104" s="38">
        <v>18.124099999999999</v>
      </c>
      <c r="DD104" s="18"/>
      <c r="DE104" s="37">
        <v>43999</v>
      </c>
      <c r="DF104" s="38">
        <v>17.1995</v>
      </c>
      <c r="DG104" s="18"/>
      <c r="DH104" s="37">
        <v>43999</v>
      </c>
      <c r="DI104" s="38">
        <v>21.591999999999999</v>
      </c>
      <c r="DJ104" s="18"/>
      <c r="DK104" s="37">
        <v>43999</v>
      </c>
      <c r="DL104" s="38">
        <v>0.16070000000000001</v>
      </c>
      <c r="DM104" s="18"/>
      <c r="DN104" s="18"/>
      <c r="DO104" s="18"/>
      <c r="DP104" s="18"/>
      <c r="DQ104" s="18"/>
      <c r="DR104" s="18"/>
      <c r="DS104" s="18"/>
      <c r="DT104" s="18"/>
      <c r="DU104" s="18"/>
      <c r="DV104" s="18"/>
      <c r="DW104" s="18"/>
      <c r="DX104" s="18"/>
      <c r="DY104" s="18"/>
      <c r="DZ104" s="18"/>
    </row>
    <row r="105" spans="1:130" ht="15" customHeight="1" x14ac:dyDescent="0.3">
      <c r="A105" s="30" t="s">
        <v>167</v>
      </c>
      <c r="B105" s="90" t="s">
        <v>44</v>
      </c>
      <c r="C105" s="91">
        <v>1324</v>
      </c>
      <c r="D105" s="91">
        <v>1076</v>
      </c>
      <c r="E105" s="91">
        <v>1050</v>
      </c>
      <c r="F105" s="91">
        <v>1328</v>
      </c>
      <c r="G105" s="91">
        <v>1191</v>
      </c>
      <c r="H105" s="91">
        <v>1789</v>
      </c>
      <c r="I105" s="91">
        <v>2401</v>
      </c>
      <c r="J105" s="91">
        <v>2637</v>
      </c>
      <c r="K105" s="91">
        <v>2245</v>
      </c>
      <c r="L105" s="91">
        <v>1894</v>
      </c>
      <c r="M105" s="92">
        <v>1877</v>
      </c>
      <c r="N105" s="17"/>
      <c r="O105" s="17"/>
      <c r="P105" s="17"/>
      <c r="Q105" s="17"/>
      <c r="R105" s="17"/>
      <c r="S105" s="17"/>
      <c r="T105" s="17"/>
      <c r="U105" s="18"/>
      <c r="V105" s="18"/>
      <c r="W105" s="18"/>
      <c r="X105" s="18"/>
      <c r="Y105" s="18"/>
      <c r="Z105" s="18"/>
      <c r="AA105" s="18"/>
      <c r="AB105" s="18"/>
      <c r="AC105" s="18"/>
      <c r="AD105" s="18"/>
      <c r="AE105" s="18" t="s">
        <v>44</v>
      </c>
      <c r="AF105" s="85">
        <v>0</v>
      </c>
      <c r="AG105" s="85">
        <v>0</v>
      </c>
      <c r="AH105" s="85">
        <v>0</v>
      </c>
      <c r="AI105" s="85">
        <v>0</v>
      </c>
      <c r="AJ105" s="85">
        <v>0</v>
      </c>
      <c r="AK105" s="85">
        <v>0</v>
      </c>
      <c r="AL105" s="85">
        <v>0</v>
      </c>
      <c r="AM105" s="85">
        <v>0</v>
      </c>
      <c r="AN105" s="18"/>
      <c r="AO105" s="18"/>
      <c r="AP105" s="77" t="s">
        <v>449</v>
      </c>
      <c r="AQ105" s="18">
        <v>1324</v>
      </c>
      <c r="AR105" s="18">
        <v>1076</v>
      </c>
      <c r="AS105" s="18">
        <v>1050</v>
      </c>
      <c r="AT105" s="18">
        <v>1328</v>
      </c>
      <c r="AU105" s="18">
        <v>1191</v>
      </c>
      <c r="AV105" s="18">
        <v>1789</v>
      </c>
      <c r="AW105" s="18">
        <v>2401</v>
      </c>
      <c r="AX105" s="18">
        <v>2637</v>
      </c>
      <c r="AY105" s="18">
        <v>2245</v>
      </c>
      <c r="AZ105" s="18">
        <v>1894</v>
      </c>
      <c r="BA105" s="78">
        <v>1877</v>
      </c>
      <c r="BB105" s="18"/>
      <c r="BC105" s="18"/>
      <c r="BD105" s="18"/>
      <c r="BE105" s="18"/>
      <c r="BF105" s="18"/>
      <c r="BG105" s="18"/>
      <c r="BH105" s="18"/>
      <c r="BI105" s="18"/>
      <c r="BJ105" s="18"/>
      <c r="BK105" s="18"/>
      <c r="BL105" s="18"/>
      <c r="BM105" s="18"/>
      <c r="BN105" s="18"/>
      <c r="BO105" s="18"/>
      <c r="BP105" s="18"/>
      <c r="BQ105" s="37">
        <v>43098</v>
      </c>
      <c r="BR105" s="38">
        <v>36987.661599999999</v>
      </c>
      <c r="BS105" s="17"/>
      <c r="BT105" s="37">
        <v>43098</v>
      </c>
      <c r="BU105" s="38">
        <v>2515</v>
      </c>
      <c r="BV105" s="18"/>
      <c r="BW105" s="37"/>
      <c r="BX105" s="38"/>
      <c r="BY105" s="18"/>
      <c r="BZ105" s="39">
        <v>43098</v>
      </c>
      <c r="CA105" s="40">
        <v>36987.661599999999</v>
      </c>
      <c r="CB105" s="17"/>
      <c r="CC105" s="39">
        <v>43098</v>
      </c>
      <c r="CD105" s="40">
        <v>25.150000000000002</v>
      </c>
      <c r="CE105" s="18"/>
      <c r="CF105" s="18"/>
      <c r="CG105" s="18"/>
      <c r="CH105" s="18"/>
      <c r="CI105" s="18"/>
      <c r="CJ105" s="18"/>
      <c r="CK105" s="18"/>
      <c r="CL105" s="18"/>
      <c r="CM105" s="18"/>
      <c r="CN105" s="18"/>
      <c r="CO105" s="18"/>
      <c r="CP105" s="18"/>
      <c r="CQ105" s="18"/>
      <c r="CR105" s="18"/>
      <c r="CS105" s="18"/>
      <c r="CT105" s="18"/>
      <c r="CU105" s="18"/>
      <c r="CV105" s="18"/>
      <c r="CW105" s="18"/>
      <c r="CX105" s="18"/>
      <c r="CY105" s="37">
        <v>44907</v>
      </c>
      <c r="CZ105" s="38">
        <v>18.518599999999999</v>
      </c>
      <c r="DA105" s="18"/>
      <c r="DB105" s="37">
        <v>44000</v>
      </c>
      <c r="DC105" s="38">
        <v>18.364100000000001</v>
      </c>
      <c r="DD105" s="18"/>
      <c r="DE105" s="37">
        <v>44000</v>
      </c>
      <c r="DF105" s="38">
        <v>17.472999999999999</v>
      </c>
      <c r="DG105" s="18"/>
      <c r="DH105" s="37">
        <v>44000</v>
      </c>
      <c r="DI105" s="38">
        <v>21.707999999999998</v>
      </c>
      <c r="DJ105" s="18"/>
      <c r="DK105" s="37">
        <v>44000</v>
      </c>
      <c r="DL105" s="38">
        <v>0.1633</v>
      </c>
      <c r="DM105" s="18"/>
      <c r="DN105" s="18"/>
      <c r="DO105" s="18"/>
      <c r="DP105" s="18"/>
      <c r="DQ105" s="18"/>
      <c r="DR105" s="18"/>
      <c r="DS105" s="18"/>
      <c r="DT105" s="18"/>
      <c r="DU105" s="18"/>
      <c r="DV105" s="18"/>
      <c r="DW105" s="18"/>
      <c r="DX105" s="18"/>
      <c r="DY105" s="18"/>
      <c r="DZ105" s="18"/>
    </row>
    <row r="106" spans="1:130" ht="15" customHeight="1" x14ac:dyDescent="0.3">
      <c r="A106" s="30" t="s">
        <v>369</v>
      </c>
      <c r="B106" s="73" t="s">
        <v>1861</v>
      </c>
      <c r="C106" s="74">
        <v>1687</v>
      </c>
      <c r="D106" s="74">
        <v>2359</v>
      </c>
      <c r="E106" s="74">
        <v>1611</v>
      </c>
      <c r="F106" s="74">
        <v>1785</v>
      </c>
      <c r="G106" s="74">
        <v>1062</v>
      </c>
      <c r="H106" s="74">
        <v>1709</v>
      </c>
      <c r="I106" s="74">
        <v>1390</v>
      </c>
      <c r="J106" s="74">
        <v>2237</v>
      </c>
      <c r="K106" s="74">
        <v>1745</v>
      </c>
      <c r="L106" s="74">
        <v>1257</v>
      </c>
      <c r="M106" s="75">
        <v>2375</v>
      </c>
      <c r="N106" s="17"/>
      <c r="O106" s="17"/>
      <c r="P106" s="17"/>
      <c r="Q106" s="17"/>
      <c r="R106" s="17"/>
      <c r="S106" s="17"/>
      <c r="T106" s="17"/>
      <c r="U106" s="18"/>
      <c r="V106" s="18"/>
      <c r="W106" s="18"/>
      <c r="X106" s="18"/>
      <c r="Y106" s="18"/>
      <c r="Z106" s="18"/>
      <c r="AA106" s="18"/>
      <c r="AB106" s="18"/>
      <c r="AC106" s="18"/>
      <c r="AD106" s="18"/>
      <c r="AE106" s="18" t="s">
        <v>1861</v>
      </c>
      <c r="AF106" s="85">
        <v>0</v>
      </c>
      <c r="AG106" s="85">
        <v>0</v>
      </c>
      <c r="AH106" s="85">
        <v>0</v>
      </c>
      <c r="AI106" s="85">
        <v>0</v>
      </c>
      <c r="AJ106" s="85">
        <v>0</v>
      </c>
      <c r="AK106" s="85">
        <v>0</v>
      </c>
      <c r="AL106" s="85">
        <v>0</v>
      </c>
      <c r="AM106" s="85">
        <v>0</v>
      </c>
      <c r="AN106" s="18"/>
      <c r="AO106" s="18"/>
      <c r="AP106" s="77" t="s">
        <v>216</v>
      </c>
      <c r="AQ106" s="18">
        <v>1687</v>
      </c>
      <c r="AR106" s="18">
        <v>2359</v>
      </c>
      <c r="AS106" s="18">
        <v>1611</v>
      </c>
      <c r="AT106" s="18">
        <v>1785</v>
      </c>
      <c r="AU106" s="18">
        <v>1062</v>
      </c>
      <c r="AV106" s="18">
        <v>1709</v>
      </c>
      <c r="AW106" s="18">
        <v>1390</v>
      </c>
      <c r="AX106" s="18">
        <v>2237</v>
      </c>
      <c r="AY106" s="18">
        <v>1745</v>
      </c>
      <c r="AZ106" s="18">
        <v>1257</v>
      </c>
      <c r="BA106" s="78">
        <v>2375</v>
      </c>
      <c r="BB106" s="18"/>
      <c r="BC106" s="18"/>
      <c r="BD106" s="18"/>
      <c r="BE106" s="18"/>
      <c r="BF106" s="18"/>
      <c r="BG106" s="18"/>
      <c r="BH106" s="18"/>
      <c r="BI106" s="18"/>
      <c r="BJ106" s="18"/>
      <c r="BK106" s="18"/>
      <c r="BL106" s="18"/>
      <c r="BM106" s="18"/>
      <c r="BN106" s="18"/>
      <c r="BO106" s="18"/>
      <c r="BP106" s="18"/>
      <c r="BQ106" s="37">
        <v>43131</v>
      </c>
      <c r="BR106" s="38">
        <v>38311.275699999998</v>
      </c>
      <c r="BS106" s="17"/>
      <c r="BT106" s="37">
        <v>43131</v>
      </c>
      <c r="BU106" s="38">
        <v>2605</v>
      </c>
      <c r="BV106" s="18"/>
      <c r="BW106" s="37"/>
      <c r="BX106" s="38"/>
      <c r="BY106" s="18"/>
      <c r="BZ106" s="39">
        <v>43131</v>
      </c>
      <c r="CA106" s="40">
        <v>38311.275699999998</v>
      </c>
      <c r="CB106" s="17"/>
      <c r="CC106" s="39">
        <v>43131</v>
      </c>
      <c r="CD106" s="40">
        <v>26.05</v>
      </c>
      <c r="CE106" s="18"/>
      <c r="CF106" s="18"/>
      <c r="CG106" s="18"/>
      <c r="CH106" s="18"/>
      <c r="CI106" s="18"/>
      <c r="CJ106" s="18"/>
      <c r="CK106" s="18"/>
      <c r="CL106" s="18"/>
      <c r="CM106" s="18"/>
      <c r="CN106" s="18"/>
      <c r="CO106" s="18"/>
      <c r="CP106" s="18"/>
      <c r="CQ106" s="18"/>
      <c r="CR106" s="18"/>
      <c r="CS106" s="18"/>
      <c r="CT106" s="18"/>
      <c r="CU106" s="18"/>
      <c r="CV106" s="18"/>
      <c r="CW106" s="18"/>
      <c r="CX106" s="18"/>
      <c r="CY106" s="37">
        <v>44908</v>
      </c>
      <c r="CZ106" s="38">
        <v>18.332599999999999</v>
      </c>
      <c r="DA106" s="18"/>
      <c r="DB106" s="37">
        <v>44001</v>
      </c>
      <c r="DC106" s="38">
        <v>18.197500000000002</v>
      </c>
      <c r="DD106" s="18"/>
      <c r="DE106" s="37">
        <v>44001</v>
      </c>
      <c r="DF106" s="38">
        <v>17.331600000000002</v>
      </c>
      <c r="DG106" s="18"/>
      <c r="DH106" s="37">
        <v>44001</v>
      </c>
      <c r="DI106" s="38">
        <v>21.405100000000001</v>
      </c>
      <c r="DJ106" s="18"/>
      <c r="DK106" s="37">
        <v>44001</v>
      </c>
      <c r="DL106" s="38">
        <v>0.16209999999999999</v>
      </c>
      <c r="DM106" s="18"/>
      <c r="DN106" s="18"/>
      <c r="DO106" s="18"/>
      <c r="DP106" s="18"/>
      <c r="DQ106" s="18"/>
      <c r="DR106" s="18"/>
      <c r="DS106" s="18"/>
      <c r="DT106" s="18"/>
      <c r="DU106" s="18"/>
      <c r="DV106" s="18"/>
      <c r="DW106" s="18"/>
      <c r="DX106" s="18"/>
      <c r="DY106" s="18"/>
      <c r="DZ106" s="18"/>
    </row>
    <row r="107" spans="1:130" ht="15" customHeight="1" x14ac:dyDescent="0.3">
      <c r="A107" s="30" t="s">
        <v>1803</v>
      </c>
      <c r="B107" s="73" t="s">
        <v>1806</v>
      </c>
      <c r="C107" s="74">
        <v>1105</v>
      </c>
      <c r="D107" s="74">
        <v>1851</v>
      </c>
      <c r="E107" s="74">
        <v>1112</v>
      </c>
      <c r="F107" s="74">
        <v>1782</v>
      </c>
      <c r="G107" s="74">
        <v>1054</v>
      </c>
      <c r="H107" s="74">
        <v>1632</v>
      </c>
      <c r="I107" s="74">
        <v>1316</v>
      </c>
      <c r="J107" s="74">
        <v>1207</v>
      </c>
      <c r="K107" s="74">
        <v>1234</v>
      </c>
      <c r="L107" s="74">
        <v>877</v>
      </c>
      <c r="M107" s="75">
        <v>1141</v>
      </c>
      <c r="N107" s="17"/>
      <c r="O107" s="17"/>
      <c r="P107" s="17"/>
      <c r="Q107" s="17"/>
      <c r="R107" s="17"/>
      <c r="S107" s="17"/>
      <c r="T107" s="17"/>
      <c r="U107" s="18"/>
      <c r="V107" s="18"/>
      <c r="W107" s="18"/>
      <c r="X107" s="18"/>
      <c r="Y107" s="18"/>
      <c r="Z107" s="18"/>
      <c r="AA107" s="18"/>
      <c r="AB107" s="18"/>
      <c r="AC107" s="18"/>
      <c r="AD107" s="18"/>
      <c r="AE107" s="18"/>
      <c r="AF107" s="85"/>
      <c r="AG107" s="85"/>
      <c r="AH107" s="85"/>
      <c r="AI107" s="85"/>
      <c r="AJ107" s="85"/>
      <c r="AK107" s="85"/>
      <c r="AL107" s="85"/>
      <c r="AM107" s="85"/>
      <c r="AN107" s="18"/>
      <c r="AO107" s="18"/>
      <c r="AP107" s="77"/>
      <c r="AQ107" s="18"/>
      <c r="AR107" s="18"/>
      <c r="AS107" s="18"/>
      <c r="AT107" s="18"/>
      <c r="AU107" s="18"/>
      <c r="AV107" s="18"/>
      <c r="AW107" s="18"/>
      <c r="AX107" s="18"/>
      <c r="AY107" s="18"/>
      <c r="AZ107" s="18"/>
      <c r="BA107" s="78"/>
      <c r="BB107" s="18"/>
      <c r="BC107" s="18"/>
      <c r="BD107" s="18"/>
      <c r="BE107" s="18"/>
      <c r="BF107" s="18"/>
      <c r="BG107" s="18"/>
      <c r="BH107" s="18"/>
      <c r="BI107" s="18"/>
      <c r="BJ107" s="18"/>
      <c r="BK107" s="18"/>
      <c r="BL107" s="18"/>
      <c r="BM107" s="18"/>
      <c r="BN107" s="18"/>
      <c r="BO107" s="18"/>
      <c r="BP107" s="18"/>
      <c r="BQ107" s="37">
        <v>43159</v>
      </c>
      <c r="BR107" s="38">
        <v>37502.400399999999</v>
      </c>
      <c r="BS107" s="17"/>
      <c r="BT107" s="37">
        <v>43159</v>
      </c>
      <c r="BU107" s="38">
        <v>2550</v>
      </c>
      <c r="BV107" s="18"/>
      <c r="BW107" s="37"/>
      <c r="BX107" s="38"/>
      <c r="BY107" s="18"/>
      <c r="BZ107" s="39">
        <v>43159</v>
      </c>
      <c r="CA107" s="40">
        <v>37502.400399999999</v>
      </c>
      <c r="CB107" s="17"/>
      <c r="CC107" s="39">
        <v>43159</v>
      </c>
      <c r="CD107" s="40">
        <v>25.5</v>
      </c>
      <c r="CE107" s="18"/>
      <c r="CF107" s="18"/>
      <c r="CG107" s="18"/>
      <c r="CH107" s="18"/>
      <c r="CI107" s="18"/>
      <c r="CJ107" s="18"/>
      <c r="CK107" s="18"/>
      <c r="CL107" s="18"/>
      <c r="CM107" s="18"/>
      <c r="CN107" s="18"/>
      <c r="CO107" s="18"/>
      <c r="CP107" s="18"/>
      <c r="CQ107" s="18"/>
      <c r="CR107" s="18"/>
      <c r="CS107" s="18"/>
      <c r="CT107" s="18"/>
      <c r="CU107" s="18"/>
      <c r="CV107" s="18"/>
      <c r="CW107" s="18"/>
      <c r="CX107" s="18"/>
      <c r="CY107" s="37">
        <v>44909</v>
      </c>
      <c r="CZ107" s="38">
        <v>18.334199999999999</v>
      </c>
      <c r="DA107" s="18"/>
      <c r="DB107" s="37">
        <v>44004</v>
      </c>
      <c r="DC107" s="38">
        <v>18.2818</v>
      </c>
      <c r="DD107" s="18"/>
      <c r="DE107" s="37">
        <v>44004</v>
      </c>
      <c r="DF107" s="38">
        <v>17.324000000000002</v>
      </c>
      <c r="DG107" s="18"/>
      <c r="DH107" s="37">
        <v>44004</v>
      </c>
      <c r="DI107" s="38">
        <v>21.6053</v>
      </c>
      <c r="DJ107" s="18"/>
      <c r="DK107" s="37">
        <v>44004</v>
      </c>
      <c r="DL107" s="38">
        <v>0.16209999999999999</v>
      </c>
      <c r="DM107" s="18"/>
      <c r="DN107" s="18"/>
      <c r="DO107" s="18"/>
      <c r="DP107" s="18"/>
      <c r="DQ107" s="18"/>
      <c r="DR107" s="18"/>
      <c r="DS107" s="18"/>
      <c r="DT107" s="18"/>
      <c r="DU107" s="18"/>
      <c r="DV107" s="18"/>
      <c r="DW107" s="18"/>
      <c r="DX107" s="18"/>
      <c r="DY107" s="18"/>
      <c r="DZ107" s="18"/>
    </row>
    <row r="108" spans="1:130" ht="15" customHeight="1" x14ac:dyDescent="0.3">
      <c r="A108" s="30"/>
      <c r="B108" s="613" t="s">
        <v>1804</v>
      </c>
      <c r="C108" s="614">
        <v>1105</v>
      </c>
      <c r="D108" s="614">
        <v>1851</v>
      </c>
      <c r="E108" s="614">
        <v>1112</v>
      </c>
      <c r="F108" s="614">
        <v>1782</v>
      </c>
      <c r="G108" s="614">
        <v>1054</v>
      </c>
      <c r="H108" s="614">
        <v>1632</v>
      </c>
      <c r="I108" s="614">
        <v>1316</v>
      </c>
      <c r="J108" s="614">
        <v>1207</v>
      </c>
      <c r="K108" s="614">
        <v>1234</v>
      </c>
      <c r="L108" s="614">
        <v>877</v>
      </c>
      <c r="M108" s="615">
        <v>1141</v>
      </c>
      <c r="N108" s="17"/>
      <c r="O108" s="17"/>
      <c r="P108" s="17"/>
      <c r="Q108" s="17"/>
      <c r="R108" s="17"/>
      <c r="S108" s="17"/>
      <c r="T108" s="17"/>
      <c r="U108" s="18"/>
      <c r="V108" s="18"/>
      <c r="W108" s="18"/>
      <c r="X108" s="18"/>
      <c r="Y108" s="18"/>
      <c r="Z108" s="18"/>
      <c r="AA108" s="18"/>
      <c r="AB108" s="18"/>
      <c r="AC108" s="18"/>
      <c r="AD108" s="18"/>
      <c r="AE108" s="18"/>
      <c r="AF108" s="85"/>
      <c r="AG108" s="85"/>
      <c r="AH108" s="85"/>
      <c r="AI108" s="85"/>
      <c r="AJ108" s="85"/>
      <c r="AK108" s="85"/>
      <c r="AL108" s="85"/>
      <c r="AM108" s="85"/>
      <c r="AN108" s="18"/>
      <c r="AO108" s="18"/>
      <c r="AP108" s="77"/>
      <c r="AQ108" s="18"/>
      <c r="AR108" s="18"/>
      <c r="AS108" s="18"/>
      <c r="AT108" s="18"/>
      <c r="AU108" s="18"/>
      <c r="AV108" s="18"/>
      <c r="AW108" s="18"/>
      <c r="AX108" s="18"/>
      <c r="AY108" s="18"/>
      <c r="AZ108" s="18"/>
      <c r="BA108" s="78"/>
      <c r="BB108" s="18"/>
      <c r="BC108" s="18"/>
      <c r="BD108" s="18"/>
      <c r="BE108" s="18"/>
      <c r="BF108" s="18"/>
      <c r="BG108" s="18"/>
      <c r="BH108" s="18"/>
      <c r="BI108" s="18"/>
      <c r="BJ108" s="18"/>
      <c r="BK108" s="18"/>
      <c r="BL108" s="18"/>
      <c r="BM108" s="18"/>
      <c r="BN108" s="18"/>
      <c r="BO108" s="18"/>
      <c r="BP108" s="18"/>
      <c r="BQ108" s="37">
        <v>43188</v>
      </c>
      <c r="BR108" s="38">
        <v>41179.106399999997</v>
      </c>
      <c r="BS108" s="17"/>
      <c r="BT108" s="37">
        <v>43188</v>
      </c>
      <c r="BU108" s="38">
        <v>2800</v>
      </c>
      <c r="BV108" s="18"/>
      <c r="BW108" s="37"/>
      <c r="BX108" s="38"/>
      <c r="BY108" s="18"/>
      <c r="BZ108" s="39">
        <v>43188</v>
      </c>
      <c r="CA108" s="40">
        <v>41179.106399999997</v>
      </c>
      <c r="CB108" s="17"/>
      <c r="CC108" s="39">
        <v>43188</v>
      </c>
      <c r="CD108" s="40">
        <v>28</v>
      </c>
      <c r="CE108" s="18"/>
      <c r="CF108" s="18"/>
      <c r="CG108" s="18"/>
      <c r="CH108" s="18"/>
      <c r="CI108" s="18"/>
      <c r="CJ108" s="18"/>
      <c r="CK108" s="18"/>
      <c r="CL108" s="18"/>
      <c r="CM108" s="18"/>
      <c r="CN108" s="18"/>
      <c r="CO108" s="18"/>
      <c r="CP108" s="18"/>
      <c r="CQ108" s="18"/>
      <c r="CR108" s="18"/>
      <c r="CS108" s="18"/>
      <c r="CT108" s="18"/>
      <c r="CU108" s="18"/>
      <c r="CV108" s="18"/>
      <c r="CW108" s="18"/>
      <c r="CX108" s="18"/>
      <c r="CY108" s="37">
        <v>44910</v>
      </c>
      <c r="CZ108" s="38">
        <v>18.632999999999999</v>
      </c>
      <c r="DA108" s="18"/>
      <c r="DB108" s="37">
        <v>44005</v>
      </c>
      <c r="DC108" s="38">
        <v>18.2514</v>
      </c>
      <c r="DD108" s="18"/>
      <c r="DE108" s="37">
        <v>44005</v>
      </c>
      <c r="DF108" s="38">
        <v>17.2439</v>
      </c>
      <c r="DG108" s="18"/>
      <c r="DH108" s="37">
        <v>44005</v>
      </c>
      <c r="DI108" s="38">
        <v>21.595500000000001</v>
      </c>
      <c r="DJ108" s="18"/>
      <c r="DK108" s="37">
        <v>44005</v>
      </c>
      <c r="DL108" s="38">
        <v>0.16189999999999999</v>
      </c>
      <c r="DM108" s="18"/>
      <c r="DN108" s="18"/>
      <c r="DO108" s="18"/>
      <c r="DP108" s="18"/>
      <c r="DQ108" s="18"/>
      <c r="DR108" s="18"/>
      <c r="DS108" s="18"/>
      <c r="DT108" s="18"/>
      <c r="DU108" s="18"/>
      <c r="DV108" s="18"/>
      <c r="DW108" s="18"/>
      <c r="DX108" s="18"/>
      <c r="DY108" s="18"/>
      <c r="DZ108" s="18"/>
    </row>
    <row r="109" spans="1:130" ht="15" customHeight="1" x14ac:dyDescent="0.3">
      <c r="A109" s="30"/>
      <c r="B109" s="616" t="s">
        <v>1802</v>
      </c>
      <c r="C109" s="617">
        <v>582</v>
      </c>
      <c r="D109" s="617">
        <v>508</v>
      </c>
      <c r="E109" s="617">
        <v>499</v>
      </c>
      <c r="F109" s="617">
        <v>3</v>
      </c>
      <c r="G109" s="617">
        <v>8</v>
      </c>
      <c r="H109" s="617">
        <v>77</v>
      </c>
      <c r="I109" s="617">
        <v>74</v>
      </c>
      <c r="J109" s="617">
        <v>0</v>
      </c>
      <c r="K109" s="617">
        <v>0</v>
      </c>
      <c r="L109" s="617">
        <v>0</v>
      </c>
      <c r="M109" s="618">
        <v>0</v>
      </c>
      <c r="N109" s="17"/>
      <c r="O109" s="17"/>
      <c r="P109" s="17"/>
      <c r="Q109" s="17"/>
      <c r="R109" s="17"/>
      <c r="S109" s="17"/>
      <c r="T109" s="17"/>
      <c r="U109" s="18"/>
      <c r="V109" s="18"/>
      <c r="W109" s="18"/>
      <c r="X109" s="18"/>
      <c r="Y109" s="18"/>
      <c r="Z109" s="18"/>
      <c r="AA109" s="18"/>
      <c r="AB109" s="18"/>
      <c r="AC109" s="18"/>
      <c r="AD109" s="18"/>
      <c r="AE109" s="18"/>
      <c r="AF109" s="85"/>
      <c r="AG109" s="85"/>
      <c r="AH109" s="85"/>
      <c r="AI109" s="85"/>
      <c r="AJ109" s="85"/>
      <c r="AK109" s="85"/>
      <c r="AL109" s="85"/>
      <c r="AM109" s="85"/>
      <c r="AN109" s="18"/>
      <c r="AO109" s="18"/>
      <c r="AP109" s="77"/>
      <c r="AQ109" s="18"/>
      <c r="AR109" s="18"/>
      <c r="AS109" s="18"/>
      <c r="AT109" s="18"/>
      <c r="AU109" s="18"/>
      <c r="AV109" s="18"/>
      <c r="AW109" s="18"/>
      <c r="AX109" s="18"/>
      <c r="AY109" s="18"/>
      <c r="AZ109" s="18"/>
      <c r="BA109" s="78"/>
      <c r="BB109" s="18"/>
      <c r="BC109" s="18"/>
      <c r="BD109" s="18"/>
      <c r="BE109" s="18"/>
      <c r="BF109" s="18"/>
      <c r="BG109" s="18"/>
      <c r="BH109" s="18"/>
      <c r="BI109" s="18"/>
      <c r="BJ109" s="18"/>
      <c r="BK109" s="18"/>
      <c r="BL109" s="18"/>
      <c r="BM109" s="18"/>
      <c r="BN109" s="18"/>
      <c r="BO109" s="18"/>
      <c r="BP109" s="18"/>
      <c r="BQ109" s="37">
        <v>43220</v>
      </c>
      <c r="BR109" s="38">
        <v>45576.446600000003</v>
      </c>
      <c r="BS109" s="17"/>
      <c r="BT109" s="37">
        <v>43220</v>
      </c>
      <c r="BU109" s="38">
        <v>3099</v>
      </c>
      <c r="BV109" s="18"/>
      <c r="BW109" s="37"/>
      <c r="BX109" s="38"/>
      <c r="BY109" s="18"/>
      <c r="BZ109" s="39">
        <v>43220</v>
      </c>
      <c r="CA109" s="40">
        <v>45576.446600000003</v>
      </c>
      <c r="CB109" s="17"/>
      <c r="CC109" s="39">
        <v>43220</v>
      </c>
      <c r="CD109" s="40">
        <v>30.990000000000002</v>
      </c>
      <c r="CE109" s="18"/>
      <c r="CF109" s="18"/>
      <c r="CG109" s="18"/>
      <c r="CH109" s="18"/>
      <c r="CI109" s="18"/>
      <c r="CJ109" s="18"/>
      <c r="CK109" s="18"/>
      <c r="CL109" s="18"/>
      <c r="CM109" s="18"/>
      <c r="CN109" s="18"/>
      <c r="CO109" s="18"/>
      <c r="CP109" s="18"/>
      <c r="CQ109" s="18"/>
      <c r="CR109" s="18"/>
      <c r="CS109" s="18"/>
      <c r="CT109" s="18"/>
      <c r="CU109" s="18"/>
      <c r="CV109" s="18"/>
      <c r="CW109" s="18"/>
      <c r="CX109" s="18"/>
      <c r="CY109" s="37">
        <v>44914</v>
      </c>
      <c r="CZ109" s="38">
        <v>18.405200000000001</v>
      </c>
      <c r="DA109" s="18"/>
      <c r="DB109" s="37">
        <v>44006</v>
      </c>
      <c r="DC109" s="38">
        <v>18.3508</v>
      </c>
      <c r="DD109" s="18"/>
      <c r="DE109" s="37">
        <v>44006</v>
      </c>
      <c r="DF109" s="38">
        <v>17.376100000000001</v>
      </c>
      <c r="DG109" s="18"/>
      <c r="DH109" s="37">
        <v>44006</v>
      </c>
      <c r="DI109" s="38">
        <v>21.607700000000001</v>
      </c>
      <c r="DJ109" s="18"/>
      <c r="DK109" s="37">
        <v>44006</v>
      </c>
      <c r="DL109" s="38">
        <v>0.16239999999999999</v>
      </c>
      <c r="DM109" s="18"/>
      <c r="DN109" s="18"/>
      <c r="DO109" s="18"/>
      <c r="DP109" s="18"/>
      <c r="DQ109" s="18"/>
      <c r="DR109" s="18"/>
      <c r="DS109" s="18"/>
      <c r="DT109" s="18"/>
      <c r="DU109" s="18"/>
      <c r="DV109" s="18"/>
      <c r="DW109" s="18"/>
      <c r="DX109" s="18"/>
      <c r="DY109" s="18"/>
      <c r="DZ109" s="18"/>
    </row>
    <row r="110" spans="1:130" ht="15" customHeight="1" x14ac:dyDescent="0.3">
      <c r="A110" s="30" t="s">
        <v>825</v>
      </c>
      <c r="B110" s="73" t="s">
        <v>826</v>
      </c>
      <c r="C110" s="74" t="s">
        <v>615</v>
      </c>
      <c r="D110" s="74" t="s">
        <v>615</v>
      </c>
      <c r="E110" s="74" t="s">
        <v>615</v>
      </c>
      <c r="F110" s="74">
        <v>3</v>
      </c>
      <c r="G110" s="74">
        <v>8</v>
      </c>
      <c r="H110" s="74">
        <v>77</v>
      </c>
      <c r="I110" s="74">
        <v>74</v>
      </c>
      <c r="J110" s="74" t="s">
        <v>615</v>
      </c>
      <c r="K110" s="74" t="s">
        <v>615</v>
      </c>
      <c r="L110" s="74" t="s">
        <v>615</v>
      </c>
      <c r="M110" s="75" t="s">
        <v>615</v>
      </c>
      <c r="N110" s="17"/>
      <c r="O110" s="17"/>
      <c r="P110" s="17"/>
      <c r="Q110" s="17"/>
      <c r="R110" s="17"/>
      <c r="S110" s="17"/>
      <c r="T110" s="17"/>
      <c r="U110" s="18"/>
      <c r="V110" s="18"/>
      <c r="W110" s="18"/>
      <c r="X110" s="18"/>
      <c r="Y110" s="18"/>
      <c r="Z110" s="18"/>
      <c r="AA110" s="18"/>
      <c r="AB110" s="18"/>
      <c r="AC110" s="18"/>
      <c r="AD110" s="18"/>
      <c r="AE110" s="18"/>
      <c r="AF110" s="85"/>
      <c r="AG110" s="85"/>
      <c r="AH110" s="85"/>
      <c r="AI110" s="85"/>
      <c r="AJ110" s="85"/>
      <c r="AK110" s="85"/>
      <c r="AL110" s="85"/>
      <c r="AM110" s="85"/>
      <c r="AN110" s="18"/>
      <c r="AO110" s="18"/>
      <c r="AP110" s="77"/>
      <c r="AQ110" s="18"/>
      <c r="AR110" s="18"/>
      <c r="AS110" s="18"/>
      <c r="AT110" s="18"/>
      <c r="AU110" s="18"/>
      <c r="AV110" s="18"/>
      <c r="AW110" s="18"/>
      <c r="AX110" s="18"/>
      <c r="AY110" s="18"/>
      <c r="AZ110" s="18"/>
      <c r="BA110" s="78"/>
      <c r="BB110" s="18"/>
      <c r="BC110" s="18"/>
      <c r="BD110" s="18"/>
      <c r="BE110" s="18"/>
      <c r="BF110" s="18"/>
      <c r="BG110" s="18"/>
      <c r="BH110" s="18"/>
      <c r="BI110" s="18"/>
      <c r="BJ110" s="18"/>
      <c r="BK110" s="18"/>
      <c r="BL110" s="18"/>
      <c r="BM110" s="18"/>
      <c r="BN110" s="18"/>
      <c r="BO110" s="18"/>
      <c r="BP110" s="18"/>
      <c r="BQ110" s="37">
        <v>43251</v>
      </c>
      <c r="BR110" s="38">
        <v>43546.904999999999</v>
      </c>
      <c r="BS110" s="17"/>
      <c r="BT110" s="37">
        <v>43251</v>
      </c>
      <c r="BU110" s="38">
        <v>2961</v>
      </c>
      <c r="BV110" s="18"/>
      <c r="BW110" s="37"/>
      <c r="BX110" s="38"/>
      <c r="BY110" s="18"/>
      <c r="BZ110" s="39">
        <v>43251</v>
      </c>
      <c r="CA110" s="40">
        <v>43546.904999999999</v>
      </c>
      <c r="CB110" s="17"/>
      <c r="CC110" s="39">
        <v>43251</v>
      </c>
      <c r="CD110" s="40">
        <v>29.61</v>
      </c>
      <c r="CE110" s="18"/>
      <c r="CF110" s="18"/>
      <c r="CG110" s="18"/>
      <c r="CH110" s="18"/>
      <c r="CI110" s="18"/>
      <c r="CJ110" s="18"/>
      <c r="CK110" s="18"/>
      <c r="CL110" s="18"/>
      <c r="CM110" s="18"/>
      <c r="CN110" s="18"/>
      <c r="CO110" s="18"/>
      <c r="CP110" s="18"/>
      <c r="CQ110" s="18"/>
      <c r="CR110" s="18"/>
      <c r="CS110" s="18"/>
      <c r="CT110" s="18"/>
      <c r="CU110" s="18"/>
      <c r="CV110" s="18"/>
      <c r="CW110" s="18"/>
      <c r="CX110" s="18"/>
      <c r="CY110" s="37">
        <v>44915</v>
      </c>
      <c r="CZ110" s="38">
        <v>18.404399999999999</v>
      </c>
      <c r="DA110" s="18"/>
      <c r="DB110" s="37">
        <v>44007</v>
      </c>
      <c r="DC110" s="38">
        <v>18.078399999999998</v>
      </c>
      <c r="DD110" s="18"/>
      <c r="DE110" s="37">
        <v>44007</v>
      </c>
      <c r="DF110" s="38">
        <v>17.149000000000001</v>
      </c>
      <c r="DG110" s="18"/>
      <c r="DH110" s="37">
        <v>44007</v>
      </c>
      <c r="DI110" s="38">
        <v>21.293700000000001</v>
      </c>
      <c r="DJ110" s="18"/>
      <c r="DK110" s="37">
        <v>44007</v>
      </c>
      <c r="DL110" s="38">
        <v>0.16</v>
      </c>
      <c r="DM110" s="18"/>
      <c r="DN110" s="18"/>
      <c r="DO110" s="18"/>
      <c r="DP110" s="18"/>
      <c r="DQ110" s="18"/>
      <c r="DR110" s="18"/>
      <c r="DS110" s="18"/>
      <c r="DT110" s="18"/>
      <c r="DU110" s="18"/>
      <c r="DV110" s="18"/>
      <c r="DW110" s="18"/>
      <c r="DX110" s="18"/>
      <c r="DY110" s="18"/>
      <c r="DZ110" s="18"/>
    </row>
    <row r="111" spans="1:130" ht="15" customHeight="1" x14ac:dyDescent="0.3">
      <c r="A111" s="30" t="s">
        <v>1796</v>
      </c>
      <c r="B111" s="73" t="s">
        <v>1797</v>
      </c>
      <c r="C111" s="74" t="s">
        <v>615</v>
      </c>
      <c r="D111" s="74" t="s">
        <v>615</v>
      </c>
      <c r="E111" s="74" t="s">
        <v>615</v>
      </c>
      <c r="F111" s="74" t="s">
        <v>615</v>
      </c>
      <c r="G111" s="74" t="s">
        <v>615</v>
      </c>
      <c r="H111" s="74" t="s">
        <v>615</v>
      </c>
      <c r="I111" s="74" t="s">
        <v>615</v>
      </c>
      <c r="J111" s="74" t="s">
        <v>615</v>
      </c>
      <c r="K111" s="74" t="s">
        <v>615</v>
      </c>
      <c r="L111" s="74" t="s">
        <v>615</v>
      </c>
      <c r="M111" s="75" t="s">
        <v>615</v>
      </c>
      <c r="N111" s="17"/>
      <c r="O111" s="17"/>
      <c r="P111" s="17"/>
      <c r="Q111" s="17"/>
      <c r="R111" s="17"/>
      <c r="S111" s="17"/>
      <c r="T111" s="17"/>
      <c r="U111" s="18"/>
      <c r="V111" s="18"/>
      <c r="W111" s="18"/>
      <c r="X111" s="18"/>
      <c r="Y111" s="18"/>
      <c r="Z111" s="18"/>
      <c r="AA111" s="18"/>
      <c r="AB111" s="18"/>
      <c r="AC111" s="18"/>
      <c r="AD111" s="18"/>
      <c r="AE111" s="18"/>
      <c r="AF111" s="85"/>
      <c r="AG111" s="85"/>
      <c r="AH111" s="85"/>
      <c r="AI111" s="85"/>
      <c r="AJ111" s="85"/>
      <c r="AK111" s="85"/>
      <c r="AL111" s="85"/>
      <c r="AM111" s="85"/>
      <c r="AN111" s="18"/>
      <c r="AO111" s="18"/>
      <c r="AP111" s="77"/>
      <c r="AQ111" s="18"/>
      <c r="AR111" s="18"/>
      <c r="AS111" s="18"/>
      <c r="AT111" s="18"/>
      <c r="AU111" s="18"/>
      <c r="AV111" s="18"/>
      <c r="AW111" s="18"/>
      <c r="AX111" s="18"/>
      <c r="AY111" s="18"/>
      <c r="AZ111" s="18"/>
      <c r="BA111" s="78"/>
      <c r="BB111" s="18"/>
      <c r="BC111" s="18"/>
      <c r="BD111" s="18"/>
      <c r="BE111" s="18"/>
      <c r="BF111" s="18"/>
      <c r="BG111" s="18"/>
      <c r="BH111" s="18"/>
      <c r="BI111" s="18"/>
      <c r="BJ111" s="18"/>
      <c r="BK111" s="18"/>
      <c r="BL111" s="18"/>
      <c r="BM111" s="18"/>
      <c r="BN111" s="18"/>
      <c r="BO111" s="18"/>
      <c r="BP111" s="18"/>
      <c r="BQ111" s="37">
        <v>43280</v>
      </c>
      <c r="BR111" s="38">
        <v>40629.290099999998</v>
      </c>
      <c r="BS111" s="17"/>
      <c r="BT111" s="37">
        <v>43280</v>
      </c>
      <c r="BU111" s="38">
        <v>2762</v>
      </c>
      <c r="BV111" s="18"/>
      <c r="BW111" s="37"/>
      <c r="BX111" s="38"/>
      <c r="BY111" s="18"/>
      <c r="BZ111" s="39">
        <v>43280</v>
      </c>
      <c r="CA111" s="40">
        <v>40629.290099999998</v>
      </c>
      <c r="CB111" s="17"/>
      <c r="CC111" s="39">
        <v>43280</v>
      </c>
      <c r="CD111" s="40">
        <v>27.62</v>
      </c>
      <c r="CE111" s="18"/>
      <c r="CF111" s="18"/>
      <c r="CG111" s="18"/>
      <c r="CH111" s="18"/>
      <c r="CI111" s="18"/>
      <c r="CJ111" s="18"/>
      <c r="CK111" s="18"/>
      <c r="CL111" s="18"/>
      <c r="CM111" s="18"/>
      <c r="CN111" s="18"/>
      <c r="CO111" s="18"/>
      <c r="CP111" s="18"/>
      <c r="CQ111" s="18"/>
      <c r="CR111" s="18"/>
      <c r="CS111" s="18"/>
      <c r="CT111" s="18"/>
      <c r="CU111" s="18"/>
      <c r="CV111" s="18"/>
      <c r="CW111" s="18"/>
      <c r="CX111" s="18"/>
      <c r="CY111" s="37">
        <v>44916</v>
      </c>
      <c r="CZ111" s="38">
        <v>18.238399999999999</v>
      </c>
      <c r="DA111" s="18"/>
      <c r="DB111" s="37">
        <v>44008</v>
      </c>
      <c r="DC111" s="38">
        <v>18.239599999999999</v>
      </c>
      <c r="DD111" s="18"/>
      <c r="DE111" s="37">
        <v>44008</v>
      </c>
      <c r="DF111" s="38">
        <v>17.2956</v>
      </c>
      <c r="DG111" s="18"/>
      <c r="DH111" s="37">
        <v>44008</v>
      </c>
      <c r="DI111" s="38">
        <v>21.315000000000001</v>
      </c>
      <c r="DJ111" s="18"/>
      <c r="DK111" s="37">
        <v>44008</v>
      </c>
      <c r="DL111" s="38">
        <v>0.16120000000000001</v>
      </c>
      <c r="DM111" s="18"/>
      <c r="DN111" s="18"/>
      <c r="DO111" s="18"/>
      <c r="DP111" s="18"/>
      <c r="DQ111" s="18"/>
      <c r="DR111" s="18"/>
      <c r="DS111" s="18"/>
      <c r="DT111" s="18"/>
      <c r="DU111" s="18"/>
      <c r="DV111" s="18"/>
      <c r="DW111" s="18"/>
      <c r="DX111" s="18"/>
      <c r="DY111" s="18"/>
      <c r="DZ111" s="18"/>
    </row>
    <row r="112" spans="1:130" ht="15" customHeight="1" x14ac:dyDescent="0.3">
      <c r="A112" s="30" t="s">
        <v>1798</v>
      </c>
      <c r="B112" s="73" t="s">
        <v>1799</v>
      </c>
      <c r="C112" s="74">
        <v>582</v>
      </c>
      <c r="D112" s="74">
        <v>508</v>
      </c>
      <c r="E112" s="74">
        <v>499</v>
      </c>
      <c r="F112" s="74" t="s">
        <v>615</v>
      </c>
      <c r="G112" s="74" t="s">
        <v>615</v>
      </c>
      <c r="H112" s="74" t="s">
        <v>615</v>
      </c>
      <c r="I112" s="74" t="s">
        <v>615</v>
      </c>
      <c r="J112" s="74" t="s">
        <v>615</v>
      </c>
      <c r="K112" s="74" t="s">
        <v>615</v>
      </c>
      <c r="L112" s="74" t="s">
        <v>615</v>
      </c>
      <c r="M112" s="75" t="s">
        <v>615</v>
      </c>
      <c r="N112" s="17"/>
      <c r="O112" s="17"/>
      <c r="P112" s="17"/>
      <c r="Q112" s="17"/>
      <c r="R112" s="17"/>
      <c r="S112" s="17"/>
      <c r="T112" s="17"/>
      <c r="U112" s="18"/>
      <c r="V112" s="18"/>
      <c r="W112" s="18"/>
      <c r="X112" s="18"/>
      <c r="Y112" s="18"/>
      <c r="Z112" s="18"/>
      <c r="AA112" s="18"/>
      <c r="AB112" s="18"/>
      <c r="AC112" s="18"/>
      <c r="AD112" s="18"/>
      <c r="AE112" s="18"/>
      <c r="AF112" s="85"/>
      <c r="AG112" s="85"/>
      <c r="AH112" s="85"/>
      <c r="AI112" s="85"/>
      <c r="AJ112" s="85"/>
      <c r="AK112" s="85"/>
      <c r="AL112" s="85"/>
      <c r="AM112" s="85"/>
      <c r="AN112" s="18"/>
      <c r="AO112" s="18"/>
      <c r="AP112" s="77"/>
      <c r="AQ112" s="18"/>
      <c r="AR112" s="18"/>
      <c r="AS112" s="18"/>
      <c r="AT112" s="18"/>
      <c r="AU112" s="18"/>
      <c r="AV112" s="18"/>
      <c r="AW112" s="18"/>
      <c r="AX112" s="18"/>
      <c r="AY112" s="18"/>
      <c r="AZ112" s="18"/>
      <c r="BA112" s="78"/>
      <c r="BB112" s="18"/>
      <c r="BC112" s="18"/>
      <c r="BD112" s="18"/>
      <c r="BE112" s="18"/>
      <c r="BF112" s="18"/>
      <c r="BG112" s="18"/>
      <c r="BH112" s="18"/>
      <c r="BI112" s="18"/>
      <c r="BJ112" s="18"/>
      <c r="BK112" s="18"/>
      <c r="BL112" s="18"/>
      <c r="BM112" s="18"/>
      <c r="BN112" s="18"/>
      <c r="BO112" s="18"/>
      <c r="BP112" s="18"/>
      <c r="BQ112" s="37">
        <v>43312</v>
      </c>
      <c r="BR112" s="38">
        <v>39776.104399999997</v>
      </c>
      <c r="BS112" s="17"/>
      <c r="BT112" s="37">
        <v>43312</v>
      </c>
      <c r="BU112" s="38">
        <v>2704</v>
      </c>
      <c r="BV112" s="18"/>
      <c r="BW112" s="37"/>
      <c r="BX112" s="38"/>
      <c r="BY112" s="18"/>
      <c r="BZ112" s="39">
        <v>43312</v>
      </c>
      <c r="CA112" s="40">
        <v>39776.104399999997</v>
      </c>
      <c r="CB112" s="17"/>
      <c r="CC112" s="39">
        <v>43312</v>
      </c>
      <c r="CD112" s="40">
        <v>27.04</v>
      </c>
      <c r="CE112" s="18"/>
      <c r="CF112" s="18"/>
      <c r="CG112" s="18"/>
      <c r="CH112" s="18"/>
      <c r="CI112" s="18"/>
      <c r="CJ112" s="18"/>
      <c r="CK112" s="18"/>
      <c r="CL112" s="18"/>
      <c r="CM112" s="18"/>
      <c r="CN112" s="18"/>
      <c r="CO112" s="18"/>
      <c r="CP112" s="18"/>
      <c r="CQ112" s="18"/>
      <c r="CR112" s="18"/>
      <c r="CS112" s="18"/>
      <c r="CT112" s="18"/>
      <c r="CU112" s="18"/>
      <c r="CV112" s="18"/>
      <c r="CW112" s="18"/>
      <c r="CX112" s="18"/>
      <c r="CY112" s="37">
        <v>44917</v>
      </c>
      <c r="CZ112" s="38">
        <v>18.188300000000002</v>
      </c>
      <c r="DA112" s="18"/>
      <c r="DB112" s="37">
        <v>44011</v>
      </c>
      <c r="DC112" s="38">
        <v>18.160900000000002</v>
      </c>
      <c r="DD112" s="18"/>
      <c r="DE112" s="37">
        <v>44011</v>
      </c>
      <c r="DF112" s="38">
        <v>17.273800000000001</v>
      </c>
      <c r="DG112" s="18"/>
      <c r="DH112" s="37">
        <v>44011</v>
      </c>
      <c r="DI112" s="38">
        <v>21.248699999999999</v>
      </c>
      <c r="DJ112" s="18"/>
      <c r="DK112" s="37">
        <v>44011</v>
      </c>
      <c r="DL112" s="38">
        <v>0.16059999999999999</v>
      </c>
      <c r="DM112" s="18"/>
      <c r="DN112" s="18"/>
      <c r="DO112" s="18"/>
      <c r="DP112" s="18"/>
      <c r="DQ112" s="18"/>
      <c r="DR112" s="18"/>
      <c r="DS112" s="18"/>
      <c r="DT112" s="18"/>
      <c r="DU112" s="18"/>
      <c r="DV112" s="18"/>
      <c r="DW112" s="18"/>
      <c r="DX112" s="18"/>
      <c r="DY112" s="18"/>
      <c r="DZ112" s="18"/>
    </row>
    <row r="113" spans="1:130" ht="15" customHeight="1" x14ac:dyDescent="0.3">
      <c r="A113" s="30" t="s">
        <v>168</v>
      </c>
      <c r="B113" s="73" t="s">
        <v>45</v>
      </c>
      <c r="C113" s="74">
        <v>2270</v>
      </c>
      <c r="D113" s="74">
        <v>2187</v>
      </c>
      <c r="E113" s="74">
        <v>2356</v>
      </c>
      <c r="F113" s="74">
        <v>2183</v>
      </c>
      <c r="G113" s="74">
        <v>1953</v>
      </c>
      <c r="H113" s="74">
        <v>4193</v>
      </c>
      <c r="I113" s="74">
        <v>3698</v>
      </c>
      <c r="J113" s="74">
        <v>3880</v>
      </c>
      <c r="K113" s="74">
        <v>3687</v>
      </c>
      <c r="L113" s="74">
        <v>3419</v>
      </c>
      <c r="M113" s="75">
        <v>2675</v>
      </c>
      <c r="N113" s="17"/>
      <c r="O113" s="17"/>
      <c r="P113" s="17"/>
      <c r="Q113" s="17"/>
      <c r="R113" s="17"/>
      <c r="S113" s="17"/>
      <c r="T113" s="17"/>
      <c r="U113" s="18"/>
      <c r="V113" s="18"/>
      <c r="W113" s="18"/>
      <c r="X113" s="18"/>
      <c r="Y113" s="18"/>
      <c r="Z113" s="18"/>
      <c r="AA113" s="18"/>
      <c r="AB113" s="18"/>
      <c r="AC113" s="18"/>
      <c r="AD113" s="18"/>
      <c r="AE113" s="18" t="s">
        <v>45</v>
      </c>
      <c r="AF113" s="85">
        <v>0</v>
      </c>
      <c r="AG113" s="85">
        <v>0</v>
      </c>
      <c r="AH113" s="85">
        <v>0</v>
      </c>
      <c r="AI113" s="85">
        <v>0</v>
      </c>
      <c r="AJ113" s="85">
        <v>0</v>
      </c>
      <c r="AK113" s="85">
        <v>0</v>
      </c>
      <c r="AL113" s="85">
        <v>0</v>
      </c>
      <c r="AM113" s="85">
        <v>0</v>
      </c>
      <c r="AN113" s="18"/>
      <c r="AO113" s="18"/>
      <c r="AP113" s="120" t="s">
        <v>424</v>
      </c>
      <c r="AQ113" s="86">
        <v>2270</v>
      </c>
      <c r="AR113" s="86">
        <v>2187</v>
      </c>
      <c r="AS113" s="86">
        <v>2356</v>
      </c>
      <c r="AT113" s="86">
        <v>2183</v>
      </c>
      <c r="AU113" s="86">
        <v>1953</v>
      </c>
      <c r="AV113" s="86">
        <v>4193</v>
      </c>
      <c r="AW113" s="86">
        <v>3698</v>
      </c>
      <c r="AX113" s="86">
        <v>3880</v>
      </c>
      <c r="AY113" s="86">
        <v>3687</v>
      </c>
      <c r="AZ113" s="86">
        <v>3419</v>
      </c>
      <c r="BA113" s="87">
        <v>2675</v>
      </c>
      <c r="BB113" s="18"/>
      <c r="BC113" s="18"/>
      <c r="BD113" s="18"/>
      <c r="BE113" s="18"/>
      <c r="BF113" s="18"/>
      <c r="BG113" s="18"/>
      <c r="BH113" s="18"/>
      <c r="BI113" s="18"/>
      <c r="BJ113" s="18"/>
      <c r="BK113" s="18"/>
      <c r="BL113" s="18"/>
      <c r="BM113" s="18"/>
      <c r="BN113" s="18"/>
      <c r="BO113" s="18"/>
      <c r="BP113" s="18"/>
      <c r="BQ113" s="37">
        <v>43343</v>
      </c>
      <c r="BR113" s="38">
        <v>43174.137000000002</v>
      </c>
      <c r="BS113" s="17"/>
      <c r="BT113" s="37">
        <v>43343</v>
      </c>
      <c r="BU113" s="38">
        <v>2935</v>
      </c>
      <c r="BV113" s="18"/>
      <c r="BW113" s="37"/>
      <c r="BX113" s="38"/>
      <c r="BY113" s="18"/>
      <c r="BZ113" s="39">
        <v>43343</v>
      </c>
      <c r="CA113" s="40">
        <v>43174.137000000002</v>
      </c>
      <c r="CB113" s="17"/>
      <c r="CC113" s="39">
        <v>43343</v>
      </c>
      <c r="CD113" s="40">
        <v>29.35</v>
      </c>
      <c r="CE113" s="18"/>
      <c r="CF113" s="18"/>
      <c r="CG113" s="18"/>
      <c r="CH113" s="18"/>
      <c r="CI113" s="18"/>
      <c r="CJ113" s="18"/>
      <c r="CK113" s="18"/>
      <c r="CL113" s="18"/>
      <c r="CM113" s="18"/>
      <c r="CN113" s="18"/>
      <c r="CO113" s="18"/>
      <c r="CP113" s="18"/>
      <c r="CQ113" s="18"/>
      <c r="CR113" s="18"/>
      <c r="CS113" s="18"/>
      <c r="CT113" s="18"/>
      <c r="CU113" s="18"/>
      <c r="CV113" s="18"/>
      <c r="CW113" s="18"/>
      <c r="CX113" s="18"/>
      <c r="CY113" s="37">
        <v>44918</v>
      </c>
      <c r="CZ113" s="38">
        <v>18.072500000000002</v>
      </c>
      <c r="DA113" s="18"/>
      <c r="DB113" s="37">
        <v>44012</v>
      </c>
      <c r="DC113" s="38">
        <v>18.3188</v>
      </c>
      <c r="DD113" s="18"/>
      <c r="DE113" s="37">
        <v>44012</v>
      </c>
      <c r="DF113" s="38">
        <v>17.351199999999999</v>
      </c>
      <c r="DG113" s="18"/>
      <c r="DH113" s="37">
        <v>44012</v>
      </c>
      <c r="DI113" s="38">
        <v>21.520700000000001</v>
      </c>
      <c r="DJ113" s="18"/>
      <c r="DK113" s="37">
        <v>44012</v>
      </c>
      <c r="DL113" s="38">
        <v>0.1608</v>
      </c>
      <c r="DM113" s="18"/>
      <c r="DN113" s="18"/>
      <c r="DO113" s="18"/>
      <c r="DP113" s="18"/>
      <c r="DQ113" s="18"/>
      <c r="DR113" s="18"/>
      <c r="DS113" s="18"/>
      <c r="DT113" s="18"/>
      <c r="DU113" s="18"/>
      <c r="DV113" s="18"/>
      <c r="DW113" s="18"/>
      <c r="DX113" s="18"/>
      <c r="DY113" s="18"/>
      <c r="DZ113" s="18"/>
    </row>
    <row r="114" spans="1:130" ht="15" customHeight="1" x14ac:dyDescent="0.3">
      <c r="A114" s="30" t="s">
        <v>370</v>
      </c>
      <c r="B114" s="90" t="s">
        <v>217</v>
      </c>
      <c r="C114" s="91">
        <v>5281</v>
      </c>
      <c r="D114" s="91">
        <v>5622</v>
      </c>
      <c r="E114" s="91">
        <v>5017</v>
      </c>
      <c r="F114" s="91">
        <v>5296</v>
      </c>
      <c r="G114" s="91">
        <v>4206</v>
      </c>
      <c r="H114" s="91">
        <v>7691</v>
      </c>
      <c r="I114" s="91">
        <v>7489</v>
      </c>
      <c r="J114" s="91">
        <v>8754</v>
      </c>
      <c r="K114" s="91">
        <v>7677</v>
      </c>
      <c r="L114" s="91">
        <v>6570</v>
      </c>
      <c r="M114" s="92">
        <v>6927</v>
      </c>
      <c r="N114" s="17"/>
      <c r="O114" s="17"/>
      <c r="P114" s="17"/>
      <c r="Q114" s="17"/>
      <c r="R114" s="17"/>
      <c r="S114" s="17"/>
      <c r="T114" s="17"/>
      <c r="U114" s="18"/>
      <c r="V114" s="18"/>
      <c r="W114" s="18"/>
      <c r="X114" s="18"/>
      <c r="Y114" s="18"/>
      <c r="Z114" s="18"/>
      <c r="AA114" s="18"/>
      <c r="AB114" s="18"/>
      <c r="AC114" s="18"/>
      <c r="AD114" s="18"/>
      <c r="AE114" s="18" t="s">
        <v>217</v>
      </c>
      <c r="AF114" s="85">
        <v>0</v>
      </c>
      <c r="AG114" s="85">
        <v>0</v>
      </c>
      <c r="AH114" s="85">
        <v>0</v>
      </c>
      <c r="AI114" s="85">
        <v>0</v>
      </c>
      <c r="AJ114" s="85">
        <v>0</v>
      </c>
      <c r="AK114" s="85">
        <v>0</v>
      </c>
      <c r="AL114" s="85">
        <v>0</v>
      </c>
      <c r="AM114" s="85">
        <v>0</v>
      </c>
      <c r="AN114" s="18"/>
      <c r="AO114" s="18"/>
      <c r="AP114" s="77" t="s">
        <v>217</v>
      </c>
      <c r="AQ114" s="18">
        <v>5281</v>
      </c>
      <c r="AR114" s="18">
        <v>5622</v>
      </c>
      <c r="AS114" s="18">
        <v>5017</v>
      </c>
      <c r="AT114" s="18">
        <v>5296</v>
      </c>
      <c r="AU114" s="18">
        <v>4206</v>
      </c>
      <c r="AV114" s="18">
        <v>7691</v>
      </c>
      <c r="AW114" s="18">
        <v>7489</v>
      </c>
      <c r="AX114" s="18">
        <v>8754</v>
      </c>
      <c r="AY114" s="18">
        <v>7677</v>
      </c>
      <c r="AZ114" s="18">
        <v>6570</v>
      </c>
      <c r="BA114" s="78">
        <v>6927</v>
      </c>
      <c r="BB114" s="18"/>
      <c r="BC114" s="18"/>
      <c r="BD114" s="18"/>
      <c r="BE114" s="18"/>
      <c r="BF114" s="18"/>
      <c r="BG114" s="18"/>
      <c r="BH114" s="18"/>
      <c r="BI114" s="18"/>
      <c r="BJ114" s="18"/>
      <c r="BK114" s="18"/>
      <c r="BL114" s="18"/>
      <c r="BM114" s="18"/>
      <c r="BN114" s="18"/>
      <c r="BO114" s="18"/>
      <c r="BP114" s="18"/>
      <c r="BQ114" s="37">
        <v>43371</v>
      </c>
      <c r="BR114" s="38">
        <v>35613.146699999998</v>
      </c>
      <c r="BS114" s="17"/>
      <c r="BT114" s="37">
        <v>43371</v>
      </c>
      <c r="BU114" s="38">
        <v>2421</v>
      </c>
      <c r="BV114" s="18"/>
      <c r="BW114" s="37"/>
      <c r="BX114" s="38"/>
      <c r="BY114" s="18"/>
      <c r="BZ114" s="39">
        <v>43371</v>
      </c>
      <c r="CA114" s="40">
        <v>35613.146699999998</v>
      </c>
      <c r="CB114" s="17"/>
      <c r="CC114" s="39">
        <v>43371</v>
      </c>
      <c r="CD114" s="40">
        <v>24.21</v>
      </c>
      <c r="CE114" s="18"/>
      <c r="CF114" s="18"/>
      <c r="CG114" s="18"/>
      <c r="CH114" s="18"/>
      <c r="CI114" s="18"/>
      <c r="CJ114" s="18"/>
      <c r="CK114" s="18"/>
      <c r="CL114" s="18"/>
      <c r="CM114" s="18"/>
      <c r="CN114" s="18"/>
      <c r="CO114" s="18"/>
      <c r="CP114" s="18"/>
      <c r="CQ114" s="18"/>
      <c r="CR114" s="18"/>
      <c r="CS114" s="18"/>
      <c r="CT114" s="18"/>
      <c r="CU114" s="18"/>
      <c r="CV114" s="18"/>
      <c r="CW114" s="18"/>
      <c r="CX114" s="18"/>
      <c r="CY114" s="37">
        <v>44923</v>
      </c>
      <c r="CZ114" s="38">
        <v>18.204799999999999</v>
      </c>
      <c r="DA114" s="18"/>
      <c r="DB114" s="37">
        <v>44013</v>
      </c>
      <c r="DC114" s="38">
        <v>18.0395</v>
      </c>
      <c r="DD114" s="18"/>
      <c r="DE114" s="37">
        <v>44013</v>
      </c>
      <c r="DF114" s="38">
        <v>17.046099999999999</v>
      </c>
      <c r="DG114" s="18"/>
      <c r="DH114" s="37">
        <v>44013</v>
      </c>
      <c r="DI114" s="38">
        <v>21.278400000000001</v>
      </c>
      <c r="DJ114" s="18"/>
      <c r="DK114" s="37">
        <v>44013</v>
      </c>
      <c r="DL114" s="38">
        <v>0.15870000000000001</v>
      </c>
      <c r="DM114" s="18"/>
      <c r="DN114" s="18"/>
      <c r="DO114" s="18"/>
      <c r="DP114" s="18"/>
      <c r="DQ114" s="18"/>
      <c r="DR114" s="18"/>
      <c r="DS114" s="18"/>
      <c r="DT114" s="18"/>
      <c r="DU114" s="18"/>
      <c r="DV114" s="18"/>
      <c r="DW114" s="18"/>
      <c r="DX114" s="18"/>
      <c r="DY114" s="18"/>
      <c r="DZ114" s="18"/>
    </row>
    <row r="115" spans="1:130" ht="15" customHeight="1" x14ac:dyDescent="0.3">
      <c r="A115" s="30" t="s">
        <v>371</v>
      </c>
      <c r="B115" s="73" t="s">
        <v>1862</v>
      </c>
      <c r="C115" s="74">
        <v>9171</v>
      </c>
      <c r="D115" s="74">
        <v>8524</v>
      </c>
      <c r="E115" s="74">
        <v>10307</v>
      </c>
      <c r="F115" s="74">
        <v>5061</v>
      </c>
      <c r="G115" s="74">
        <v>5114</v>
      </c>
      <c r="H115" s="74">
        <v>7207</v>
      </c>
      <c r="I115" s="74">
        <v>6132</v>
      </c>
      <c r="J115" s="74">
        <v>6104</v>
      </c>
      <c r="K115" s="74">
        <v>4939</v>
      </c>
      <c r="L115" s="74">
        <v>5290</v>
      </c>
      <c r="M115" s="75">
        <v>27015</v>
      </c>
      <c r="N115" s="17"/>
      <c r="O115" s="17"/>
      <c r="P115" s="17"/>
      <c r="Q115" s="17"/>
      <c r="R115" s="17"/>
      <c r="S115" s="17"/>
      <c r="T115" s="17"/>
      <c r="U115" s="18"/>
      <c r="V115" s="18"/>
      <c r="W115" s="18"/>
      <c r="X115" s="18"/>
      <c r="Y115" s="18"/>
      <c r="Z115" s="18"/>
      <c r="AA115" s="18"/>
      <c r="AB115" s="18"/>
      <c r="AC115" s="18"/>
      <c r="AD115" s="18"/>
      <c r="AE115" s="18" t="s">
        <v>1862</v>
      </c>
      <c r="AF115" s="85">
        <v>0</v>
      </c>
      <c r="AG115" s="85">
        <v>0</v>
      </c>
      <c r="AH115" s="85">
        <v>0</v>
      </c>
      <c r="AI115" s="85">
        <v>0</v>
      </c>
      <c r="AJ115" s="85">
        <v>0</v>
      </c>
      <c r="AK115" s="85">
        <v>0</v>
      </c>
      <c r="AL115" s="85">
        <v>0</v>
      </c>
      <c r="AM115" s="85">
        <v>0</v>
      </c>
      <c r="AN115" s="18"/>
      <c r="AO115" s="18"/>
      <c r="AP115" s="77" t="s">
        <v>218</v>
      </c>
      <c r="AQ115" s="18">
        <v>9171</v>
      </c>
      <c r="AR115" s="18">
        <v>8524</v>
      </c>
      <c r="AS115" s="18">
        <v>10307</v>
      </c>
      <c r="AT115" s="18">
        <v>5061</v>
      </c>
      <c r="AU115" s="18">
        <v>5114</v>
      </c>
      <c r="AV115" s="18">
        <v>7207</v>
      </c>
      <c r="AW115" s="18">
        <v>6132</v>
      </c>
      <c r="AX115" s="18">
        <v>6104</v>
      </c>
      <c r="AY115" s="18">
        <v>4939</v>
      </c>
      <c r="AZ115" s="18">
        <v>5290</v>
      </c>
      <c r="BA115" s="78">
        <v>27015</v>
      </c>
      <c r="BB115" s="18"/>
      <c r="BC115" s="18"/>
      <c r="BD115" s="18"/>
      <c r="BE115" s="18"/>
      <c r="BF115" s="18"/>
      <c r="BG115" s="18"/>
      <c r="BH115" s="18"/>
      <c r="BI115" s="18"/>
      <c r="BJ115" s="18"/>
      <c r="BK115" s="18"/>
      <c r="BL115" s="18"/>
      <c r="BM115" s="18"/>
      <c r="BN115" s="18"/>
      <c r="BO115" s="18"/>
      <c r="BP115" s="18"/>
      <c r="BQ115" s="37">
        <v>43404</v>
      </c>
      <c r="BR115" s="38">
        <v>36525.1728</v>
      </c>
      <c r="BS115" s="17"/>
      <c r="BT115" s="37">
        <v>43404</v>
      </c>
      <c r="BU115" s="38">
        <v>2483</v>
      </c>
      <c r="BV115" s="18"/>
      <c r="BW115" s="37"/>
      <c r="BX115" s="38"/>
      <c r="BY115" s="18"/>
      <c r="BZ115" s="39">
        <v>43404</v>
      </c>
      <c r="CA115" s="40">
        <v>36525.1728</v>
      </c>
      <c r="CB115" s="17"/>
      <c r="CC115" s="39">
        <v>43404</v>
      </c>
      <c r="CD115" s="40">
        <v>24.830000000000002</v>
      </c>
      <c r="CE115" s="18"/>
      <c r="CF115" s="18"/>
      <c r="CG115" s="18"/>
      <c r="CH115" s="18"/>
      <c r="CI115" s="18"/>
      <c r="CJ115" s="18"/>
      <c r="CK115" s="18"/>
      <c r="CL115" s="18"/>
      <c r="CM115" s="18"/>
      <c r="CN115" s="18"/>
      <c r="CO115" s="18"/>
      <c r="CP115" s="18"/>
      <c r="CQ115" s="18"/>
      <c r="CR115" s="18"/>
      <c r="CS115" s="18"/>
      <c r="CT115" s="18"/>
      <c r="CU115" s="18"/>
      <c r="CV115" s="18"/>
      <c r="CW115" s="18"/>
      <c r="CX115" s="18"/>
      <c r="CY115" s="37">
        <v>44924</v>
      </c>
      <c r="CZ115" s="38">
        <v>18.060600000000001</v>
      </c>
      <c r="DA115" s="18"/>
      <c r="DB115" s="37">
        <v>44014</v>
      </c>
      <c r="DC115" s="38">
        <v>17.955500000000001</v>
      </c>
      <c r="DD115" s="18"/>
      <c r="DE115" s="37">
        <v>44014</v>
      </c>
      <c r="DF115" s="38">
        <v>16.969899999999999</v>
      </c>
      <c r="DG115" s="18"/>
      <c r="DH115" s="37">
        <v>44014</v>
      </c>
      <c r="DI115" s="38">
        <v>21.161000000000001</v>
      </c>
      <c r="DJ115" s="18"/>
      <c r="DK115" s="37">
        <v>44014</v>
      </c>
      <c r="DL115" s="38">
        <v>0.1578</v>
      </c>
      <c r="DM115" s="18"/>
      <c r="DN115" s="18"/>
      <c r="DO115" s="18"/>
      <c r="DP115" s="18"/>
      <c r="DQ115" s="18"/>
      <c r="DR115" s="18"/>
      <c r="DS115" s="18"/>
      <c r="DT115" s="18"/>
      <c r="DU115" s="18"/>
      <c r="DV115" s="18"/>
      <c r="DW115" s="18"/>
      <c r="DX115" s="18"/>
      <c r="DY115" s="18"/>
      <c r="DZ115" s="18"/>
    </row>
    <row r="116" spans="1:130" ht="15" customHeight="1" x14ac:dyDescent="0.3">
      <c r="A116" s="30" t="s">
        <v>1800</v>
      </c>
      <c r="B116" s="73" t="s">
        <v>1807</v>
      </c>
      <c r="C116" s="74">
        <v>5265</v>
      </c>
      <c r="D116" s="74">
        <v>4936</v>
      </c>
      <c r="E116" s="74">
        <v>6761</v>
      </c>
      <c r="F116" s="74">
        <v>5038</v>
      </c>
      <c r="G116" s="74">
        <v>5094</v>
      </c>
      <c r="H116" s="74">
        <v>6933</v>
      </c>
      <c r="I116" s="74">
        <v>5878</v>
      </c>
      <c r="J116" s="74">
        <v>5767</v>
      </c>
      <c r="K116" s="74">
        <v>4624</v>
      </c>
      <c r="L116" s="74">
        <v>5073</v>
      </c>
      <c r="M116" s="75">
        <v>26777</v>
      </c>
      <c r="N116" s="17"/>
      <c r="O116" s="17"/>
      <c r="P116" s="17"/>
      <c r="Q116" s="17"/>
      <c r="R116" s="17"/>
      <c r="S116" s="17"/>
      <c r="T116" s="17"/>
      <c r="U116" s="18"/>
      <c r="V116" s="18"/>
      <c r="W116" s="18"/>
      <c r="X116" s="18"/>
      <c r="Y116" s="18"/>
      <c r="Z116" s="18"/>
      <c r="AA116" s="18"/>
      <c r="AB116" s="18"/>
      <c r="AC116" s="18"/>
      <c r="AD116" s="18"/>
      <c r="AE116" s="18"/>
      <c r="AF116" s="85"/>
      <c r="AG116" s="85"/>
      <c r="AH116" s="85"/>
      <c r="AI116" s="85"/>
      <c r="AJ116" s="85"/>
      <c r="AK116" s="85"/>
      <c r="AL116" s="85"/>
      <c r="AM116" s="85"/>
      <c r="AN116" s="18"/>
      <c r="AO116" s="18"/>
      <c r="AP116" s="77"/>
      <c r="AQ116" s="18"/>
      <c r="AR116" s="18"/>
      <c r="AS116" s="18"/>
      <c r="AT116" s="18"/>
      <c r="AU116" s="18"/>
      <c r="AV116" s="18"/>
      <c r="AW116" s="18"/>
      <c r="AX116" s="18"/>
      <c r="AY116" s="18"/>
      <c r="AZ116" s="18"/>
      <c r="BA116" s="78"/>
      <c r="BB116" s="18"/>
      <c r="BC116" s="18"/>
      <c r="BD116" s="18"/>
      <c r="BE116" s="18"/>
      <c r="BF116" s="18"/>
      <c r="BG116" s="18"/>
      <c r="BH116" s="18"/>
      <c r="BI116" s="18"/>
      <c r="BJ116" s="18"/>
      <c r="BK116" s="18"/>
      <c r="BL116" s="18"/>
      <c r="BM116" s="18"/>
      <c r="BN116" s="18"/>
      <c r="BO116" s="18"/>
      <c r="BP116" s="18"/>
      <c r="BQ116" s="37">
        <v>43434</v>
      </c>
      <c r="BR116" s="38">
        <v>37657.850299999998</v>
      </c>
      <c r="BS116" s="17"/>
      <c r="BT116" s="37">
        <v>43434</v>
      </c>
      <c r="BU116" s="38">
        <v>2560</v>
      </c>
      <c r="BV116" s="18"/>
      <c r="BW116" s="37"/>
      <c r="BX116" s="38"/>
      <c r="BY116" s="18"/>
      <c r="BZ116" s="39">
        <v>43434</v>
      </c>
      <c r="CA116" s="40">
        <v>37657.850299999998</v>
      </c>
      <c r="CB116" s="17"/>
      <c r="CC116" s="39">
        <v>43434</v>
      </c>
      <c r="CD116" s="40">
        <v>25.6</v>
      </c>
      <c r="CE116" s="18"/>
      <c r="CF116" s="18"/>
      <c r="CG116" s="18"/>
      <c r="CH116" s="18"/>
      <c r="CI116" s="18"/>
      <c r="CJ116" s="18"/>
      <c r="CK116" s="18"/>
      <c r="CL116" s="18"/>
      <c r="CM116" s="18"/>
      <c r="CN116" s="18"/>
      <c r="CO116" s="18"/>
      <c r="CP116" s="18"/>
      <c r="CQ116" s="18"/>
      <c r="CR116" s="18"/>
      <c r="CS116" s="18"/>
      <c r="CT116" s="18"/>
      <c r="CU116" s="18"/>
      <c r="CV116" s="18"/>
      <c r="CW116" s="18"/>
      <c r="CX116" s="18"/>
      <c r="CY116" s="37">
        <v>44925</v>
      </c>
      <c r="CZ116" s="38">
        <v>18.240500000000001</v>
      </c>
      <c r="DA116" s="18"/>
      <c r="DB116" s="37">
        <v>44015</v>
      </c>
      <c r="DC116" s="38">
        <v>18.0123</v>
      </c>
      <c r="DD116" s="18"/>
      <c r="DE116" s="37">
        <v>44015</v>
      </c>
      <c r="DF116" s="38">
        <v>17.0413</v>
      </c>
      <c r="DG116" s="18"/>
      <c r="DH116" s="37">
        <v>44015</v>
      </c>
      <c r="DI116" s="38">
        <v>21.277000000000001</v>
      </c>
      <c r="DJ116" s="18"/>
      <c r="DK116" s="37">
        <v>44015</v>
      </c>
      <c r="DL116" s="38">
        <v>0.1585</v>
      </c>
      <c r="DM116" s="18"/>
      <c r="DN116" s="18"/>
      <c r="DO116" s="18"/>
      <c r="DP116" s="18"/>
      <c r="DQ116" s="18"/>
      <c r="DR116" s="18"/>
      <c r="DS116" s="18"/>
      <c r="DT116" s="18"/>
      <c r="DU116" s="18"/>
      <c r="DV116" s="18"/>
      <c r="DW116" s="18"/>
      <c r="DX116" s="18"/>
      <c r="DY116" s="18"/>
      <c r="DZ116" s="18"/>
    </row>
    <row r="117" spans="1:130" ht="15" customHeight="1" x14ac:dyDescent="0.3">
      <c r="A117" s="30"/>
      <c r="B117" s="613" t="s">
        <v>1805</v>
      </c>
      <c r="C117" s="614">
        <v>5265</v>
      </c>
      <c r="D117" s="614">
        <v>4936</v>
      </c>
      <c r="E117" s="614">
        <v>6761</v>
      </c>
      <c r="F117" s="614">
        <v>5038</v>
      </c>
      <c r="G117" s="614">
        <v>5094</v>
      </c>
      <c r="H117" s="614">
        <v>6933</v>
      </c>
      <c r="I117" s="614">
        <v>5878</v>
      </c>
      <c r="J117" s="614">
        <v>5767</v>
      </c>
      <c r="K117" s="614">
        <v>4624</v>
      </c>
      <c r="L117" s="614">
        <v>5073</v>
      </c>
      <c r="M117" s="615">
        <v>26777</v>
      </c>
      <c r="N117" s="17"/>
      <c r="O117" s="17"/>
      <c r="P117" s="17"/>
      <c r="Q117" s="17"/>
      <c r="R117" s="17"/>
      <c r="S117" s="17"/>
      <c r="T117" s="17"/>
      <c r="U117" s="18"/>
      <c r="V117" s="18"/>
      <c r="W117" s="18"/>
      <c r="X117" s="18"/>
      <c r="Y117" s="18"/>
      <c r="Z117" s="18"/>
      <c r="AA117" s="18"/>
      <c r="AB117" s="18"/>
      <c r="AC117" s="18"/>
      <c r="AD117" s="18"/>
      <c r="AE117" s="18"/>
      <c r="AF117" s="85"/>
      <c r="AG117" s="85"/>
      <c r="AH117" s="85"/>
      <c r="AI117" s="85"/>
      <c r="AJ117" s="85"/>
      <c r="AK117" s="85"/>
      <c r="AL117" s="85"/>
      <c r="AM117" s="85"/>
      <c r="AN117" s="18"/>
      <c r="AO117" s="18"/>
      <c r="AP117" s="77"/>
      <c r="AQ117" s="18"/>
      <c r="AR117" s="18"/>
      <c r="AS117" s="18"/>
      <c r="AT117" s="18"/>
      <c r="AU117" s="18"/>
      <c r="AV117" s="18"/>
      <c r="AW117" s="18"/>
      <c r="AX117" s="18"/>
      <c r="AY117" s="18"/>
      <c r="AZ117" s="18"/>
      <c r="BA117" s="78"/>
      <c r="BB117" s="18"/>
      <c r="BC117" s="18"/>
      <c r="BD117" s="18"/>
      <c r="BE117" s="18"/>
      <c r="BF117" s="18"/>
      <c r="BG117" s="18"/>
      <c r="BH117" s="18"/>
      <c r="BI117" s="18"/>
      <c r="BJ117" s="18"/>
      <c r="BK117" s="18"/>
      <c r="BL117" s="18"/>
      <c r="BM117" s="18"/>
      <c r="BN117" s="18"/>
      <c r="BO117" s="18"/>
      <c r="BP117" s="18"/>
      <c r="BQ117" s="37">
        <v>43465</v>
      </c>
      <c r="BR117" s="38">
        <v>38878.788500000002</v>
      </c>
      <c r="BS117" s="17"/>
      <c r="BT117" s="37">
        <v>43465</v>
      </c>
      <c r="BU117" s="38">
        <v>2643</v>
      </c>
      <c r="BV117" s="18"/>
      <c r="BW117" s="37"/>
      <c r="BX117" s="38"/>
      <c r="BY117" s="18"/>
      <c r="BZ117" s="39">
        <v>43465</v>
      </c>
      <c r="CA117" s="40">
        <v>38878.788500000002</v>
      </c>
      <c r="CB117" s="17"/>
      <c r="CC117" s="39">
        <v>43465</v>
      </c>
      <c r="CD117" s="40">
        <v>26.43</v>
      </c>
      <c r="CE117" s="18"/>
      <c r="CF117" s="18"/>
      <c r="CG117" s="18"/>
      <c r="CH117" s="18"/>
      <c r="CI117" s="18"/>
      <c r="CJ117" s="18"/>
      <c r="CK117" s="18"/>
      <c r="CL117" s="18"/>
      <c r="CM117" s="18"/>
      <c r="CN117" s="18"/>
      <c r="CO117" s="18"/>
      <c r="CP117" s="18"/>
      <c r="CQ117" s="18"/>
      <c r="CR117" s="18"/>
      <c r="CS117" s="18"/>
      <c r="CT117" s="18"/>
      <c r="CU117" s="18"/>
      <c r="CV117" s="18"/>
      <c r="CW117" s="18"/>
      <c r="CX117" s="18"/>
      <c r="CY117" s="37">
        <v>44929</v>
      </c>
      <c r="CZ117" s="38">
        <v>17.960599999999999</v>
      </c>
      <c r="DA117" s="18"/>
      <c r="DB117" s="37">
        <v>44018</v>
      </c>
      <c r="DC117" s="38">
        <v>18.021000000000001</v>
      </c>
      <c r="DD117" s="18"/>
      <c r="DE117" s="37">
        <v>44018</v>
      </c>
      <c r="DF117" s="38">
        <v>16.986000000000001</v>
      </c>
      <c r="DG117" s="18"/>
      <c r="DH117" s="37">
        <v>44018</v>
      </c>
      <c r="DI117" s="38">
        <v>21.203600000000002</v>
      </c>
      <c r="DJ117" s="18"/>
      <c r="DK117" s="37">
        <v>44018</v>
      </c>
      <c r="DL117" s="38">
        <v>0.15809999999999999</v>
      </c>
      <c r="DM117" s="18"/>
      <c r="DN117" s="18"/>
      <c r="DO117" s="18"/>
      <c r="DP117" s="18"/>
      <c r="DQ117" s="18"/>
      <c r="DR117" s="18"/>
      <c r="DS117" s="18"/>
      <c r="DT117" s="18"/>
      <c r="DU117" s="18"/>
      <c r="DV117" s="18"/>
      <c r="DW117" s="18"/>
      <c r="DX117" s="18"/>
      <c r="DY117" s="18"/>
      <c r="DZ117" s="18"/>
    </row>
    <row r="118" spans="1:130" ht="15" customHeight="1" x14ac:dyDescent="0.3">
      <c r="A118" s="30"/>
      <c r="B118" s="616" t="s">
        <v>1801</v>
      </c>
      <c r="C118" s="617">
        <v>3906</v>
      </c>
      <c r="D118" s="617">
        <v>3588</v>
      </c>
      <c r="E118" s="617">
        <v>3546</v>
      </c>
      <c r="F118" s="617">
        <v>23</v>
      </c>
      <c r="G118" s="617">
        <v>20</v>
      </c>
      <c r="H118" s="617">
        <v>274</v>
      </c>
      <c r="I118" s="617">
        <v>254</v>
      </c>
      <c r="J118" s="617">
        <v>337</v>
      </c>
      <c r="K118" s="617">
        <v>315</v>
      </c>
      <c r="L118" s="617">
        <v>217</v>
      </c>
      <c r="M118" s="618">
        <v>238</v>
      </c>
      <c r="N118" s="17"/>
      <c r="O118" s="17"/>
      <c r="P118" s="17"/>
      <c r="Q118" s="17"/>
      <c r="R118" s="17"/>
      <c r="S118" s="17"/>
      <c r="T118" s="17"/>
      <c r="U118" s="18"/>
      <c r="V118" s="18"/>
      <c r="W118" s="18"/>
      <c r="X118" s="18"/>
      <c r="Y118" s="18"/>
      <c r="Z118" s="18"/>
      <c r="AA118" s="18"/>
      <c r="AB118" s="18"/>
      <c r="AC118" s="18"/>
      <c r="AD118" s="18"/>
      <c r="AE118" s="18"/>
      <c r="AF118" s="85"/>
      <c r="AG118" s="85"/>
      <c r="AH118" s="85"/>
      <c r="AI118" s="85"/>
      <c r="AJ118" s="85"/>
      <c r="AK118" s="85"/>
      <c r="AL118" s="85"/>
      <c r="AM118" s="85"/>
      <c r="AN118" s="18"/>
      <c r="AO118" s="18"/>
      <c r="AP118" s="77"/>
      <c r="AQ118" s="18"/>
      <c r="AR118" s="18"/>
      <c r="AS118" s="18"/>
      <c r="AT118" s="18"/>
      <c r="AU118" s="18"/>
      <c r="AV118" s="18"/>
      <c r="AW118" s="18"/>
      <c r="AX118" s="18"/>
      <c r="AY118" s="18"/>
      <c r="AZ118" s="18"/>
      <c r="BA118" s="78"/>
      <c r="BB118" s="18"/>
      <c r="BC118" s="18"/>
      <c r="BD118" s="18"/>
      <c r="BE118" s="18"/>
      <c r="BF118" s="18"/>
      <c r="BG118" s="18"/>
      <c r="BH118" s="18"/>
      <c r="BI118" s="18"/>
      <c r="BJ118" s="18"/>
      <c r="BK118" s="18"/>
      <c r="BL118" s="18"/>
      <c r="BM118" s="18"/>
      <c r="BN118" s="18"/>
      <c r="BO118" s="18"/>
      <c r="BP118" s="18"/>
      <c r="BQ118" s="37">
        <v>43496</v>
      </c>
      <c r="BR118" s="38">
        <v>36407.491999999998</v>
      </c>
      <c r="BS118" s="17"/>
      <c r="BT118" s="37">
        <v>43496</v>
      </c>
      <c r="BU118" s="38">
        <v>2475</v>
      </c>
      <c r="BV118" s="18"/>
      <c r="BW118" s="37"/>
      <c r="BX118" s="38"/>
      <c r="BY118" s="18"/>
      <c r="BZ118" s="39">
        <v>43496</v>
      </c>
      <c r="CA118" s="40">
        <v>36407.491999999998</v>
      </c>
      <c r="CB118" s="17"/>
      <c r="CC118" s="39">
        <v>43496</v>
      </c>
      <c r="CD118" s="40">
        <v>24.75</v>
      </c>
      <c r="CE118" s="18"/>
      <c r="CF118" s="18"/>
      <c r="CG118" s="18"/>
      <c r="CH118" s="18"/>
      <c r="CI118" s="18"/>
      <c r="CJ118" s="18"/>
      <c r="CK118" s="18"/>
      <c r="CL118" s="18"/>
      <c r="CM118" s="18"/>
      <c r="CN118" s="18"/>
      <c r="CO118" s="18"/>
      <c r="CP118" s="18"/>
      <c r="CQ118" s="18"/>
      <c r="CR118" s="18"/>
      <c r="CS118" s="18"/>
      <c r="CT118" s="18"/>
      <c r="CU118" s="18"/>
      <c r="CV118" s="18"/>
      <c r="CW118" s="18"/>
      <c r="CX118" s="18"/>
      <c r="CY118" s="37">
        <v>44930</v>
      </c>
      <c r="CZ118" s="38">
        <v>17.905100000000001</v>
      </c>
      <c r="DA118" s="18"/>
      <c r="DB118" s="37">
        <v>44019</v>
      </c>
      <c r="DC118" s="38">
        <v>18.215199999999999</v>
      </c>
      <c r="DD118" s="18"/>
      <c r="DE118" s="37">
        <v>44019</v>
      </c>
      <c r="DF118" s="38">
        <v>17.167200000000001</v>
      </c>
      <c r="DG118" s="18"/>
      <c r="DH118" s="37">
        <v>44019</v>
      </c>
      <c r="DI118" s="38">
        <v>21.5337</v>
      </c>
      <c r="DJ118" s="18"/>
      <c r="DK118" s="37">
        <v>44019</v>
      </c>
      <c r="DL118" s="38">
        <v>0.15970000000000001</v>
      </c>
      <c r="DM118" s="18"/>
      <c r="DN118" s="18"/>
      <c r="DO118" s="18"/>
      <c r="DP118" s="18"/>
      <c r="DQ118" s="18"/>
      <c r="DR118" s="18"/>
      <c r="DS118" s="18"/>
      <c r="DT118" s="18"/>
      <c r="DU118" s="18"/>
      <c r="DV118" s="18"/>
      <c r="DW118" s="18"/>
      <c r="DX118" s="18"/>
      <c r="DY118" s="18"/>
      <c r="DZ118" s="18"/>
    </row>
    <row r="119" spans="1:130" ht="15" customHeight="1" x14ac:dyDescent="0.3">
      <c r="A119" s="30" t="s">
        <v>827</v>
      </c>
      <c r="B119" s="73" t="s">
        <v>828</v>
      </c>
      <c r="C119" s="74" t="s">
        <v>615</v>
      </c>
      <c r="D119" s="74" t="s">
        <v>615</v>
      </c>
      <c r="E119" s="74" t="s">
        <v>615</v>
      </c>
      <c r="F119" s="74">
        <v>23</v>
      </c>
      <c r="G119" s="74">
        <v>20</v>
      </c>
      <c r="H119" s="74">
        <v>274</v>
      </c>
      <c r="I119" s="74">
        <v>254</v>
      </c>
      <c r="J119" s="74">
        <v>337</v>
      </c>
      <c r="K119" s="74">
        <v>315</v>
      </c>
      <c r="L119" s="74">
        <v>217</v>
      </c>
      <c r="M119" s="75">
        <v>238</v>
      </c>
      <c r="N119" s="17"/>
      <c r="O119" s="17"/>
      <c r="P119" s="17"/>
      <c r="Q119" s="17"/>
      <c r="R119" s="17"/>
      <c r="S119" s="17"/>
      <c r="T119" s="17"/>
      <c r="U119" s="18"/>
      <c r="V119" s="18"/>
      <c r="W119" s="18"/>
      <c r="X119" s="18"/>
      <c r="Y119" s="18"/>
      <c r="Z119" s="18"/>
      <c r="AA119" s="18"/>
      <c r="AB119" s="18"/>
      <c r="AC119" s="18"/>
      <c r="AD119" s="18"/>
      <c r="AE119" s="18"/>
      <c r="AF119" s="85"/>
      <c r="AG119" s="85"/>
      <c r="AH119" s="85"/>
      <c r="AI119" s="85"/>
      <c r="AJ119" s="85"/>
      <c r="AK119" s="85"/>
      <c r="AL119" s="85"/>
      <c r="AM119" s="85"/>
      <c r="AN119" s="18"/>
      <c r="AO119" s="18"/>
      <c r="AP119" s="77"/>
      <c r="AQ119" s="18"/>
      <c r="AR119" s="18"/>
      <c r="AS119" s="18"/>
      <c r="AT119" s="18"/>
      <c r="AU119" s="18"/>
      <c r="AV119" s="18"/>
      <c r="AW119" s="18"/>
      <c r="AX119" s="18"/>
      <c r="AY119" s="18"/>
      <c r="AZ119" s="18"/>
      <c r="BA119" s="78"/>
      <c r="BB119" s="18"/>
      <c r="BC119" s="18"/>
      <c r="BD119" s="18"/>
      <c r="BE119" s="18"/>
      <c r="BF119" s="18"/>
      <c r="BG119" s="18"/>
      <c r="BH119" s="18"/>
      <c r="BI119" s="18"/>
      <c r="BJ119" s="18"/>
      <c r="BK119" s="18"/>
      <c r="BL119" s="18"/>
      <c r="BM119" s="18"/>
      <c r="BN119" s="18"/>
      <c r="BO119" s="18"/>
      <c r="BP119" s="18"/>
      <c r="BQ119" s="37">
        <v>43524</v>
      </c>
      <c r="BR119" s="38">
        <v>36940.729399999997</v>
      </c>
      <c r="BS119" s="17"/>
      <c r="BT119" s="37">
        <v>43524</v>
      </c>
      <c r="BU119" s="38">
        <v>2544</v>
      </c>
      <c r="BV119" s="18"/>
      <c r="BW119" s="37"/>
      <c r="BX119" s="38"/>
      <c r="BY119" s="18"/>
      <c r="BZ119" s="39">
        <v>43524</v>
      </c>
      <c r="CA119" s="40">
        <v>36940.729399999997</v>
      </c>
      <c r="CB119" s="17"/>
      <c r="CC119" s="39">
        <v>43524</v>
      </c>
      <c r="CD119" s="40">
        <v>25.44</v>
      </c>
      <c r="CE119" s="18"/>
      <c r="CF119" s="18"/>
      <c r="CG119" s="18"/>
      <c r="CH119" s="18"/>
      <c r="CI119" s="18"/>
      <c r="CJ119" s="18"/>
      <c r="CK119" s="18"/>
      <c r="CL119" s="18"/>
      <c r="CM119" s="18"/>
      <c r="CN119" s="18"/>
      <c r="CO119" s="18"/>
      <c r="CP119" s="18"/>
      <c r="CQ119" s="18"/>
      <c r="CR119" s="18"/>
      <c r="CS119" s="18"/>
      <c r="CT119" s="18"/>
      <c r="CU119" s="18"/>
      <c r="CV119" s="18"/>
      <c r="CW119" s="18"/>
      <c r="CX119" s="18"/>
      <c r="CY119" s="37">
        <v>44931</v>
      </c>
      <c r="CZ119" s="38">
        <v>18.063199999999998</v>
      </c>
      <c r="DA119" s="18"/>
      <c r="DB119" s="37">
        <v>44020</v>
      </c>
      <c r="DC119" s="38">
        <v>18.049700000000001</v>
      </c>
      <c r="DD119" s="18"/>
      <c r="DE119" s="37">
        <v>44020</v>
      </c>
      <c r="DF119" s="38">
        <v>16.937200000000001</v>
      </c>
      <c r="DG119" s="18"/>
      <c r="DH119" s="37">
        <v>44020</v>
      </c>
      <c r="DI119" s="38">
        <v>21.358799999999999</v>
      </c>
      <c r="DJ119" s="18"/>
      <c r="DK119" s="37">
        <v>44020</v>
      </c>
      <c r="DL119" s="38">
        <v>0.15790000000000001</v>
      </c>
      <c r="DM119" s="18"/>
      <c r="DN119" s="18"/>
      <c r="DO119" s="18"/>
      <c r="DP119" s="18"/>
      <c r="DQ119" s="18"/>
      <c r="DR119" s="18"/>
      <c r="DS119" s="18"/>
      <c r="DT119" s="18"/>
      <c r="DU119" s="18"/>
      <c r="DV119" s="18"/>
      <c r="DW119" s="18"/>
      <c r="DX119" s="18"/>
      <c r="DY119" s="18"/>
      <c r="DZ119" s="18"/>
    </row>
    <row r="120" spans="1:130" ht="15" customHeight="1" x14ac:dyDescent="0.3">
      <c r="A120" s="30" t="s">
        <v>1792</v>
      </c>
      <c r="B120" s="73" t="s">
        <v>1793</v>
      </c>
      <c r="C120" s="74" t="s">
        <v>615</v>
      </c>
      <c r="D120" s="74" t="s">
        <v>615</v>
      </c>
      <c r="E120" s="74" t="s">
        <v>615</v>
      </c>
      <c r="F120" s="74" t="s">
        <v>615</v>
      </c>
      <c r="G120" s="74" t="s">
        <v>615</v>
      </c>
      <c r="H120" s="74" t="s">
        <v>615</v>
      </c>
      <c r="I120" s="74" t="s">
        <v>615</v>
      </c>
      <c r="J120" s="74" t="s">
        <v>615</v>
      </c>
      <c r="K120" s="74" t="s">
        <v>615</v>
      </c>
      <c r="L120" s="74" t="s">
        <v>615</v>
      </c>
      <c r="M120" s="75" t="s">
        <v>615</v>
      </c>
      <c r="N120" s="17"/>
      <c r="O120" s="17"/>
      <c r="P120" s="17"/>
      <c r="Q120" s="17"/>
      <c r="R120" s="17"/>
      <c r="S120" s="17"/>
      <c r="T120" s="17"/>
      <c r="U120" s="18"/>
      <c r="V120" s="18"/>
      <c r="W120" s="18"/>
      <c r="X120" s="18"/>
      <c r="Y120" s="18"/>
      <c r="Z120" s="18"/>
      <c r="AA120" s="18"/>
      <c r="AB120" s="18"/>
      <c r="AC120" s="18"/>
      <c r="AD120" s="18"/>
      <c r="AE120" s="18"/>
      <c r="AF120" s="85"/>
      <c r="AG120" s="85"/>
      <c r="AH120" s="85"/>
      <c r="AI120" s="85"/>
      <c r="AJ120" s="85"/>
      <c r="AK120" s="85"/>
      <c r="AL120" s="85"/>
      <c r="AM120" s="85"/>
      <c r="AN120" s="18"/>
      <c r="AO120" s="18"/>
      <c r="AP120" s="77"/>
      <c r="AQ120" s="18"/>
      <c r="AR120" s="18"/>
      <c r="AS120" s="18"/>
      <c r="AT120" s="18"/>
      <c r="AU120" s="18"/>
      <c r="AV120" s="18"/>
      <c r="AW120" s="18"/>
      <c r="AX120" s="18"/>
      <c r="AY120" s="18"/>
      <c r="AZ120" s="18"/>
      <c r="BA120" s="78"/>
      <c r="BB120" s="18"/>
      <c r="BC120" s="18"/>
      <c r="BD120" s="18"/>
      <c r="BE120" s="18"/>
      <c r="BF120" s="18"/>
      <c r="BG120" s="18"/>
      <c r="BH120" s="18"/>
      <c r="BI120" s="18"/>
      <c r="BJ120" s="18"/>
      <c r="BK120" s="18"/>
      <c r="BL120" s="18"/>
      <c r="BM120" s="18"/>
      <c r="BN120" s="18"/>
      <c r="BO120" s="18"/>
      <c r="BP120" s="18"/>
      <c r="BQ120" s="37">
        <v>43553</v>
      </c>
      <c r="BR120" s="38">
        <v>33905.897400000002</v>
      </c>
      <c r="BS120" s="17"/>
      <c r="BT120" s="37">
        <v>43553</v>
      </c>
      <c r="BU120" s="38">
        <v>2335</v>
      </c>
      <c r="BV120" s="18"/>
      <c r="BW120" s="37"/>
      <c r="BX120" s="38"/>
      <c r="BY120" s="18"/>
      <c r="BZ120" s="39">
        <v>43553</v>
      </c>
      <c r="CA120" s="40">
        <v>33905.897400000002</v>
      </c>
      <c r="CB120" s="17"/>
      <c r="CC120" s="39">
        <v>43553</v>
      </c>
      <c r="CD120" s="40">
        <v>23.35</v>
      </c>
      <c r="CE120" s="18"/>
      <c r="CF120" s="18"/>
      <c r="CG120" s="18"/>
      <c r="CH120" s="18"/>
      <c r="CI120" s="18"/>
      <c r="CJ120" s="18"/>
      <c r="CK120" s="18"/>
      <c r="CL120" s="18"/>
      <c r="CM120" s="18"/>
      <c r="CN120" s="18"/>
      <c r="CO120" s="18"/>
      <c r="CP120" s="18"/>
      <c r="CQ120" s="18"/>
      <c r="CR120" s="18"/>
      <c r="CS120" s="18"/>
      <c r="CT120" s="18"/>
      <c r="CU120" s="18"/>
      <c r="CV120" s="18"/>
      <c r="CW120" s="18"/>
      <c r="CX120" s="18"/>
      <c r="CY120" s="37">
        <v>44932</v>
      </c>
      <c r="CZ120" s="38">
        <v>18.207899999999999</v>
      </c>
      <c r="DA120" s="18"/>
      <c r="DB120" s="37">
        <v>44021</v>
      </c>
      <c r="DC120" s="38">
        <v>17.910299999999999</v>
      </c>
      <c r="DD120" s="18"/>
      <c r="DE120" s="37">
        <v>44021</v>
      </c>
      <c r="DF120" s="38">
        <v>16.8355</v>
      </c>
      <c r="DG120" s="18"/>
      <c r="DH120" s="37">
        <v>44021</v>
      </c>
      <c r="DI120" s="38">
        <v>21.227699999999999</v>
      </c>
      <c r="DJ120" s="18"/>
      <c r="DK120" s="37">
        <v>44021</v>
      </c>
      <c r="DL120" s="38">
        <v>0.157</v>
      </c>
      <c r="DM120" s="18"/>
      <c r="DN120" s="18"/>
      <c r="DO120" s="18"/>
      <c r="DP120" s="18"/>
      <c r="DQ120" s="18"/>
      <c r="DR120" s="18"/>
      <c r="DS120" s="18"/>
      <c r="DT120" s="18"/>
      <c r="DU120" s="18"/>
      <c r="DV120" s="18"/>
      <c r="DW120" s="18"/>
      <c r="DX120" s="18"/>
      <c r="DY120" s="18"/>
      <c r="DZ120" s="18"/>
    </row>
    <row r="121" spans="1:130" ht="15" customHeight="1" x14ac:dyDescent="0.3">
      <c r="A121" s="30" t="s">
        <v>1794</v>
      </c>
      <c r="B121" s="73" t="s">
        <v>1795</v>
      </c>
      <c r="C121" s="74">
        <v>3906</v>
      </c>
      <c r="D121" s="74">
        <v>3588</v>
      </c>
      <c r="E121" s="74">
        <v>3546</v>
      </c>
      <c r="F121" s="74" t="s">
        <v>615</v>
      </c>
      <c r="G121" s="74" t="s">
        <v>615</v>
      </c>
      <c r="H121" s="74" t="s">
        <v>615</v>
      </c>
      <c r="I121" s="74" t="s">
        <v>615</v>
      </c>
      <c r="J121" s="74" t="s">
        <v>615</v>
      </c>
      <c r="K121" s="74" t="s">
        <v>615</v>
      </c>
      <c r="L121" s="74" t="s">
        <v>615</v>
      </c>
      <c r="M121" s="75" t="s">
        <v>615</v>
      </c>
      <c r="N121" s="17"/>
      <c r="O121" s="17"/>
      <c r="P121" s="17"/>
      <c r="Q121" s="17"/>
      <c r="R121" s="17"/>
      <c r="S121" s="17"/>
      <c r="T121" s="17"/>
      <c r="U121" s="18"/>
      <c r="V121" s="18"/>
      <c r="W121" s="18"/>
      <c r="X121" s="18"/>
      <c r="Y121" s="18"/>
      <c r="Z121" s="18"/>
      <c r="AA121" s="18"/>
      <c r="AB121" s="18"/>
      <c r="AC121" s="18"/>
      <c r="AD121" s="18"/>
      <c r="AE121" s="18"/>
      <c r="AF121" s="85"/>
      <c r="AG121" s="85"/>
      <c r="AH121" s="85"/>
      <c r="AI121" s="85"/>
      <c r="AJ121" s="85"/>
      <c r="AK121" s="85"/>
      <c r="AL121" s="85"/>
      <c r="AM121" s="85"/>
      <c r="AN121" s="18"/>
      <c r="AO121" s="18"/>
      <c r="AP121" s="77"/>
      <c r="AQ121" s="18"/>
      <c r="AR121" s="18"/>
      <c r="AS121" s="18"/>
      <c r="AT121" s="18"/>
      <c r="AU121" s="18"/>
      <c r="AV121" s="18"/>
      <c r="AW121" s="18"/>
      <c r="AX121" s="18"/>
      <c r="AY121" s="18"/>
      <c r="AZ121" s="18"/>
      <c r="BA121" s="78"/>
      <c r="BB121" s="18"/>
      <c r="BC121" s="18"/>
      <c r="BD121" s="18"/>
      <c r="BE121" s="18"/>
      <c r="BF121" s="18"/>
      <c r="BG121" s="18"/>
      <c r="BH121" s="18"/>
      <c r="BI121" s="18"/>
      <c r="BJ121" s="18"/>
      <c r="BK121" s="18"/>
      <c r="BL121" s="18"/>
      <c r="BM121" s="18"/>
      <c r="BN121" s="18"/>
      <c r="BO121" s="18"/>
      <c r="BP121" s="18"/>
      <c r="BQ121" s="37">
        <v>43585</v>
      </c>
      <c r="BR121" s="38">
        <v>34820.703200000004</v>
      </c>
      <c r="BS121" s="17"/>
      <c r="BT121" s="37">
        <v>43585</v>
      </c>
      <c r="BU121" s="38">
        <v>2398</v>
      </c>
      <c r="BV121" s="18"/>
      <c r="BW121" s="37"/>
      <c r="BX121" s="38"/>
      <c r="BY121" s="18"/>
      <c r="BZ121" s="39">
        <v>43585</v>
      </c>
      <c r="CA121" s="40">
        <v>34820.703200000004</v>
      </c>
      <c r="CB121" s="17"/>
      <c r="CC121" s="39">
        <v>43585</v>
      </c>
      <c r="CD121" s="40">
        <v>23.98</v>
      </c>
      <c r="CE121" s="18"/>
      <c r="CF121" s="18"/>
      <c r="CG121" s="18"/>
      <c r="CH121" s="18"/>
      <c r="CI121" s="18"/>
      <c r="CJ121" s="18"/>
      <c r="CK121" s="18"/>
      <c r="CL121" s="18"/>
      <c r="CM121" s="18"/>
      <c r="CN121" s="18"/>
      <c r="CO121" s="18"/>
      <c r="CP121" s="18"/>
      <c r="CQ121" s="18"/>
      <c r="CR121" s="18"/>
      <c r="CS121" s="18"/>
      <c r="CT121" s="18"/>
      <c r="CU121" s="18"/>
      <c r="CV121" s="18"/>
      <c r="CW121" s="18"/>
      <c r="CX121" s="18"/>
      <c r="CY121" s="37">
        <v>44935</v>
      </c>
      <c r="CZ121" s="38">
        <v>18.188600000000001</v>
      </c>
      <c r="DA121" s="18"/>
      <c r="DB121" s="37">
        <v>44022</v>
      </c>
      <c r="DC121" s="38">
        <v>17.8291</v>
      </c>
      <c r="DD121" s="18"/>
      <c r="DE121" s="37">
        <v>44022</v>
      </c>
      <c r="DF121" s="38">
        <v>16.787299999999998</v>
      </c>
      <c r="DG121" s="18"/>
      <c r="DH121" s="37">
        <v>44022</v>
      </c>
      <c r="DI121" s="38">
        <v>21.174900000000001</v>
      </c>
      <c r="DJ121" s="18"/>
      <c r="DK121" s="37">
        <v>44022</v>
      </c>
      <c r="DL121" s="38">
        <v>0.157</v>
      </c>
      <c r="DM121" s="18"/>
      <c r="DN121" s="18"/>
      <c r="DO121" s="18"/>
      <c r="DP121" s="18"/>
      <c r="DQ121" s="18"/>
      <c r="DR121" s="18"/>
      <c r="DS121" s="18"/>
      <c r="DT121" s="18"/>
      <c r="DU121" s="18"/>
      <c r="DV121" s="18"/>
      <c r="DW121" s="18"/>
      <c r="DX121" s="18"/>
      <c r="DY121" s="18"/>
      <c r="DZ121" s="18"/>
    </row>
    <row r="122" spans="1:130" ht="15" customHeight="1" x14ac:dyDescent="0.3">
      <c r="A122" s="30" t="s">
        <v>372</v>
      </c>
      <c r="B122" s="73" t="s">
        <v>219</v>
      </c>
      <c r="C122" s="74">
        <v>874</v>
      </c>
      <c r="D122" s="74">
        <v>886</v>
      </c>
      <c r="E122" s="74">
        <v>821</v>
      </c>
      <c r="F122" s="74">
        <v>823</v>
      </c>
      <c r="G122" s="74">
        <v>813</v>
      </c>
      <c r="H122" s="74">
        <v>4352</v>
      </c>
      <c r="I122" s="74">
        <v>4029</v>
      </c>
      <c r="J122" s="74">
        <v>2525</v>
      </c>
      <c r="K122" s="74">
        <v>1929</v>
      </c>
      <c r="L122" s="74">
        <v>1533</v>
      </c>
      <c r="M122" s="75">
        <v>11300</v>
      </c>
      <c r="N122" s="17"/>
      <c r="O122" s="17"/>
      <c r="P122" s="17"/>
      <c r="Q122" s="17"/>
      <c r="R122" s="17"/>
      <c r="S122" s="17"/>
      <c r="T122" s="17"/>
      <c r="U122" s="18"/>
      <c r="V122" s="18"/>
      <c r="W122" s="18"/>
      <c r="X122" s="18"/>
      <c r="Y122" s="18"/>
      <c r="Z122" s="18"/>
      <c r="AA122" s="18"/>
      <c r="AB122" s="18"/>
      <c r="AC122" s="18"/>
      <c r="AD122" s="18"/>
      <c r="AE122" s="18" t="s">
        <v>219</v>
      </c>
      <c r="AF122" s="85">
        <v>0</v>
      </c>
      <c r="AG122" s="85">
        <v>0</v>
      </c>
      <c r="AH122" s="85">
        <v>0</v>
      </c>
      <c r="AI122" s="85">
        <v>0</v>
      </c>
      <c r="AJ122" s="85">
        <v>0</v>
      </c>
      <c r="AK122" s="85">
        <v>0</v>
      </c>
      <c r="AL122" s="85">
        <v>0</v>
      </c>
      <c r="AM122" s="85">
        <v>0</v>
      </c>
      <c r="AN122" s="18"/>
      <c r="AO122" s="18"/>
      <c r="AP122" s="77" t="s">
        <v>219</v>
      </c>
      <c r="AQ122" s="18">
        <v>874</v>
      </c>
      <c r="AR122" s="18">
        <v>886</v>
      </c>
      <c r="AS122" s="18">
        <v>821</v>
      </c>
      <c r="AT122" s="18">
        <v>823</v>
      </c>
      <c r="AU122" s="18">
        <v>813</v>
      </c>
      <c r="AV122" s="18">
        <v>4352</v>
      </c>
      <c r="AW122" s="18">
        <v>4029</v>
      </c>
      <c r="AX122" s="18">
        <v>2525</v>
      </c>
      <c r="AY122" s="18">
        <v>1929</v>
      </c>
      <c r="AZ122" s="18">
        <v>1533</v>
      </c>
      <c r="BA122" s="78">
        <v>11300</v>
      </c>
      <c r="BB122" s="18"/>
      <c r="BC122" s="18"/>
      <c r="BD122" s="18"/>
      <c r="BE122" s="18"/>
      <c r="BF122" s="18"/>
      <c r="BG122" s="18"/>
      <c r="BH122" s="18"/>
      <c r="BI122" s="18"/>
      <c r="BJ122" s="18"/>
      <c r="BK122" s="18"/>
      <c r="BL122" s="18"/>
      <c r="BM122" s="18"/>
      <c r="BN122" s="18"/>
      <c r="BO122" s="18"/>
      <c r="BP122" s="18"/>
      <c r="BQ122" s="37">
        <v>43616</v>
      </c>
      <c r="BR122" s="38">
        <v>27008.552100000001</v>
      </c>
      <c r="BS122" s="17"/>
      <c r="BT122" s="37">
        <v>43616</v>
      </c>
      <c r="BU122" s="38">
        <v>1860</v>
      </c>
      <c r="BV122" s="18"/>
      <c r="BW122" s="37"/>
      <c r="BX122" s="38"/>
      <c r="BY122" s="18"/>
      <c r="BZ122" s="39">
        <v>43616</v>
      </c>
      <c r="CA122" s="40">
        <v>27008.552100000001</v>
      </c>
      <c r="CB122" s="17"/>
      <c r="CC122" s="39">
        <v>43616</v>
      </c>
      <c r="CD122" s="40">
        <v>18.600000000000001</v>
      </c>
      <c r="CE122" s="18"/>
      <c r="CF122" s="18"/>
      <c r="CG122" s="18"/>
      <c r="CH122" s="18"/>
      <c r="CI122" s="18"/>
      <c r="CJ122" s="18"/>
      <c r="CK122" s="18"/>
      <c r="CL122" s="18"/>
      <c r="CM122" s="18"/>
      <c r="CN122" s="18"/>
      <c r="CO122" s="18"/>
      <c r="CP122" s="18"/>
      <c r="CQ122" s="18"/>
      <c r="CR122" s="18"/>
      <c r="CS122" s="18"/>
      <c r="CT122" s="18"/>
      <c r="CU122" s="18"/>
      <c r="CV122" s="18"/>
      <c r="CW122" s="18"/>
      <c r="CX122" s="18"/>
      <c r="CY122" s="37">
        <v>44936</v>
      </c>
      <c r="CZ122" s="38">
        <v>18.266999999999999</v>
      </c>
      <c r="DA122" s="18"/>
      <c r="DB122" s="37">
        <v>44025</v>
      </c>
      <c r="DC122" s="38">
        <v>17.899000000000001</v>
      </c>
      <c r="DD122" s="18"/>
      <c r="DE122" s="37">
        <v>44025</v>
      </c>
      <c r="DF122" s="38">
        <v>16.855899999999998</v>
      </c>
      <c r="DG122" s="18"/>
      <c r="DH122" s="37">
        <v>44025</v>
      </c>
      <c r="DI122" s="38">
        <v>21.158300000000001</v>
      </c>
      <c r="DJ122" s="18"/>
      <c r="DK122" s="37">
        <v>44025</v>
      </c>
      <c r="DL122" s="38">
        <v>0.15709999999999999</v>
      </c>
      <c r="DM122" s="18"/>
      <c r="DN122" s="18"/>
      <c r="DO122" s="18"/>
      <c r="DP122" s="18"/>
      <c r="DQ122" s="18"/>
      <c r="DR122" s="18"/>
      <c r="DS122" s="18"/>
      <c r="DT122" s="18"/>
      <c r="DU122" s="18"/>
      <c r="DV122" s="18"/>
      <c r="DW122" s="18"/>
      <c r="DX122" s="18"/>
      <c r="DY122" s="18"/>
      <c r="DZ122" s="18"/>
    </row>
    <row r="123" spans="1:130" ht="15" customHeight="1" x14ac:dyDescent="0.3">
      <c r="A123" s="30" t="s">
        <v>373</v>
      </c>
      <c r="B123" s="73" t="s">
        <v>220</v>
      </c>
      <c r="C123" s="74">
        <v>10045</v>
      </c>
      <c r="D123" s="74">
        <v>9410</v>
      </c>
      <c r="E123" s="74">
        <v>11128</v>
      </c>
      <c r="F123" s="74">
        <v>5884</v>
      </c>
      <c r="G123" s="74">
        <v>5927</v>
      </c>
      <c r="H123" s="74">
        <v>11559</v>
      </c>
      <c r="I123" s="74">
        <v>10161</v>
      </c>
      <c r="J123" s="74">
        <v>8629</v>
      </c>
      <c r="K123" s="74">
        <v>6868</v>
      </c>
      <c r="L123" s="74">
        <v>6823</v>
      </c>
      <c r="M123" s="75">
        <v>38315</v>
      </c>
      <c r="N123" s="17"/>
      <c r="O123" s="17"/>
      <c r="P123" s="17"/>
      <c r="Q123" s="17"/>
      <c r="R123" s="17"/>
      <c r="S123" s="17"/>
      <c r="T123" s="17"/>
      <c r="U123" s="18"/>
      <c r="V123" s="18"/>
      <c r="W123" s="18"/>
      <c r="X123" s="18"/>
      <c r="Y123" s="18"/>
      <c r="Z123" s="18"/>
      <c r="AA123" s="18"/>
      <c r="AB123" s="18"/>
      <c r="AC123" s="18"/>
      <c r="AD123" s="18"/>
      <c r="AE123" s="18" t="s">
        <v>220</v>
      </c>
      <c r="AF123" s="85">
        <v>0</v>
      </c>
      <c r="AG123" s="85">
        <v>0</v>
      </c>
      <c r="AH123" s="85">
        <v>0</v>
      </c>
      <c r="AI123" s="85">
        <v>0</v>
      </c>
      <c r="AJ123" s="85">
        <v>0</v>
      </c>
      <c r="AK123" s="85">
        <v>0</v>
      </c>
      <c r="AL123" s="85">
        <v>0</v>
      </c>
      <c r="AM123" s="85">
        <v>0</v>
      </c>
      <c r="AN123" s="18"/>
      <c r="AO123" s="18"/>
      <c r="AP123" s="77" t="s">
        <v>220</v>
      </c>
      <c r="AQ123" s="86">
        <v>10045</v>
      </c>
      <c r="AR123" s="86">
        <v>9410</v>
      </c>
      <c r="AS123" s="86">
        <v>11128</v>
      </c>
      <c r="AT123" s="86">
        <v>5884</v>
      </c>
      <c r="AU123" s="86">
        <v>5927</v>
      </c>
      <c r="AV123" s="86">
        <v>11559</v>
      </c>
      <c r="AW123" s="86">
        <v>10161</v>
      </c>
      <c r="AX123" s="86">
        <v>8629</v>
      </c>
      <c r="AY123" s="86">
        <v>6868</v>
      </c>
      <c r="AZ123" s="86">
        <v>6823</v>
      </c>
      <c r="BA123" s="87">
        <v>38315</v>
      </c>
      <c r="BB123" s="18"/>
      <c r="BC123" s="18"/>
      <c r="BD123" s="18"/>
      <c r="BE123" s="18"/>
      <c r="BF123" s="18"/>
      <c r="BG123" s="18"/>
      <c r="BH123" s="18"/>
      <c r="BI123" s="18"/>
      <c r="BJ123" s="18"/>
      <c r="BK123" s="18"/>
      <c r="BL123" s="18"/>
      <c r="BM123" s="18"/>
      <c r="BN123" s="18"/>
      <c r="BO123" s="18"/>
      <c r="BP123" s="18"/>
      <c r="BQ123" s="37">
        <v>43644</v>
      </c>
      <c r="BR123" s="38">
        <v>26104.141299999999</v>
      </c>
      <c r="BS123" s="17"/>
      <c r="BT123" s="37">
        <v>43644</v>
      </c>
      <c r="BU123" s="38">
        <v>1798</v>
      </c>
      <c r="BV123" s="18"/>
      <c r="BW123" s="37"/>
      <c r="BX123" s="38"/>
      <c r="BY123" s="18"/>
      <c r="BZ123" s="39">
        <v>43644</v>
      </c>
      <c r="CA123" s="40">
        <v>26104.141299999999</v>
      </c>
      <c r="CB123" s="17"/>
      <c r="CC123" s="39">
        <v>43644</v>
      </c>
      <c r="CD123" s="40">
        <v>17.98</v>
      </c>
      <c r="CE123" s="18"/>
      <c r="CF123" s="18"/>
      <c r="CG123" s="18"/>
      <c r="CH123" s="18"/>
      <c r="CI123" s="18"/>
      <c r="CJ123" s="18"/>
      <c r="CK123" s="18"/>
      <c r="CL123" s="18"/>
      <c r="CM123" s="18"/>
      <c r="CN123" s="18"/>
      <c r="CO123" s="18"/>
      <c r="CP123" s="18"/>
      <c r="CQ123" s="18"/>
      <c r="CR123" s="18"/>
      <c r="CS123" s="18"/>
      <c r="CT123" s="18"/>
      <c r="CU123" s="18"/>
      <c r="CV123" s="18"/>
      <c r="CW123" s="18"/>
      <c r="CX123" s="18"/>
      <c r="CY123" s="37">
        <v>44937</v>
      </c>
      <c r="CZ123" s="38">
        <v>18.215599999999998</v>
      </c>
      <c r="DA123" s="18"/>
      <c r="DB123" s="37">
        <v>44026</v>
      </c>
      <c r="DC123" s="38">
        <v>17.819800000000001</v>
      </c>
      <c r="DD123" s="18"/>
      <c r="DE123" s="37">
        <v>44026</v>
      </c>
      <c r="DF123" s="38">
        <v>16.750499999999999</v>
      </c>
      <c r="DG123" s="18"/>
      <c r="DH123" s="37">
        <v>44026</v>
      </c>
      <c r="DI123" s="38">
        <v>21.012699999999999</v>
      </c>
      <c r="DJ123" s="18"/>
      <c r="DK123" s="37">
        <v>44026</v>
      </c>
      <c r="DL123" s="38">
        <v>0.15620000000000001</v>
      </c>
      <c r="DM123" s="18"/>
      <c r="DN123" s="18"/>
      <c r="DO123" s="18"/>
      <c r="DP123" s="18"/>
      <c r="DQ123" s="18"/>
      <c r="DR123" s="18"/>
      <c r="DS123" s="18"/>
      <c r="DT123" s="18"/>
      <c r="DU123" s="18"/>
      <c r="DV123" s="18"/>
      <c r="DW123" s="18"/>
      <c r="DX123" s="18"/>
      <c r="DY123" s="18"/>
      <c r="DZ123" s="18"/>
    </row>
    <row r="124" spans="1:130" ht="15" customHeight="1" thickBot="1" x14ac:dyDescent="0.35">
      <c r="A124" s="30" t="s">
        <v>169</v>
      </c>
      <c r="B124" s="90" t="s">
        <v>46</v>
      </c>
      <c r="C124" s="91">
        <v>15326</v>
      </c>
      <c r="D124" s="91">
        <v>15032</v>
      </c>
      <c r="E124" s="91">
        <v>16145</v>
      </c>
      <c r="F124" s="91">
        <v>11180</v>
      </c>
      <c r="G124" s="91">
        <v>10133</v>
      </c>
      <c r="H124" s="91">
        <v>19250</v>
      </c>
      <c r="I124" s="91">
        <v>17650</v>
      </c>
      <c r="J124" s="91">
        <v>17383</v>
      </c>
      <c r="K124" s="91">
        <v>14545</v>
      </c>
      <c r="L124" s="91">
        <v>13393</v>
      </c>
      <c r="M124" s="92">
        <v>45242</v>
      </c>
      <c r="N124" s="17"/>
      <c r="O124" s="17"/>
      <c r="P124" s="17"/>
      <c r="Q124" s="17"/>
      <c r="R124" s="17"/>
      <c r="S124" s="17"/>
      <c r="T124" s="17"/>
      <c r="U124" s="18"/>
      <c r="V124" s="18"/>
      <c r="W124" s="18"/>
      <c r="X124" s="18"/>
      <c r="Y124" s="18"/>
      <c r="Z124" s="18"/>
      <c r="AA124" s="18"/>
      <c r="AB124" s="18"/>
      <c r="AC124" s="18"/>
      <c r="AD124" s="18"/>
      <c r="AE124" s="18" t="s">
        <v>46</v>
      </c>
      <c r="AF124" s="85">
        <v>0</v>
      </c>
      <c r="AG124" s="85">
        <v>0</v>
      </c>
      <c r="AH124" s="85">
        <v>0</v>
      </c>
      <c r="AI124" s="85">
        <v>0</v>
      </c>
      <c r="AJ124" s="85">
        <v>0</v>
      </c>
      <c r="AK124" s="85">
        <v>0</v>
      </c>
      <c r="AL124" s="85">
        <v>0</v>
      </c>
      <c r="AM124" s="85">
        <v>0</v>
      </c>
      <c r="AN124" s="18"/>
      <c r="AO124" s="18"/>
      <c r="AP124" s="105" t="s">
        <v>46</v>
      </c>
      <c r="AQ124" s="86">
        <v>15326</v>
      </c>
      <c r="AR124" s="86">
        <v>15032</v>
      </c>
      <c r="AS124" s="86">
        <v>16145</v>
      </c>
      <c r="AT124" s="86">
        <v>11180</v>
      </c>
      <c r="AU124" s="86">
        <v>10133</v>
      </c>
      <c r="AV124" s="86">
        <v>19250</v>
      </c>
      <c r="AW124" s="86">
        <v>17650</v>
      </c>
      <c r="AX124" s="86">
        <v>17383</v>
      </c>
      <c r="AY124" s="86">
        <v>14545</v>
      </c>
      <c r="AZ124" s="86">
        <v>13393</v>
      </c>
      <c r="BA124" s="87">
        <v>45242</v>
      </c>
      <c r="BB124" s="18"/>
      <c r="BC124" s="18"/>
      <c r="BD124" s="18"/>
      <c r="BE124" s="18"/>
      <c r="BF124" s="18"/>
      <c r="BG124" s="18"/>
      <c r="BH124" s="18"/>
      <c r="BI124" s="18"/>
      <c r="BJ124" s="18"/>
      <c r="BK124" s="18"/>
      <c r="BL124" s="18"/>
      <c r="BM124" s="18"/>
      <c r="BN124" s="18"/>
      <c r="BO124" s="18"/>
      <c r="BP124" s="18"/>
      <c r="BQ124" s="37">
        <v>43677</v>
      </c>
      <c r="BR124" s="38">
        <v>24303.8557</v>
      </c>
      <c r="BS124" s="17"/>
      <c r="BT124" s="37">
        <v>43677</v>
      </c>
      <c r="BU124" s="38">
        <v>1674</v>
      </c>
      <c r="BV124" s="18"/>
      <c r="BW124" s="37"/>
      <c r="BX124" s="38"/>
      <c r="BY124" s="18"/>
      <c r="BZ124" s="39">
        <v>43677</v>
      </c>
      <c r="CA124" s="40">
        <v>24303.8557</v>
      </c>
      <c r="CB124" s="17"/>
      <c r="CC124" s="39">
        <v>43677</v>
      </c>
      <c r="CD124" s="40">
        <v>16.740000000000002</v>
      </c>
      <c r="CE124" s="18"/>
      <c r="CF124" s="18"/>
      <c r="CG124" s="18"/>
      <c r="CH124" s="18"/>
      <c r="CI124" s="18"/>
      <c r="CJ124" s="18"/>
      <c r="CK124" s="18"/>
      <c r="CL124" s="18"/>
      <c r="CM124" s="18"/>
      <c r="CN124" s="18"/>
      <c r="CO124" s="18"/>
      <c r="CP124" s="18"/>
      <c r="CQ124" s="18"/>
      <c r="CR124" s="18"/>
      <c r="CS124" s="18"/>
      <c r="CT124" s="18"/>
      <c r="CU124" s="18"/>
      <c r="CV124" s="18"/>
      <c r="CW124" s="18"/>
      <c r="CX124" s="18"/>
      <c r="CY124" s="37">
        <v>44938</v>
      </c>
      <c r="CZ124" s="38">
        <v>18.1965</v>
      </c>
      <c r="DA124" s="18"/>
      <c r="DB124" s="37">
        <v>44027</v>
      </c>
      <c r="DC124" s="38">
        <v>17.570699999999999</v>
      </c>
      <c r="DD124" s="18"/>
      <c r="DE124" s="37">
        <v>44027</v>
      </c>
      <c r="DF124" s="38">
        <v>16.592400000000001</v>
      </c>
      <c r="DG124" s="18"/>
      <c r="DH124" s="37">
        <v>44027</v>
      </c>
      <c r="DI124" s="38">
        <v>20.887799999999999</v>
      </c>
      <c r="DJ124" s="18"/>
      <c r="DK124" s="37">
        <v>44027</v>
      </c>
      <c r="DL124" s="38">
        <v>0.15509999999999999</v>
      </c>
      <c r="DM124" s="18"/>
      <c r="DN124" s="18"/>
      <c r="DO124" s="18"/>
      <c r="DP124" s="18"/>
      <c r="DQ124" s="18"/>
      <c r="DR124" s="18"/>
      <c r="DS124" s="18"/>
      <c r="DT124" s="18"/>
      <c r="DU124" s="18"/>
      <c r="DV124" s="18"/>
      <c r="DW124" s="18"/>
      <c r="DX124" s="18"/>
      <c r="DY124" s="18"/>
      <c r="DZ124" s="18"/>
    </row>
    <row r="125" spans="1:130" ht="15" customHeight="1" x14ac:dyDescent="0.3">
      <c r="A125" s="100" t="s">
        <v>818</v>
      </c>
      <c r="B125" s="90" t="s">
        <v>221</v>
      </c>
      <c r="C125" s="91">
        <v>644</v>
      </c>
      <c r="D125" s="91">
        <v>644</v>
      </c>
      <c r="E125" s="91">
        <v>644</v>
      </c>
      <c r="F125" s="91">
        <v>644</v>
      </c>
      <c r="G125" s="91">
        <v>644</v>
      </c>
      <c r="H125" s="91">
        <v>644</v>
      </c>
      <c r="I125" s="91">
        <v>644</v>
      </c>
      <c r="J125" s="91">
        <v>644</v>
      </c>
      <c r="K125" s="91">
        <v>644</v>
      </c>
      <c r="L125" s="91">
        <v>644</v>
      </c>
      <c r="M125" s="92">
        <v>644</v>
      </c>
      <c r="N125" s="17"/>
      <c r="O125" s="17"/>
      <c r="P125" s="17"/>
      <c r="Q125" s="17"/>
      <c r="R125" s="17"/>
      <c r="S125" s="17"/>
      <c r="T125" s="17"/>
      <c r="U125" s="18"/>
      <c r="V125" s="18"/>
      <c r="W125" s="18"/>
      <c r="X125" s="18"/>
      <c r="Y125" s="18"/>
      <c r="Z125" s="18"/>
      <c r="AA125" s="18"/>
      <c r="AB125" s="18"/>
      <c r="AC125" s="18"/>
      <c r="AD125" s="18"/>
      <c r="AE125" s="18" t="s">
        <v>221</v>
      </c>
      <c r="AF125" s="85">
        <v>0</v>
      </c>
      <c r="AG125" s="85">
        <v>0</v>
      </c>
      <c r="AH125" s="85">
        <v>0</v>
      </c>
      <c r="AI125" s="85">
        <v>0</v>
      </c>
      <c r="AJ125" s="85">
        <v>0</v>
      </c>
      <c r="AK125" s="85">
        <v>0</v>
      </c>
      <c r="AL125" s="85">
        <v>0</v>
      </c>
      <c r="AM125" s="85">
        <v>0</v>
      </c>
      <c r="AN125" s="18"/>
      <c r="AO125" s="18"/>
      <c r="AP125" s="77" t="s">
        <v>221</v>
      </c>
      <c r="AQ125" s="18">
        <v>644</v>
      </c>
      <c r="AR125" s="18">
        <v>644</v>
      </c>
      <c r="AS125" s="18">
        <v>644</v>
      </c>
      <c r="AT125" s="18">
        <v>644</v>
      </c>
      <c r="AU125" s="18">
        <v>644</v>
      </c>
      <c r="AV125" s="18">
        <v>644</v>
      </c>
      <c r="AW125" s="18">
        <v>644</v>
      </c>
      <c r="AX125" s="18">
        <v>644</v>
      </c>
      <c r="AY125" s="18">
        <v>644</v>
      </c>
      <c r="AZ125" s="18">
        <v>644</v>
      </c>
      <c r="BA125" s="78">
        <v>644</v>
      </c>
      <c r="BB125" s="18"/>
      <c r="BC125" s="18"/>
      <c r="BD125" s="18"/>
      <c r="BE125" s="18"/>
      <c r="BF125" s="18"/>
      <c r="BG125" s="18"/>
      <c r="BH125" s="18"/>
      <c r="BI125" s="18"/>
      <c r="BJ125" s="18"/>
      <c r="BK125" s="18"/>
      <c r="BL125" s="18"/>
      <c r="BM125" s="18"/>
      <c r="BN125" s="18"/>
      <c r="BO125" s="18"/>
      <c r="BP125" s="18"/>
      <c r="BQ125" s="37">
        <v>43707</v>
      </c>
      <c r="BR125" s="38">
        <v>23665.044600000001</v>
      </c>
      <c r="BS125" s="17"/>
      <c r="BT125" s="37">
        <v>43707</v>
      </c>
      <c r="BU125" s="38">
        <v>1630</v>
      </c>
      <c r="BV125" s="18"/>
      <c r="BW125" s="37"/>
      <c r="BX125" s="38"/>
      <c r="BY125" s="18"/>
      <c r="BZ125" s="39">
        <v>43707</v>
      </c>
      <c r="CA125" s="40">
        <v>23665.044600000001</v>
      </c>
      <c r="CB125" s="17"/>
      <c r="CC125" s="39">
        <v>43707</v>
      </c>
      <c r="CD125" s="40">
        <v>16.3</v>
      </c>
      <c r="CE125" s="18"/>
      <c r="CF125" s="18"/>
      <c r="CG125" s="18"/>
      <c r="CH125" s="18"/>
      <c r="CI125" s="18"/>
      <c r="CJ125" s="18"/>
      <c r="CK125" s="18"/>
      <c r="CL125" s="18"/>
      <c r="CM125" s="18"/>
      <c r="CN125" s="18"/>
      <c r="CO125" s="18"/>
      <c r="CP125" s="18"/>
      <c r="CQ125" s="18"/>
      <c r="CR125" s="18"/>
      <c r="CS125" s="18"/>
      <c r="CT125" s="18"/>
      <c r="CU125" s="18"/>
      <c r="CV125" s="18"/>
      <c r="CW125" s="18"/>
      <c r="CX125" s="18"/>
      <c r="CY125" s="37">
        <v>44939</v>
      </c>
      <c r="CZ125" s="38">
        <v>18.223299999999998</v>
      </c>
      <c r="DA125" s="18"/>
      <c r="DB125" s="37">
        <v>44028</v>
      </c>
      <c r="DC125" s="38">
        <v>17.7042</v>
      </c>
      <c r="DD125" s="18"/>
      <c r="DE125" s="37">
        <v>44028</v>
      </c>
      <c r="DF125" s="38">
        <v>16.7593</v>
      </c>
      <c r="DG125" s="18"/>
      <c r="DH125" s="37">
        <v>44028</v>
      </c>
      <c r="DI125" s="38">
        <v>21.033799999999999</v>
      </c>
      <c r="DJ125" s="18"/>
      <c r="DK125" s="37">
        <v>44028</v>
      </c>
      <c r="DL125" s="38">
        <v>0.15609999999999999</v>
      </c>
      <c r="DM125" s="18"/>
      <c r="DN125" s="18"/>
      <c r="DO125" s="18"/>
      <c r="DP125" s="18"/>
      <c r="DQ125" s="18"/>
      <c r="DR125" s="18"/>
      <c r="DS125" s="18"/>
      <c r="DT125" s="18"/>
      <c r="DU125" s="18"/>
      <c r="DV125" s="18"/>
      <c r="DW125" s="18"/>
      <c r="DX125" s="18"/>
      <c r="DY125" s="18"/>
      <c r="DZ125" s="18"/>
    </row>
    <row r="126" spans="1:130" ht="15" customHeight="1" x14ac:dyDescent="0.3">
      <c r="A126" s="100" t="s">
        <v>591</v>
      </c>
      <c r="B126" s="73" t="s">
        <v>616</v>
      </c>
      <c r="C126" s="74">
        <v>54</v>
      </c>
      <c r="D126" s="74">
        <v>12</v>
      </c>
      <c r="E126" s="74">
        <v>32</v>
      </c>
      <c r="F126" s="74">
        <v>52</v>
      </c>
      <c r="G126" s="74">
        <v>50</v>
      </c>
      <c r="H126" s="74">
        <v>-64</v>
      </c>
      <c r="I126" s="74">
        <v>2188</v>
      </c>
      <c r="J126" s="74">
        <v>3325</v>
      </c>
      <c r="K126" s="74">
        <v>2882</v>
      </c>
      <c r="L126" s="74">
        <v>2611</v>
      </c>
      <c r="M126" s="75">
        <v>-2666</v>
      </c>
      <c r="N126" s="17"/>
      <c r="O126" s="17"/>
      <c r="P126" s="17"/>
      <c r="Q126" s="17"/>
      <c r="R126" s="17"/>
      <c r="S126" s="17"/>
      <c r="T126" s="17"/>
      <c r="U126" s="18"/>
      <c r="V126" s="18"/>
      <c r="W126" s="18"/>
      <c r="X126" s="18"/>
      <c r="Y126" s="18"/>
      <c r="Z126" s="18"/>
      <c r="AA126" s="18"/>
      <c r="AB126" s="18"/>
      <c r="AC126" s="18"/>
      <c r="AD126" s="18"/>
      <c r="AE126" s="18" t="s">
        <v>616</v>
      </c>
      <c r="AF126" s="85">
        <v>0</v>
      </c>
      <c r="AG126" s="85">
        <v>0</v>
      </c>
      <c r="AH126" s="85">
        <v>0</v>
      </c>
      <c r="AI126" s="85">
        <v>0</v>
      </c>
      <c r="AJ126" s="85">
        <v>0</v>
      </c>
      <c r="AK126" s="85">
        <v>0</v>
      </c>
      <c r="AL126" s="85">
        <v>0</v>
      </c>
      <c r="AM126" s="85">
        <v>0</v>
      </c>
      <c r="AN126" s="18"/>
      <c r="AO126" s="18"/>
      <c r="AP126" s="77" t="s">
        <v>42</v>
      </c>
      <c r="AQ126" s="18">
        <v>54</v>
      </c>
      <c r="AR126" s="18">
        <v>12</v>
      </c>
      <c r="AS126" s="18">
        <v>32</v>
      </c>
      <c r="AT126" s="18">
        <v>52</v>
      </c>
      <c r="AU126" s="18">
        <v>50</v>
      </c>
      <c r="AV126" s="18">
        <v>-64</v>
      </c>
      <c r="AW126" s="18">
        <v>2188</v>
      </c>
      <c r="AX126" s="18">
        <v>3325</v>
      </c>
      <c r="AY126" s="18">
        <v>2882</v>
      </c>
      <c r="AZ126" s="18">
        <v>2611</v>
      </c>
      <c r="BA126" s="78">
        <v>-2666</v>
      </c>
      <c r="BB126" s="18"/>
      <c r="BC126" s="18"/>
      <c r="BD126" s="18"/>
      <c r="BE126" s="18"/>
      <c r="BF126" s="18"/>
      <c r="BG126" s="18"/>
      <c r="BH126" s="18"/>
      <c r="BI126" s="18"/>
      <c r="BJ126" s="18"/>
      <c r="BK126" s="18"/>
      <c r="BL126" s="18"/>
      <c r="BM126" s="18"/>
      <c r="BN126" s="18"/>
      <c r="BO126" s="18"/>
      <c r="BP126" s="18"/>
      <c r="BQ126" s="37">
        <v>43738</v>
      </c>
      <c r="BR126" s="38">
        <v>25479.848699999999</v>
      </c>
      <c r="BS126" s="17"/>
      <c r="BT126" s="37">
        <v>43738</v>
      </c>
      <c r="BU126" s="38">
        <v>1755</v>
      </c>
      <c r="BV126" s="18"/>
      <c r="BW126" s="37"/>
      <c r="BX126" s="38"/>
      <c r="BY126" s="18"/>
      <c r="BZ126" s="39">
        <v>43738</v>
      </c>
      <c r="CA126" s="40">
        <v>25479.848699999999</v>
      </c>
      <c r="CB126" s="17"/>
      <c r="CC126" s="39">
        <v>43738</v>
      </c>
      <c r="CD126" s="40">
        <v>17.55</v>
      </c>
      <c r="CE126" s="18"/>
      <c r="CF126" s="18"/>
      <c r="CG126" s="18"/>
      <c r="CH126" s="18"/>
      <c r="CI126" s="18"/>
      <c r="CJ126" s="18"/>
      <c r="CK126" s="18"/>
      <c r="CL126" s="18"/>
      <c r="CM126" s="18"/>
      <c r="CN126" s="18"/>
      <c r="CO126" s="18"/>
      <c r="CP126" s="18"/>
      <c r="CQ126" s="18"/>
      <c r="CR126" s="18"/>
      <c r="CS126" s="18"/>
      <c r="CT126" s="18"/>
      <c r="CU126" s="18"/>
      <c r="CV126" s="18"/>
      <c r="CW126" s="18"/>
      <c r="CX126" s="18"/>
      <c r="CY126" s="37">
        <v>44942</v>
      </c>
      <c r="CZ126" s="38">
        <v>18.473600000000001</v>
      </c>
      <c r="DA126" s="18"/>
      <c r="DB126" s="37">
        <v>44029</v>
      </c>
      <c r="DC126" s="38">
        <v>17.784099999999999</v>
      </c>
      <c r="DD126" s="18"/>
      <c r="DE126" s="37">
        <v>44029</v>
      </c>
      <c r="DF126" s="38">
        <v>16.694700000000001</v>
      </c>
      <c r="DG126" s="18"/>
      <c r="DH126" s="37">
        <v>44029</v>
      </c>
      <c r="DI126" s="38">
        <v>20.966000000000001</v>
      </c>
      <c r="DJ126" s="18"/>
      <c r="DK126" s="37">
        <v>44029</v>
      </c>
      <c r="DL126" s="38">
        <v>0.15590000000000001</v>
      </c>
      <c r="DM126" s="18"/>
      <c r="DN126" s="18"/>
      <c r="DO126" s="18"/>
      <c r="DP126" s="18"/>
      <c r="DQ126" s="18"/>
      <c r="DR126" s="18"/>
      <c r="DS126" s="18"/>
      <c r="DT126" s="18"/>
      <c r="DU126" s="18"/>
      <c r="DV126" s="18"/>
      <c r="DW126" s="18"/>
      <c r="DX126" s="18"/>
      <c r="DY126" s="18"/>
      <c r="DZ126" s="18"/>
    </row>
    <row r="127" spans="1:130" ht="15" customHeight="1" x14ac:dyDescent="0.3">
      <c r="A127" s="30" t="s">
        <v>374</v>
      </c>
      <c r="B127" s="73" t="s">
        <v>222</v>
      </c>
      <c r="C127" s="74">
        <v>4297</v>
      </c>
      <c r="D127" s="74">
        <v>4297</v>
      </c>
      <c r="E127" s="74">
        <v>4297</v>
      </c>
      <c r="F127" s="74">
        <v>4334</v>
      </c>
      <c r="G127" s="74">
        <v>4391</v>
      </c>
      <c r="H127" s="74">
        <v>4205</v>
      </c>
      <c r="I127" s="74">
        <v>4197</v>
      </c>
      <c r="J127" s="74">
        <v>4033</v>
      </c>
      <c r="K127" s="74">
        <v>962</v>
      </c>
      <c r="L127" s="74">
        <v>934</v>
      </c>
      <c r="M127" s="75">
        <v>720</v>
      </c>
      <c r="N127" s="17"/>
      <c r="O127" s="17"/>
      <c r="P127" s="17"/>
      <c r="Q127" s="17"/>
      <c r="R127" s="17"/>
      <c r="S127" s="17"/>
      <c r="T127" s="17"/>
      <c r="U127" s="18"/>
      <c r="V127" s="18"/>
      <c r="W127" s="18"/>
      <c r="X127" s="18"/>
      <c r="Y127" s="18"/>
      <c r="Z127" s="18"/>
      <c r="AA127" s="18"/>
      <c r="AB127" s="18"/>
      <c r="AC127" s="18"/>
      <c r="AD127" s="18"/>
      <c r="AE127" s="18" t="s">
        <v>222</v>
      </c>
      <c r="AF127" s="85">
        <v>0</v>
      </c>
      <c r="AG127" s="85">
        <v>0</v>
      </c>
      <c r="AH127" s="85">
        <v>0</v>
      </c>
      <c r="AI127" s="85">
        <v>0</v>
      </c>
      <c r="AJ127" s="85">
        <v>0</v>
      </c>
      <c r="AK127" s="85">
        <v>0</v>
      </c>
      <c r="AL127" s="85">
        <v>0</v>
      </c>
      <c r="AM127" s="85">
        <v>0</v>
      </c>
      <c r="AN127" s="18"/>
      <c r="AO127" s="18"/>
      <c r="AP127" s="77" t="s">
        <v>222</v>
      </c>
      <c r="AQ127" s="18">
        <v>4297</v>
      </c>
      <c r="AR127" s="18">
        <v>4297</v>
      </c>
      <c r="AS127" s="18">
        <v>4297</v>
      </c>
      <c r="AT127" s="18">
        <v>4334</v>
      </c>
      <c r="AU127" s="18">
        <v>4391</v>
      </c>
      <c r="AV127" s="18">
        <v>4205</v>
      </c>
      <c r="AW127" s="18">
        <v>4197</v>
      </c>
      <c r="AX127" s="18">
        <v>4033</v>
      </c>
      <c r="AY127" s="18">
        <v>962</v>
      </c>
      <c r="AZ127" s="18">
        <v>934</v>
      </c>
      <c r="BA127" s="78">
        <v>720</v>
      </c>
      <c r="BB127" s="18"/>
      <c r="BC127" s="18"/>
      <c r="BD127" s="18"/>
      <c r="BE127" s="18"/>
      <c r="BF127" s="18"/>
      <c r="BG127" s="18"/>
      <c r="BH127" s="18"/>
      <c r="BI127" s="18"/>
      <c r="BJ127" s="18"/>
      <c r="BK127" s="18"/>
      <c r="BL127" s="18"/>
      <c r="BM127" s="18"/>
      <c r="BN127" s="18"/>
      <c r="BO127" s="18"/>
      <c r="BP127" s="18"/>
      <c r="BQ127" s="37">
        <v>43769</v>
      </c>
      <c r="BR127" s="38">
        <v>24841.0376</v>
      </c>
      <c r="BS127" s="17"/>
      <c r="BT127" s="37">
        <v>43769</v>
      </c>
      <c r="BU127" s="38">
        <v>1711</v>
      </c>
      <c r="BV127" s="18"/>
      <c r="BW127" s="37"/>
      <c r="BX127" s="38"/>
      <c r="BY127" s="18"/>
      <c r="BZ127" s="39">
        <v>43769</v>
      </c>
      <c r="CA127" s="40">
        <v>24841.0376</v>
      </c>
      <c r="CB127" s="17"/>
      <c r="CC127" s="39">
        <v>43769</v>
      </c>
      <c r="CD127" s="40">
        <v>17.11</v>
      </c>
      <c r="CE127" s="18"/>
      <c r="CF127" s="18"/>
      <c r="CG127" s="18"/>
      <c r="CH127" s="18"/>
      <c r="CI127" s="18"/>
      <c r="CJ127" s="18"/>
      <c r="CK127" s="18"/>
      <c r="CL127" s="18"/>
      <c r="CM127" s="18"/>
      <c r="CN127" s="18"/>
      <c r="CO127" s="18"/>
      <c r="CP127" s="18"/>
      <c r="CQ127" s="18"/>
      <c r="CR127" s="18"/>
      <c r="CS127" s="18"/>
      <c r="CT127" s="18"/>
      <c r="CU127" s="18"/>
      <c r="CV127" s="18"/>
      <c r="CW127" s="18"/>
      <c r="CX127" s="18"/>
      <c r="CY127" s="37">
        <v>44943</v>
      </c>
      <c r="CZ127" s="38">
        <v>18.412600000000001</v>
      </c>
      <c r="DA127" s="18"/>
      <c r="DB127" s="37">
        <v>44032</v>
      </c>
      <c r="DC127" s="38">
        <v>17.718800000000002</v>
      </c>
      <c r="DD127" s="18"/>
      <c r="DE127" s="37">
        <v>44032</v>
      </c>
      <c r="DF127" s="38">
        <v>16.638200000000001</v>
      </c>
      <c r="DG127" s="18"/>
      <c r="DH127" s="37">
        <v>44032</v>
      </c>
      <c r="DI127" s="38">
        <v>21.048400000000001</v>
      </c>
      <c r="DJ127" s="18"/>
      <c r="DK127" s="37">
        <v>44032</v>
      </c>
      <c r="DL127" s="38">
        <v>0.15509999999999999</v>
      </c>
      <c r="DM127" s="18"/>
      <c r="DN127" s="18"/>
      <c r="DO127" s="18"/>
      <c r="DP127" s="18"/>
      <c r="DQ127" s="18"/>
      <c r="DR127" s="18"/>
      <c r="DS127" s="18"/>
      <c r="DT127" s="18"/>
      <c r="DU127" s="18"/>
      <c r="DV127" s="18"/>
      <c r="DW127" s="18"/>
      <c r="DX127" s="18"/>
      <c r="DY127" s="18"/>
      <c r="DZ127" s="18"/>
    </row>
    <row r="128" spans="1:130" ht="15" customHeight="1" x14ac:dyDescent="0.3">
      <c r="A128" s="30" t="s">
        <v>375</v>
      </c>
      <c r="B128" s="73" t="s">
        <v>223</v>
      </c>
      <c r="C128" s="74">
        <v>5949</v>
      </c>
      <c r="D128" s="74">
        <v>5636</v>
      </c>
      <c r="E128" s="74">
        <v>4826</v>
      </c>
      <c r="F128" s="74">
        <v>5205</v>
      </c>
      <c r="G128" s="74">
        <v>5330</v>
      </c>
      <c r="H128" s="74">
        <v>4077</v>
      </c>
      <c r="I128" s="74">
        <v>5980</v>
      </c>
      <c r="J128" s="74">
        <v>6279</v>
      </c>
      <c r="K128" s="74">
        <v>7684</v>
      </c>
      <c r="L128" s="74">
        <v>6226</v>
      </c>
      <c r="M128" s="75">
        <v>282</v>
      </c>
      <c r="N128" s="17"/>
      <c r="O128" s="17"/>
      <c r="P128" s="17"/>
      <c r="Q128" s="17"/>
      <c r="R128" s="17"/>
      <c r="S128" s="17"/>
      <c r="T128" s="17"/>
      <c r="U128" s="18"/>
      <c r="V128" s="18"/>
      <c r="W128" s="18"/>
      <c r="X128" s="18"/>
      <c r="Y128" s="18"/>
      <c r="Z128" s="18"/>
      <c r="AA128" s="18"/>
      <c r="AB128" s="18"/>
      <c r="AC128" s="18"/>
      <c r="AD128" s="18"/>
      <c r="AE128" s="18" t="s">
        <v>223</v>
      </c>
      <c r="AF128" s="85">
        <v>0</v>
      </c>
      <c r="AG128" s="85">
        <v>0</v>
      </c>
      <c r="AH128" s="85">
        <v>0</v>
      </c>
      <c r="AI128" s="85">
        <v>0</v>
      </c>
      <c r="AJ128" s="85">
        <v>0</v>
      </c>
      <c r="AK128" s="85">
        <v>0</v>
      </c>
      <c r="AL128" s="85">
        <v>0</v>
      </c>
      <c r="AM128" s="85">
        <v>0</v>
      </c>
      <c r="AN128" s="18"/>
      <c r="AO128" s="18"/>
      <c r="AP128" s="77" t="s">
        <v>223</v>
      </c>
      <c r="AQ128" s="86">
        <v>5949</v>
      </c>
      <c r="AR128" s="86">
        <v>5636</v>
      </c>
      <c r="AS128" s="86">
        <v>4826</v>
      </c>
      <c r="AT128" s="86">
        <v>5205</v>
      </c>
      <c r="AU128" s="86">
        <v>5330</v>
      </c>
      <c r="AV128" s="86">
        <v>4077</v>
      </c>
      <c r="AW128" s="86">
        <v>5980</v>
      </c>
      <c r="AX128" s="86">
        <v>6279</v>
      </c>
      <c r="AY128" s="86">
        <v>7684</v>
      </c>
      <c r="AZ128" s="86">
        <v>6226</v>
      </c>
      <c r="BA128" s="87">
        <v>282</v>
      </c>
      <c r="BB128" s="18"/>
      <c r="BC128" s="18"/>
      <c r="BD128" s="18"/>
      <c r="BE128" s="18"/>
      <c r="BF128" s="18"/>
      <c r="BG128" s="18"/>
      <c r="BH128" s="18"/>
      <c r="BI128" s="18"/>
      <c r="BJ128" s="18"/>
      <c r="BK128" s="18"/>
      <c r="BL128" s="18"/>
      <c r="BM128" s="18"/>
      <c r="BN128" s="18"/>
      <c r="BO128" s="18"/>
      <c r="BP128" s="18"/>
      <c r="BQ128" s="37">
        <v>43798</v>
      </c>
      <c r="BR128" s="38">
        <v>29036.864600000001</v>
      </c>
      <c r="BS128" s="17"/>
      <c r="BT128" s="37">
        <v>43798</v>
      </c>
      <c r="BU128" s="38">
        <v>2000</v>
      </c>
      <c r="BV128" s="18"/>
      <c r="BW128" s="37"/>
      <c r="BX128" s="38"/>
      <c r="BY128" s="18"/>
      <c r="BZ128" s="39">
        <v>43798</v>
      </c>
      <c r="CA128" s="40">
        <v>29036.864600000001</v>
      </c>
      <c r="CB128" s="17"/>
      <c r="CC128" s="39">
        <v>43798</v>
      </c>
      <c r="CD128" s="40">
        <v>20</v>
      </c>
      <c r="CE128" s="18"/>
      <c r="CF128" s="18"/>
      <c r="CG128" s="18"/>
      <c r="CH128" s="18"/>
      <c r="CI128" s="18"/>
      <c r="CJ128" s="18"/>
      <c r="CK128" s="18"/>
      <c r="CL128" s="18"/>
      <c r="CM128" s="18"/>
      <c r="CN128" s="18"/>
      <c r="CO128" s="18"/>
      <c r="CP128" s="18"/>
      <c r="CQ128" s="18"/>
      <c r="CR128" s="18"/>
      <c r="CS128" s="18"/>
      <c r="CT128" s="18"/>
      <c r="CU128" s="18"/>
      <c r="CV128" s="18"/>
      <c r="CW128" s="18"/>
      <c r="CX128" s="18"/>
      <c r="CY128" s="37">
        <v>44944</v>
      </c>
      <c r="CZ128" s="38">
        <v>18.4941</v>
      </c>
      <c r="DA128" s="18"/>
      <c r="DB128" s="37">
        <v>44033</v>
      </c>
      <c r="DC128" s="38">
        <v>17.585999999999999</v>
      </c>
      <c r="DD128" s="18"/>
      <c r="DE128" s="37">
        <v>44033</v>
      </c>
      <c r="DF128" s="38">
        <v>16.4102</v>
      </c>
      <c r="DG128" s="18"/>
      <c r="DH128" s="37">
        <v>44033</v>
      </c>
      <c r="DI128" s="38">
        <v>20.894400000000001</v>
      </c>
      <c r="DJ128" s="18"/>
      <c r="DK128" s="37">
        <v>44033</v>
      </c>
      <c r="DL128" s="38">
        <v>0.1537</v>
      </c>
      <c r="DM128" s="18"/>
      <c r="DN128" s="18"/>
      <c r="DO128" s="18"/>
      <c r="DP128" s="18"/>
      <c r="DQ128" s="18"/>
      <c r="DR128" s="18"/>
      <c r="DS128" s="18"/>
      <c r="DT128" s="18"/>
      <c r="DU128" s="18"/>
      <c r="DV128" s="18"/>
      <c r="DW128" s="18"/>
      <c r="DX128" s="18"/>
      <c r="DY128" s="18"/>
      <c r="DZ128" s="18"/>
    </row>
    <row r="129" spans="1:130" ht="15" customHeight="1" x14ac:dyDescent="0.3">
      <c r="A129" s="119" t="s">
        <v>166</v>
      </c>
      <c r="B129" s="90" t="s">
        <v>224</v>
      </c>
      <c r="C129" s="91">
        <v>10944</v>
      </c>
      <c r="D129" s="91">
        <v>10589</v>
      </c>
      <c r="E129" s="91">
        <v>9799</v>
      </c>
      <c r="F129" s="91">
        <v>10235</v>
      </c>
      <c r="G129" s="91">
        <v>10415</v>
      </c>
      <c r="H129" s="91">
        <v>8862</v>
      </c>
      <c r="I129" s="91">
        <v>13009</v>
      </c>
      <c r="J129" s="91">
        <v>14281</v>
      </c>
      <c r="K129" s="91">
        <v>12172</v>
      </c>
      <c r="L129" s="91">
        <v>10415</v>
      </c>
      <c r="M129" s="92">
        <v>-1020</v>
      </c>
      <c r="N129" s="17"/>
      <c r="O129" s="17"/>
      <c r="P129" s="17"/>
      <c r="Q129" s="17"/>
      <c r="R129" s="17"/>
      <c r="S129" s="17"/>
      <c r="T129" s="17"/>
      <c r="U129" s="18"/>
      <c r="V129" s="18"/>
      <c r="W129" s="18"/>
      <c r="X129" s="18"/>
      <c r="Y129" s="18"/>
      <c r="Z129" s="18"/>
      <c r="AA129" s="18"/>
      <c r="AB129" s="18"/>
      <c r="AC129" s="18"/>
      <c r="AD129" s="18"/>
      <c r="AE129" s="18" t="s">
        <v>224</v>
      </c>
      <c r="AF129" s="85">
        <v>0</v>
      </c>
      <c r="AG129" s="85">
        <v>0</v>
      </c>
      <c r="AH129" s="85">
        <v>0</v>
      </c>
      <c r="AI129" s="85">
        <v>0</v>
      </c>
      <c r="AJ129" s="85">
        <v>0</v>
      </c>
      <c r="AK129" s="85">
        <v>0</v>
      </c>
      <c r="AL129" s="85">
        <v>0</v>
      </c>
      <c r="AM129" s="85">
        <v>0</v>
      </c>
      <c r="AN129" s="18"/>
      <c r="AO129" s="18"/>
      <c r="AP129" s="93" t="s">
        <v>224</v>
      </c>
      <c r="AQ129" s="86">
        <v>10944</v>
      </c>
      <c r="AR129" s="86">
        <v>10589</v>
      </c>
      <c r="AS129" s="86">
        <v>9799</v>
      </c>
      <c r="AT129" s="86">
        <v>10235</v>
      </c>
      <c r="AU129" s="86">
        <v>10415</v>
      </c>
      <c r="AV129" s="86">
        <v>8862</v>
      </c>
      <c r="AW129" s="86">
        <v>13009</v>
      </c>
      <c r="AX129" s="86">
        <v>14281</v>
      </c>
      <c r="AY129" s="86">
        <v>12172</v>
      </c>
      <c r="AZ129" s="86">
        <v>10415</v>
      </c>
      <c r="BA129" s="87">
        <v>-1020</v>
      </c>
      <c r="BB129" s="18"/>
      <c r="BC129" s="18"/>
      <c r="BD129" s="18"/>
      <c r="BE129" s="18"/>
      <c r="BF129" s="18"/>
      <c r="BG129" s="18"/>
      <c r="BH129" s="18"/>
      <c r="BI129" s="18"/>
      <c r="BJ129" s="18"/>
      <c r="BK129" s="18"/>
      <c r="BL129" s="18"/>
      <c r="BM129" s="18"/>
      <c r="BN129" s="18"/>
      <c r="BO129" s="18"/>
      <c r="BP129" s="18"/>
      <c r="BQ129" s="37">
        <v>43830</v>
      </c>
      <c r="BR129" s="38">
        <v>28004.691599999998</v>
      </c>
      <c r="BS129" s="17"/>
      <c r="BT129" s="37">
        <v>43830</v>
      </c>
      <c r="BU129" s="38">
        <v>1946</v>
      </c>
      <c r="BV129" s="18"/>
      <c r="BW129" s="37"/>
      <c r="BX129" s="38"/>
      <c r="BY129" s="18"/>
      <c r="BZ129" s="39">
        <v>43830</v>
      </c>
      <c r="CA129" s="40">
        <v>28004.691599999998</v>
      </c>
      <c r="CB129" s="17"/>
      <c r="CC129" s="39">
        <v>43830</v>
      </c>
      <c r="CD129" s="40">
        <v>19.46</v>
      </c>
      <c r="CE129" s="18"/>
      <c r="CF129" s="18"/>
      <c r="CG129" s="18"/>
      <c r="CH129" s="18"/>
      <c r="CI129" s="18"/>
      <c r="CJ129" s="18"/>
      <c r="CK129" s="18"/>
      <c r="CL129" s="18"/>
      <c r="CM129" s="18"/>
      <c r="CN129" s="18"/>
      <c r="CO129" s="18"/>
      <c r="CP129" s="18"/>
      <c r="CQ129" s="18"/>
      <c r="CR129" s="18"/>
      <c r="CS129" s="18"/>
      <c r="CT129" s="18"/>
      <c r="CU129" s="18"/>
      <c r="CV129" s="18"/>
      <c r="CW129" s="18"/>
      <c r="CX129" s="18"/>
      <c r="CY129" s="37">
        <v>44945</v>
      </c>
      <c r="CZ129" s="38">
        <v>18.748100000000001</v>
      </c>
      <c r="DA129" s="18"/>
      <c r="DB129" s="37">
        <v>44034</v>
      </c>
      <c r="DC129" s="38">
        <v>17.729600000000001</v>
      </c>
      <c r="DD129" s="18"/>
      <c r="DE129" s="37">
        <v>44034</v>
      </c>
      <c r="DF129" s="38">
        <v>16.484500000000001</v>
      </c>
      <c r="DG129" s="18"/>
      <c r="DH129" s="37">
        <v>44034</v>
      </c>
      <c r="DI129" s="38">
        <v>20.990400000000001</v>
      </c>
      <c r="DJ129" s="18"/>
      <c r="DK129" s="37">
        <v>44034</v>
      </c>
      <c r="DL129" s="38">
        <v>0.15390000000000001</v>
      </c>
      <c r="DM129" s="18"/>
      <c r="DN129" s="18"/>
      <c r="DO129" s="18"/>
      <c r="DP129" s="18"/>
      <c r="DQ129" s="18"/>
      <c r="DR129" s="18"/>
      <c r="DS129" s="18"/>
      <c r="DT129" s="18"/>
      <c r="DU129" s="18"/>
      <c r="DV129" s="18"/>
      <c r="DW129" s="18"/>
      <c r="DX129" s="18"/>
      <c r="DY129" s="18"/>
      <c r="DZ129" s="18"/>
    </row>
    <row r="130" spans="1:130" ht="15" customHeight="1" thickBot="1" x14ac:dyDescent="0.35">
      <c r="A130" s="30" t="s">
        <v>376</v>
      </c>
      <c r="B130" s="90" t="s">
        <v>225</v>
      </c>
      <c r="C130" s="91">
        <v>26270</v>
      </c>
      <c r="D130" s="91">
        <v>25621</v>
      </c>
      <c r="E130" s="91">
        <v>25944</v>
      </c>
      <c r="F130" s="91">
        <v>21415</v>
      </c>
      <c r="G130" s="91">
        <v>20548</v>
      </c>
      <c r="H130" s="91">
        <v>28112</v>
      </c>
      <c r="I130" s="91">
        <v>30659</v>
      </c>
      <c r="J130" s="91">
        <v>31664</v>
      </c>
      <c r="K130" s="91">
        <v>26717</v>
      </c>
      <c r="L130" s="91">
        <v>23808</v>
      </c>
      <c r="M130" s="92">
        <v>44222</v>
      </c>
      <c r="N130" s="17"/>
      <c r="O130" s="17"/>
      <c r="P130" s="17"/>
      <c r="Q130" s="17"/>
      <c r="R130" s="17"/>
      <c r="S130" s="17"/>
      <c r="T130" s="17"/>
      <c r="U130" s="18"/>
      <c r="V130" s="18"/>
      <c r="W130" s="18"/>
      <c r="X130" s="18"/>
      <c r="Y130" s="18"/>
      <c r="Z130" s="18"/>
      <c r="AA130" s="18"/>
      <c r="AB130" s="18"/>
      <c r="AC130" s="18"/>
      <c r="AD130" s="18"/>
      <c r="AE130" s="18" t="s">
        <v>225</v>
      </c>
      <c r="AF130" s="85">
        <v>0</v>
      </c>
      <c r="AG130" s="85">
        <v>0</v>
      </c>
      <c r="AH130" s="85">
        <v>0</v>
      </c>
      <c r="AI130" s="85">
        <v>0</v>
      </c>
      <c r="AJ130" s="85">
        <v>0</v>
      </c>
      <c r="AK130" s="85">
        <v>0</v>
      </c>
      <c r="AL130" s="85">
        <v>0</v>
      </c>
      <c r="AM130" s="85">
        <v>0</v>
      </c>
      <c r="AN130" s="18"/>
      <c r="AO130" s="18"/>
      <c r="AP130" s="105" t="s">
        <v>225</v>
      </c>
      <c r="AQ130" s="86">
        <v>26270</v>
      </c>
      <c r="AR130" s="86">
        <v>25621</v>
      </c>
      <c r="AS130" s="86">
        <v>25944</v>
      </c>
      <c r="AT130" s="86">
        <v>21415</v>
      </c>
      <c r="AU130" s="86">
        <v>20548</v>
      </c>
      <c r="AV130" s="86">
        <v>28112</v>
      </c>
      <c r="AW130" s="86">
        <v>30659</v>
      </c>
      <c r="AX130" s="86">
        <v>31664</v>
      </c>
      <c r="AY130" s="86">
        <v>26717</v>
      </c>
      <c r="AZ130" s="86">
        <v>23808</v>
      </c>
      <c r="BA130" s="87">
        <v>44222</v>
      </c>
      <c r="BB130" s="18"/>
      <c r="BC130" s="18"/>
      <c r="BD130" s="18"/>
      <c r="BE130" s="18"/>
      <c r="BF130" s="18"/>
      <c r="BG130" s="18"/>
      <c r="BH130" s="18"/>
      <c r="BI130" s="18"/>
      <c r="BJ130" s="18"/>
      <c r="BK130" s="18"/>
      <c r="BL130" s="18"/>
      <c r="BM130" s="18"/>
      <c r="BN130" s="18"/>
      <c r="BO130" s="18"/>
      <c r="BP130" s="18"/>
      <c r="BQ130" s="37">
        <v>43861</v>
      </c>
      <c r="BR130" s="38">
        <v>28853.754700000001</v>
      </c>
      <c r="BS130" s="17"/>
      <c r="BT130" s="37">
        <v>43861</v>
      </c>
      <c r="BU130" s="38">
        <v>2005</v>
      </c>
      <c r="BV130" s="18"/>
      <c r="BW130" s="37"/>
      <c r="BX130" s="38"/>
      <c r="BY130" s="18"/>
      <c r="BZ130" s="39">
        <v>43861</v>
      </c>
      <c r="CA130" s="40">
        <v>28853.754700000001</v>
      </c>
      <c r="CB130" s="17"/>
      <c r="CC130" s="39">
        <v>43861</v>
      </c>
      <c r="CD130" s="40">
        <v>20.05</v>
      </c>
      <c r="CE130" s="18"/>
      <c r="CF130" s="18"/>
      <c r="CG130" s="18"/>
      <c r="CH130" s="18"/>
      <c r="CI130" s="18"/>
      <c r="CJ130" s="18"/>
      <c r="CK130" s="18"/>
      <c r="CL130" s="18"/>
      <c r="CM130" s="18"/>
      <c r="CN130" s="18"/>
      <c r="CO130" s="18"/>
      <c r="CP130" s="18"/>
      <c r="CQ130" s="18"/>
      <c r="CR130" s="18"/>
      <c r="CS130" s="18"/>
      <c r="CT130" s="18"/>
      <c r="CU130" s="18"/>
      <c r="CV130" s="18"/>
      <c r="CW130" s="18"/>
      <c r="CX130" s="18"/>
      <c r="CY130" s="37">
        <v>44946</v>
      </c>
      <c r="CZ130" s="38">
        <v>18.570399999999999</v>
      </c>
      <c r="DA130" s="18"/>
      <c r="DB130" s="37">
        <v>44035</v>
      </c>
      <c r="DC130" s="38">
        <v>18.008700000000001</v>
      </c>
      <c r="DD130" s="18"/>
      <c r="DE130" s="37">
        <v>44035</v>
      </c>
      <c r="DF130" s="38">
        <v>16.665199999999999</v>
      </c>
      <c r="DG130" s="18"/>
      <c r="DH130" s="37">
        <v>44035</v>
      </c>
      <c r="DI130" s="38">
        <v>21.2301</v>
      </c>
      <c r="DJ130" s="18"/>
      <c r="DK130" s="37">
        <v>44035</v>
      </c>
      <c r="DL130" s="38">
        <v>0.156</v>
      </c>
      <c r="DM130" s="18"/>
      <c r="DN130" s="18"/>
      <c r="DO130" s="18"/>
      <c r="DP130" s="18"/>
      <c r="DQ130" s="18"/>
      <c r="DR130" s="18"/>
      <c r="DS130" s="18"/>
      <c r="DT130" s="18"/>
      <c r="DU130" s="18"/>
      <c r="DV130" s="18"/>
      <c r="DW130" s="18"/>
      <c r="DX130" s="18"/>
      <c r="DY130" s="18"/>
      <c r="DZ130" s="18"/>
    </row>
    <row r="131" spans="1:130" ht="15" customHeight="1" x14ac:dyDescent="0.3">
      <c r="A131" s="30" t="s">
        <v>377</v>
      </c>
      <c r="B131" s="90" t="s">
        <v>226</v>
      </c>
      <c r="C131" s="91">
        <v>1338</v>
      </c>
      <c r="D131" s="91">
        <v>1337</v>
      </c>
      <c r="E131" s="91">
        <v>1335</v>
      </c>
      <c r="F131" s="91">
        <v>1345</v>
      </c>
      <c r="G131" s="91">
        <v>1363</v>
      </c>
      <c r="H131" s="91">
        <v>1360</v>
      </c>
      <c r="I131" s="91">
        <v>1356</v>
      </c>
      <c r="J131" s="91">
        <v>1349</v>
      </c>
      <c r="K131" s="91">
        <v>1337</v>
      </c>
      <c r="L131" s="91">
        <v>1329</v>
      </c>
      <c r="M131" s="92">
        <v>1317</v>
      </c>
      <c r="N131" s="17"/>
      <c r="O131" s="17"/>
      <c r="P131" s="17"/>
      <c r="Q131" s="17"/>
      <c r="R131" s="17"/>
      <c r="S131" s="17"/>
      <c r="T131" s="17"/>
      <c r="U131" s="18"/>
      <c r="V131" s="18"/>
      <c r="W131" s="18"/>
      <c r="X131" s="18"/>
      <c r="Y131" s="18"/>
      <c r="Z131" s="18"/>
      <c r="AA131" s="18"/>
      <c r="AB131" s="18"/>
      <c r="AC131" s="18"/>
      <c r="AD131" s="18"/>
      <c r="AE131" s="18" t="s">
        <v>226</v>
      </c>
      <c r="AF131" s="85">
        <v>0</v>
      </c>
      <c r="AG131" s="85">
        <v>0</v>
      </c>
      <c r="AH131" s="85">
        <v>0</v>
      </c>
      <c r="AI131" s="85">
        <v>0</v>
      </c>
      <c r="AJ131" s="85">
        <v>0</v>
      </c>
      <c r="AK131" s="85">
        <v>0</v>
      </c>
      <c r="AL131" s="85">
        <v>0</v>
      </c>
      <c r="AM131" s="85">
        <v>0</v>
      </c>
      <c r="AN131" s="18"/>
      <c r="AO131" s="18"/>
      <c r="AP131" s="77" t="s">
        <v>226</v>
      </c>
      <c r="AQ131" s="18">
        <v>1338</v>
      </c>
      <c r="AR131" s="18">
        <v>1337</v>
      </c>
      <c r="AS131" s="18">
        <v>1335</v>
      </c>
      <c r="AT131" s="18">
        <v>1345</v>
      </c>
      <c r="AU131" s="18">
        <v>1363</v>
      </c>
      <c r="AV131" s="18">
        <v>1360</v>
      </c>
      <c r="AW131" s="18">
        <v>1356</v>
      </c>
      <c r="AX131" s="18">
        <v>1349</v>
      </c>
      <c r="AY131" s="18">
        <v>1337</v>
      </c>
      <c r="AZ131" s="18">
        <v>1329</v>
      </c>
      <c r="BA131" s="78">
        <v>1317</v>
      </c>
      <c r="BB131" s="18"/>
      <c r="BC131" s="18"/>
      <c r="BD131" s="18"/>
      <c r="BE131" s="18"/>
      <c r="BF131" s="18"/>
      <c r="BG131" s="18"/>
      <c r="BH131" s="18"/>
      <c r="BI131" s="18"/>
      <c r="BJ131" s="18"/>
      <c r="BK131" s="18"/>
      <c r="BL131" s="18"/>
      <c r="BM131" s="18"/>
      <c r="BN131" s="18"/>
      <c r="BO131" s="18"/>
      <c r="BP131" s="18"/>
      <c r="BQ131" s="37">
        <v>43889</v>
      </c>
      <c r="BR131" s="38">
        <v>26335.3472</v>
      </c>
      <c r="BS131" s="17"/>
      <c r="BT131" s="37">
        <v>43889</v>
      </c>
      <c r="BU131" s="38">
        <v>1830</v>
      </c>
      <c r="BV131" s="18"/>
      <c r="BW131" s="37"/>
      <c r="BX131" s="38"/>
      <c r="BY131" s="18"/>
      <c r="BZ131" s="39">
        <v>43889</v>
      </c>
      <c r="CA131" s="40">
        <v>26335.3472</v>
      </c>
      <c r="CB131" s="17"/>
      <c r="CC131" s="39">
        <v>43889</v>
      </c>
      <c r="CD131" s="40">
        <v>18.3</v>
      </c>
      <c r="CE131" s="18"/>
      <c r="CF131" s="18"/>
      <c r="CG131" s="18"/>
      <c r="CH131" s="18"/>
      <c r="CI131" s="18"/>
      <c r="CJ131" s="18"/>
      <c r="CK131" s="18"/>
      <c r="CL131" s="18"/>
      <c r="CM131" s="18"/>
      <c r="CN131" s="18"/>
      <c r="CO131" s="18"/>
      <c r="CP131" s="18"/>
      <c r="CQ131" s="18"/>
      <c r="CR131" s="18"/>
      <c r="CS131" s="18"/>
      <c r="CT131" s="18"/>
      <c r="CU131" s="18"/>
      <c r="CV131" s="18"/>
      <c r="CW131" s="18"/>
      <c r="CX131" s="18"/>
      <c r="CY131" s="37">
        <v>44949</v>
      </c>
      <c r="CZ131" s="38">
        <v>18.6782</v>
      </c>
      <c r="DA131" s="18"/>
      <c r="DB131" s="37">
        <v>44036</v>
      </c>
      <c r="DC131" s="38">
        <v>18.102</v>
      </c>
      <c r="DD131" s="18"/>
      <c r="DE131" s="37">
        <v>44036</v>
      </c>
      <c r="DF131" s="38">
        <v>16.657399999999999</v>
      </c>
      <c r="DG131" s="18"/>
      <c r="DH131" s="37">
        <v>44036</v>
      </c>
      <c r="DI131" s="38">
        <v>21.297999999999998</v>
      </c>
      <c r="DJ131" s="18"/>
      <c r="DK131" s="37">
        <v>44036</v>
      </c>
      <c r="DL131" s="38">
        <v>0.15690000000000001</v>
      </c>
      <c r="DM131" s="18"/>
      <c r="DN131" s="18"/>
      <c r="DO131" s="18"/>
      <c r="DP131" s="18"/>
      <c r="DQ131" s="18"/>
      <c r="DR131" s="18"/>
      <c r="DS131" s="18"/>
      <c r="DT131" s="18"/>
      <c r="DU131" s="18"/>
      <c r="DV131" s="18"/>
      <c r="DW131" s="18"/>
      <c r="DX131" s="18"/>
      <c r="DY131" s="18"/>
      <c r="DZ131" s="18"/>
    </row>
    <row r="132" spans="1:130" ht="15" customHeight="1" x14ac:dyDescent="0.3">
      <c r="A132" s="30" t="s">
        <v>378</v>
      </c>
      <c r="B132" s="73" t="s">
        <v>227</v>
      </c>
      <c r="C132" s="74" t="s">
        <v>615</v>
      </c>
      <c r="D132" s="74" t="s">
        <v>615</v>
      </c>
      <c r="E132" s="74" t="s">
        <v>615</v>
      </c>
      <c r="F132" s="74">
        <v>2821</v>
      </c>
      <c r="G132" s="74">
        <v>3439</v>
      </c>
      <c r="H132" s="74">
        <v>47723</v>
      </c>
      <c r="I132" s="74">
        <v>48537</v>
      </c>
      <c r="J132" s="74">
        <v>57653</v>
      </c>
      <c r="K132" s="74">
        <v>55542</v>
      </c>
      <c r="L132" s="74">
        <v>45722</v>
      </c>
      <c r="M132" s="75">
        <v>5802</v>
      </c>
      <c r="N132" s="17"/>
      <c r="O132" s="17"/>
      <c r="P132" s="17"/>
      <c r="Q132" s="17"/>
      <c r="R132" s="17"/>
      <c r="S132" s="17"/>
      <c r="T132" s="17"/>
      <c r="U132" s="18"/>
      <c r="V132" s="18"/>
      <c r="W132" s="18"/>
      <c r="X132" s="18"/>
      <c r="Y132" s="18"/>
      <c r="Z132" s="18"/>
      <c r="AA132" s="18"/>
      <c r="AB132" s="18"/>
      <c r="AC132" s="18"/>
      <c r="AD132" s="18"/>
      <c r="AE132" s="18" t="s">
        <v>227</v>
      </c>
      <c r="AF132" s="85" t="e">
        <v>#VALUE!</v>
      </c>
      <c r="AG132" s="85" t="e">
        <v>#VALUE!</v>
      </c>
      <c r="AH132" s="85" t="e">
        <v>#VALUE!</v>
      </c>
      <c r="AI132" s="85">
        <v>0</v>
      </c>
      <c r="AJ132" s="85">
        <v>0</v>
      </c>
      <c r="AK132" s="85">
        <v>0</v>
      </c>
      <c r="AL132" s="85">
        <v>0</v>
      </c>
      <c r="AM132" s="85">
        <v>0</v>
      </c>
      <c r="AN132" s="18"/>
      <c r="AO132" s="18"/>
      <c r="AP132" s="77" t="s">
        <v>227</v>
      </c>
      <c r="AQ132" s="18" t="s">
        <v>1811</v>
      </c>
      <c r="AR132" s="18" t="s">
        <v>1811</v>
      </c>
      <c r="AS132" s="18" t="s">
        <v>1811</v>
      </c>
      <c r="AT132" s="18">
        <v>2821</v>
      </c>
      <c r="AU132" s="18">
        <v>3439</v>
      </c>
      <c r="AV132" s="18">
        <v>47723</v>
      </c>
      <c r="AW132" s="18">
        <v>48537</v>
      </c>
      <c r="AX132" s="18">
        <v>57653</v>
      </c>
      <c r="AY132" s="18">
        <v>55542</v>
      </c>
      <c r="AZ132" s="18">
        <v>45722</v>
      </c>
      <c r="BA132" s="78">
        <v>5802</v>
      </c>
      <c r="BB132" s="18"/>
      <c r="BC132" s="18"/>
      <c r="BD132" s="18"/>
      <c r="BE132" s="18"/>
      <c r="BF132" s="18"/>
      <c r="BG132" s="18"/>
      <c r="BH132" s="18"/>
      <c r="BI132" s="18"/>
      <c r="BJ132" s="18"/>
      <c r="BK132" s="18"/>
      <c r="BL132" s="18"/>
      <c r="BM132" s="18"/>
      <c r="BN132" s="18"/>
      <c r="BO132" s="18"/>
      <c r="BP132" s="18"/>
      <c r="BQ132" s="37">
        <v>43921</v>
      </c>
      <c r="BR132" s="38">
        <v>21586.3501</v>
      </c>
      <c r="BS132" s="17"/>
      <c r="BT132" s="37">
        <v>43921</v>
      </c>
      <c r="BU132" s="38">
        <v>1500</v>
      </c>
      <c r="BV132" s="18"/>
      <c r="BW132" s="37"/>
      <c r="BX132" s="38"/>
      <c r="BY132" s="18"/>
      <c r="BZ132" s="39">
        <v>43921</v>
      </c>
      <c r="CA132" s="40">
        <v>21586.3501</v>
      </c>
      <c r="CB132" s="17"/>
      <c r="CC132" s="39">
        <v>43921</v>
      </c>
      <c r="CD132" s="40">
        <v>15</v>
      </c>
      <c r="CE132" s="18"/>
      <c r="CF132" s="18"/>
      <c r="CG132" s="18"/>
      <c r="CH132" s="18"/>
      <c r="CI132" s="18"/>
      <c r="CJ132" s="18"/>
      <c r="CK132" s="18"/>
      <c r="CL132" s="18"/>
      <c r="CM132" s="18"/>
      <c r="CN132" s="18"/>
      <c r="CO132" s="18"/>
      <c r="CP132" s="18"/>
      <c r="CQ132" s="18"/>
      <c r="CR132" s="18"/>
      <c r="CS132" s="18"/>
      <c r="CT132" s="18"/>
      <c r="CU132" s="18"/>
      <c r="CV132" s="18"/>
      <c r="CW132" s="18"/>
      <c r="CX132" s="18"/>
      <c r="CY132" s="37">
        <v>44950</v>
      </c>
      <c r="CZ132" s="38">
        <v>18.7333</v>
      </c>
      <c r="DA132" s="18"/>
      <c r="DB132" s="37">
        <v>44039</v>
      </c>
      <c r="DC132" s="38">
        <v>17.855799999999999</v>
      </c>
      <c r="DD132" s="18"/>
      <c r="DE132" s="37">
        <v>44039</v>
      </c>
      <c r="DF132" s="38">
        <v>16.424900000000001</v>
      </c>
      <c r="DG132" s="18"/>
      <c r="DH132" s="37">
        <v>44039</v>
      </c>
      <c r="DI132" s="38">
        <v>21.157</v>
      </c>
      <c r="DJ132" s="18"/>
      <c r="DK132" s="37">
        <v>44039</v>
      </c>
      <c r="DL132" s="38">
        <v>0.15579999999999999</v>
      </c>
      <c r="DM132" s="18"/>
      <c r="DN132" s="18"/>
      <c r="DO132" s="18"/>
      <c r="DP132" s="18"/>
      <c r="DQ132" s="18"/>
      <c r="DR132" s="18"/>
      <c r="DS132" s="18"/>
      <c r="DT132" s="18"/>
      <c r="DU132" s="18"/>
      <c r="DV132" s="18"/>
      <c r="DW132" s="18"/>
      <c r="DX132" s="18"/>
      <c r="DY132" s="18"/>
      <c r="DZ132" s="18"/>
    </row>
    <row r="133" spans="1:130" ht="15" customHeight="1" x14ac:dyDescent="0.3">
      <c r="A133" s="30" t="s">
        <v>379</v>
      </c>
      <c r="B133" s="73" t="s">
        <v>228</v>
      </c>
      <c r="C133" s="74" t="s">
        <v>615</v>
      </c>
      <c r="D133" s="74" t="s">
        <v>615</v>
      </c>
      <c r="E133" s="74" t="s">
        <v>615</v>
      </c>
      <c r="F133" s="74" t="s">
        <v>615</v>
      </c>
      <c r="G133" s="74" t="s">
        <v>615</v>
      </c>
      <c r="H133" s="74" t="s">
        <v>615</v>
      </c>
      <c r="I133" s="74" t="s">
        <v>615</v>
      </c>
      <c r="J133" s="74">
        <v>0.5</v>
      </c>
      <c r="K133" s="74" t="s">
        <v>615</v>
      </c>
      <c r="L133" s="74" t="s">
        <v>615</v>
      </c>
      <c r="M133" s="75">
        <v>1.85</v>
      </c>
      <c r="N133" s="17"/>
      <c r="O133" s="17"/>
      <c r="P133" s="17"/>
      <c r="Q133" s="17"/>
      <c r="R133" s="17"/>
      <c r="S133" s="17"/>
      <c r="T133" s="17"/>
      <c r="U133" s="18"/>
      <c r="V133" s="18"/>
      <c r="W133" s="18"/>
      <c r="X133" s="18"/>
      <c r="Y133" s="18"/>
      <c r="Z133" s="18"/>
      <c r="AA133" s="18"/>
      <c r="AB133" s="18"/>
      <c r="AC133" s="18"/>
      <c r="AD133" s="18"/>
      <c r="AE133" s="18" t="s">
        <v>228</v>
      </c>
      <c r="AF133" s="85" t="e">
        <v>#VALUE!</v>
      </c>
      <c r="AG133" s="85" t="e">
        <v>#VALUE!</v>
      </c>
      <c r="AH133" s="85" t="e">
        <v>#VALUE!</v>
      </c>
      <c r="AI133" s="85" t="e">
        <v>#VALUE!</v>
      </c>
      <c r="AJ133" s="85" t="e">
        <v>#VALUE!</v>
      </c>
      <c r="AK133" s="85" t="e">
        <v>#VALUE!</v>
      </c>
      <c r="AL133" s="85" t="e">
        <v>#VALUE!</v>
      </c>
      <c r="AM133" s="85">
        <v>0</v>
      </c>
      <c r="AN133" s="18"/>
      <c r="AO133" s="18"/>
      <c r="AP133" s="77" t="s">
        <v>228</v>
      </c>
      <c r="AQ133" s="18" t="s">
        <v>1811</v>
      </c>
      <c r="AR133" s="18" t="s">
        <v>1811</v>
      </c>
      <c r="AS133" s="18" t="s">
        <v>1811</v>
      </c>
      <c r="AT133" s="18" t="s">
        <v>1811</v>
      </c>
      <c r="AU133" s="18" t="s">
        <v>1811</v>
      </c>
      <c r="AV133" s="18" t="s">
        <v>1811</v>
      </c>
      <c r="AW133" s="18">
        <v>0</v>
      </c>
      <c r="AX133" s="18">
        <v>0.5</v>
      </c>
      <c r="AY133" s="18" t="s">
        <v>1811</v>
      </c>
      <c r="AZ133" s="18" t="s">
        <v>1811</v>
      </c>
      <c r="BA133" s="78">
        <v>1.85</v>
      </c>
      <c r="BB133" s="18"/>
      <c r="BC133" s="18"/>
      <c r="BD133" s="18"/>
      <c r="BE133" s="18"/>
      <c r="BF133" s="18"/>
      <c r="BG133" s="18"/>
      <c r="BH133" s="18"/>
      <c r="BI133" s="18"/>
      <c r="BJ133" s="18"/>
      <c r="BK133" s="18"/>
      <c r="BL133" s="18"/>
      <c r="BM133" s="18"/>
      <c r="BN133" s="18"/>
      <c r="BO133" s="18"/>
      <c r="BP133" s="18"/>
      <c r="BQ133" s="37">
        <v>43951</v>
      </c>
      <c r="BR133" s="38">
        <v>22305.895100000002</v>
      </c>
      <c r="BS133" s="17"/>
      <c r="BT133" s="37">
        <v>43951</v>
      </c>
      <c r="BU133" s="38">
        <v>1550</v>
      </c>
      <c r="BV133" s="18"/>
      <c r="BW133" s="37"/>
      <c r="BX133" s="38"/>
      <c r="BY133" s="18"/>
      <c r="BZ133" s="39">
        <v>43951</v>
      </c>
      <c r="CA133" s="40">
        <v>22305.895100000002</v>
      </c>
      <c r="CB133" s="17"/>
      <c r="CC133" s="39">
        <v>43951</v>
      </c>
      <c r="CD133" s="40">
        <v>15.5</v>
      </c>
      <c r="CE133" s="18"/>
      <c r="CF133" s="18"/>
      <c r="CG133" s="18"/>
      <c r="CH133" s="18"/>
      <c r="CI133" s="18"/>
      <c r="CJ133" s="18"/>
      <c r="CK133" s="18"/>
      <c r="CL133" s="18"/>
      <c r="CM133" s="18"/>
      <c r="CN133" s="18"/>
      <c r="CO133" s="18"/>
      <c r="CP133" s="18"/>
      <c r="CQ133" s="18"/>
      <c r="CR133" s="18"/>
      <c r="CS133" s="18"/>
      <c r="CT133" s="18"/>
      <c r="CU133" s="18"/>
      <c r="CV133" s="18"/>
      <c r="CW133" s="18"/>
      <c r="CX133" s="18"/>
      <c r="CY133" s="37">
        <v>44951</v>
      </c>
      <c r="CZ133" s="38">
        <v>18.694800000000001</v>
      </c>
      <c r="DA133" s="18"/>
      <c r="DB133" s="37">
        <v>44040</v>
      </c>
      <c r="DC133" s="38">
        <v>17.999400000000001</v>
      </c>
      <c r="DD133" s="18"/>
      <c r="DE133" s="37">
        <v>44040</v>
      </c>
      <c r="DF133" s="38">
        <v>16.522600000000001</v>
      </c>
      <c r="DG133" s="18"/>
      <c r="DH133" s="37">
        <v>44040</v>
      </c>
      <c r="DI133" s="38">
        <v>21.368300000000001</v>
      </c>
      <c r="DJ133" s="18"/>
      <c r="DK133" s="37">
        <v>44040</v>
      </c>
      <c r="DL133" s="38">
        <v>0.15720000000000001</v>
      </c>
      <c r="DM133" s="18"/>
      <c r="DN133" s="18"/>
      <c r="DO133" s="18"/>
      <c r="DP133" s="18"/>
      <c r="DQ133" s="18"/>
      <c r="DR133" s="18"/>
      <c r="DS133" s="18"/>
      <c r="DT133" s="18"/>
      <c r="DU133" s="18"/>
      <c r="DV133" s="18"/>
      <c r="DW133" s="18"/>
      <c r="DX133" s="18"/>
      <c r="DY133" s="18"/>
      <c r="DZ133" s="18"/>
    </row>
    <row r="134" spans="1:130" ht="15" customHeight="1" x14ac:dyDescent="0.3">
      <c r="A134" s="30" t="s">
        <v>380</v>
      </c>
      <c r="B134" s="73" t="s">
        <v>229</v>
      </c>
      <c r="C134" s="74" t="s">
        <v>615</v>
      </c>
      <c r="D134" s="74" t="s">
        <v>615</v>
      </c>
      <c r="E134" s="74" t="s">
        <v>615</v>
      </c>
      <c r="F134" s="74" t="s">
        <v>615</v>
      </c>
      <c r="G134" s="74" t="s">
        <v>615</v>
      </c>
      <c r="H134" s="74" t="s">
        <v>615</v>
      </c>
      <c r="I134" s="74">
        <v>0.7</v>
      </c>
      <c r="J134" s="74">
        <v>1.59</v>
      </c>
      <c r="K134" s="74">
        <v>5.65</v>
      </c>
      <c r="L134" s="74">
        <v>8.7799999999999994</v>
      </c>
      <c r="M134" s="75">
        <v>19.82</v>
      </c>
      <c r="N134" s="17"/>
      <c r="O134" s="17"/>
      <c r="P134" s="17"/>
      <c r="Q134" s="17"/>
      <c r="R134" s="17"/>
      <c r="S134" s="17"/>
      <c r="T134" s="17"/>
      <c r="U134" s="18"/>
      <c r="V134" s="18"/>
      <c r="W134" s="18"/>
      <c r="X134" s="18"/>
      <c r="Y134" s="18"/>
      <c r="Z134" s="18"/>
      <c r="AA134" s="18"/>
      <c r="AB134" s="18"/>
      <c r="AC134" s="18"/>
      <c r="AD134" s="18"/>
      <c r="AE134" s="18" t="s">
        <v>229</v>
      </c>
      <c r="AF134" s="85" t="e">
        <v>#VALUE!</v>
      </c>
      <c r="AG134" s="85" t="e">
        <v>#VALUE!</v>
      </c>
      <c r="AH134" s="85" t="e">
        <v>#VALUE!</v>
      </c>
      <c r="AI134" s="85" t="e">
        <v>#VALUE!</v>
      </c>
      <c r="AJ134" s="85" t="e">
        <v>#VALUE!</v>
      </c>
      <c r="AK134" s="85" t="e">
        <v>#VALUE!</v>
      </c>
      <c r="AL134" s="85">
        <v>0</v>
      </c>
      <c r="AM134" s="85">
        <v>0</v>
      </c>
      <c r="AN134" s="18"/>
      <c r="AO134" s="18"/>
      <c r="AP134" s="77" t="s">
        <v>229</v>
      </c>
      <c r="AQ134" s="18" t="s">
        <v>1811</v>
      </c>
      <c r="AR134" s="18" t="s">
        <v>1811</v>
      </c>
      <c r="AS134" s="18" t="s">
        <v>1811</v>
      </c>
      <c r="AT134" s="18" t="s">
        <v>1811</v>
      </c>
      <c r="AU134" s="18">
        <v>0</v>
      </c>
      <c r="AV134" s="18" t="s">
        <v>1811</v>
      </c>
      <c r="AW134" s="18">
        <v>0.7</v>
      </c>
      <c r="AX134" s="18">
        <v>1.59</v>
      </c>
      <c r="AY134" s="18">
        <v>5.6475999999999997</v>
      </c>
      <c r="AZ134" s="18">
        <v>8.7840000000000007</v>
      </c>
      <c r="BA134" s="78">
        <v>19.821999999999999</v>
      </c>
      <c r="BB134" s="18"/>
      <c r="BC134" s="18"/>
      <c r="BD134" s="18"/>
      <c r="BE134" s="18"/>
      <c r="BF134" s="18"/>
      <c r="BG134" s="18"/>
      <c r="BH134" s="18"/>
      <c r="BI134" s="18"/>
      <c r="BJ134" s="18"/>
      <c r="BK134" s="18"/>
      <c r="BL134" s="18"/>
      <c r="BM134" s="18"/>
      <c r="BN134" s="18"/>
      <c r="BO134" s="18"/>
      <c r="BP134" s="18"/>
      <c r="BQ134" s="37">
        <v>43980</v>
      </c>
      <c r="BR134" s="38">
        <v>20478.250800000002</v>
      </c>
      <c r="BS134" s="17"/>
      <c r="BT134" s="37">
        <v>43980</v>
      </c>
      <c r="BU134" s="38">
        <v>1423</v>
      </c>
      <c r="BV134" s="18"/>
      <c r="BW134" s="37"/>
      <c r="BX134" s="38"/>
      <c r="BY134" s="18"/>
      <c r="BZ134" s="39">
        <v>43980</v>
      </c>
      <c r="CA134" s="40">
        <v>20478.250800000002</v>
      </c>
      <c r="CB134" s="17"/>
      <c r="CC134" s="39">
        <v>43980</v>
      </c>
      <c r="CD134" s="40">
        <v>14.23</v>
      </c>
      <c r="CE134" s="18"/>
      <c r="CF134" s="18"/>
      <c r="CG134" s="18"/>
      <c r="CH134" s="18"/>
      <c r="CI134" s="18"/>
      <c r="CJ134" s="18"/>
      <c r="CK134" s="18"/>
      <c r="CL134" s="18"/>
      <c r="CM134" s="18"/>
      <c r="CN134" s="18"/>
      <c r="CO134" s="18"/>
      <c r="CP134" s="18"/>
      <c r="CQ134" s="18"/>
      <c r="CR134" s="18"/>
      <c r="CS134" s="18"/>
      <c r="CT134" s="18"/>
      <c r="CU134" s="18"/>
      <c r="CV134" s="18"/>
      <c r="CW134" s="18"/>
      <c r="CX134" s="18"/>
      <c r="CY134" s="37">
        <v>44952</v>
      </c>
      <c r="CZ134" s="38">
        <v>18.711200000000002</v>
      </c>
      <c r="DA134" s="18"/>
      <c r="DB134" s="37">
        <v>44041</v>
      </c>
      <c r="DC134" s="38">
        <v>18.130199999999999</v>
      </c>
      <c r="DD134" s="18"/>
      <c r="DE134" s="37">
        <v>44041</v>
      </c>
      <c r="DF134" s="38">
        <v>16.542300000000001</v>
      </c>
      <c r="DG134" s="18"/>
      <c r="DH134" s="37">
        <v>44041</v>
      </c>
      <c r="DI134" s="38">
        <v>21.504799999999999</v>
      </c>
      <c r="DJ134" s="18"/>
      <c r="DK134" s="37">
        <v>44041</v>
      </c>
      <c r="DL134" s="38">
        <v>0.15770000000000001</v>
      </c>
      <c r="DM134" s="18"/>
      <c r="DN134" s="18"/>
      <c r="DO134" s="18"/>
      <c r="DP134" s="18"/>
      <c r="DQ134" s="18"/>
      <c r="DR134" s="18"/>
      <c r="DS134" s="18"/>
      <c r="DT134" s="18"/>
      <c r="DU134" s="18"/>
      <c r="DV134" s="18"/>
      <c r="DW134" s="18"/>
      <c r="DX134" s="18"/>
      <c r="DY134" s="18"/>
      <c r="DZ134" s="18"/>
    </row>
    <row r="135" spans="1:130" ht="15" customHeight="1" x14ac:dyDescent="0.3">
      <c r="A135" s="30" t="s">
        <v>381</v>
      </c>
      <c r="B135" s="73" t="s">
        <v>230</v>
      </c>
      <c r="C135" s="74">
        <v>7.6580000000000004</v>
      </c>
      <c r="D135" s="74">
        <v>7.4290000000000003</v>
      </c>
      <c r="E135" s="74">
        <v>6.8339999999999996</v>
      </c>
      <c r="F135" s="74">
        <v>7.0919999999999996</v>
      </c>
      <c r="G135" s="74">
        <v>7.1319999999999997</v>
      </c>
      <c r="H135" s="74">
        <v>6.09</v>
      </c>
      <c r="I135" s="74">
        <v>7.5049999999999999</v>
      </c>
      <c r="J135" s="74">
        <v>7.6440000000000001</v>
      </c>
      <c r="K135" s="74">
        <v>6.4669999999999996</v>
      </c>
      <c r="L135" s="74">
        <v>5.3879999999999999</v>
      </c>
      <c r="M135" s="75">
        <v>0.76100000000000001</v>
      </c>
      <c r="N135" s="17"/>
      <c r="O135" s="17"/>
      <c r="P135" s="17"/>
      <c r="Q135" s="17"/>
      <c r="R135" s="17"/>
      <c r="S135" s="17"/>
      <c r="T135" s="17"/>
      <c r="U135" s="18"/>
      <c r="V135" s="18"/>
      <c r="W135" s="18"/>
      <c r="X135" s="18"/>
      <c r="Y135" s="18"/>
      <c r="Z135" s="18"/>
      <c r="AA135" s="18"/>
      <c r="AB135" s="18"/>
      <c r="AC135" s="18"/>
      <c r="AD135" s="18"/>
      <c r="AE135" s="18" t="s">
        <v>230</v>
      </c>
      <c r="AF135" s="85">
        <v>3.00000000000189E-4</v>
      </c>
      <c r="AG135" s="85">
        <v>-2.9999999999930083E-4</v>
      </c>
      <c r="AH135" s="85">
        <v>2.9999999999930083E-4</v>
      </c>
      <c r="AI135" s="85">
        <v>-2.0000000000042206E-4</v>
      </c>
      <c r="AJ135" s="85">
        <v>-1.0000000000065512E-4</v>
      </c>
      <c r="AK135" s="85">
        <v>3.00000000000189E-4</v>
      </c>
      <c r="AL135" s="85">
        <v>-2.0000000000042206E-4</v>
      </c>
      <c r="AM135" s="85">
        <v>-1.9999999999953388E-4</v>
      </c>
      <c r="AN135" s="18"/>
      <c r="AO135" s="18"/>
      <c r="AP135" s="77" t="s">
        <v>230</v>
      </c>
      <c r="AQ135" s="18">
        <v>7.6577000000000002</v>
      </c>
      <c r="AR135" s="18">
        <v>7.4292999999999996</v>
      </c>
      <c r="AS135" s="18">
        <v>6.8337000000000003</v>
      </c>
      <c r="AT135" s="18">
        <v>7.0922000000000001</v>
      </c>
      <c r="AU135" s="18">
        <v>7.1321000000000003</v>
      </c>
      <c r="AV135" s="18">
        <v>6.0896999999999997</v>
      </c>
      <c r="AW135" s="18">
        <v>7.5052000000000003</v>
      </c>
      <c r="AX135" s="18">
        <v>7.6441999999999997</v>
      </c>
      <c r="AY135" s="18">
        <v>6.4667000000000003</v>
      </c>
      <c r="AZ135" s="18">
        <v>5.3875000000000002</v>
      </c>
      <c r="BA135" s="78">
        <v>0.76080000000000003</v>
      </c>
      <c r="BB135" s="18"/>
      <c r="BC135" s="18"/>
      <c r="BD135" s="18"/>
      <c r="BE135" s="18"/>
      <c r="BF135" s="18"/>
      <c r="BG135" s="18"/>
      <c r="BH135" s="18"/>
      <c r="BI135" s="18"/>
      <c r="BJ135" s="18"/>
      <c r="BK135" s="18"/>
      <c r="BL135" s="18"/>
      <c r="BM135" s="18"/>
      <c r="BN135" s="18"/>
      <c r="BO135" s="18"/>
      <c r="BP135" s="18"/>
      <c r="BQ135" s="37">
        <v>44012</v>
      </c>
      <c r="BR135" s="38">
        <v>19629.187699999999</v>
      </c>
      <c r="BS135" s="17"/>
      <c r="BT135" s="37">
        <v>44012</v>
      </c>
      <c r="BU135" s="38">
        <v>1364</v>
      </c>
      <c r="BV135" s="18"/>
      <c r="BW135" s="37"/>
      <c r="BX135" s="38"/>
      <c r="BY135" s="18"/>
      <c r="BZ135" s="39">
        <v>44012</v>
      </c>
      <c r="CA135" s="40">
        <v>19629.187699999999</v>
      </c>
      <c r="CB135" s="17"/>
      <c r="CC135" s="39">
        <v>44012</v>
      </c>
      <c r="CD135" s="40">
        <v>13.64</v>
      </c>
      <c r="CE135" s="18"/>
      <c r="CF135" s="18"/>
      <c r="CG135" s="18"/>
      <c r="CH135" s="18"/>
      <c r="CI135" s="18"/>
      <c r="CJ135" s="18"/>
      <c r="CK135" s="18"/>
      <c r="CL135" s="18"/>
      <c r="CM135" s="18"/>
      <c r="CN135" s="18"/>
      <c r="CO135" s="18"/>
      <c r="CP135" s="18"/>
      <c r="CQ135" s="18"/>
      <c r="CR135" s="18"/>
      <c r="CS135" s="18"/>
      <c r="CT135" s="18"/>
      <c r="CU135" s="18"/>
      <c r="CV135" s="18"/>
      <c r="CW135" s="18"/>
      <c r="CX135" s="18"/>
      <c r="CY135" s="37">
        <v>44953</v>
      </c>
      <c r="CZ135" s="38">
        <v>18.666599999999999</v>
      </c>
      <c r="DA135" s="18"/>
      <c r="DB135" s="37">
        <v>44042</v>
      </c>
      <c r="DC135" s="38">
        <v>18.444400000000002</v>
      </c>
      <c r="DD135" s="18"/>
      <c r="DE135" s="37">
        <v>44042</v>
      </c>
      <c r="DF135" s="38">
        <v>16.7637</v>
      </c>
      <c r="DG135" s="18"/>
      <c r="DH135" s="37">
        <v>44042</v>
      </c>
      <c r="DI135" s="38">
        <v>21.952100000000002</v>
      </c>
      <c r="DJ135" s="18"/>
      <c r="DK135" s="37">
        <v>44042</v>
      </c>
      <c r="DL135" s="38">
        <v>0.16</v>
      </c>
      <c r="DM135" s="18"/>
      <c r="DN135" s="18"/>
      <c r="DO135" s="18"/>
      <c r="DP135" s="18"/>
      <c r="DQ135" s="18"/>
      <c r="DR135" s="18"/>
      <c r="DS135" s="18"/>
      <c r="DT135" s="18"/>
      <c r="DU135" s="18"/>
      <c r="DV135" s="18"/>
      <c r="DW135" s="18"/>
      <c r="DX135" s="18"/>
      <c r="DY135" s="18"/>
      <c r="DZ135" s="18"/>
    </row>
    <row r="136" spans="1:130" ht="15" customHeight="1" x14ac:dyDescent="0.3">
      <c r="A136" s="30" t="s">
        <v>382</v>
      </c>
      <c r="B136" s="73" t="s">
        <v>231</v>
      </c>
      <c r="C136" s="74">
        <v>41.33</v>
      </c>
      <c r="D136" s="74">
        <v>42.48</v>
      </c>
      <c r="E136" s="74">
        <v>45.94</v>
      </c>
      <c r="F136" s="74">
        <v>31.97</v>
      </c>
      <c r="G136" s="74">
        <v>30.06</v>
      </c>
      <c r="H136" s="74">
        <v>31.72</v>
      </c>
      <c r="I136" s="74">
        <v>24.53</v>
      </c>
      <c r="J136" s="74">
        <v>26.34</v>
      </c>
      <c r="K136" s="74">
        <v>25.02</v>
      </c>
      <c r="L136" s="74">
        <v>27.5</v>
      </c>
      <c r="M136" s="75">
        <v>66.459999999999994</v>
      </c>
      <c r="N136" s="17"/>
      <c r="O136" s="17"/>
      <c r="P136" s="17"/>
      <c r="Q136" s="17"/>
      <c r="R136" s="17"/>
      <c r="S136" s="17"/>
      <c r="T136" s="17"/>
      <c r="U136" s="18"/>
      <c r="V136" s="18"/>
      <c r="W136" s="18"/>
      <c r="X136" s="18"/>
      <c r="Y136" s="18"/>
      <c r="Z136" s="18"/>
      <c r="AA136" s="18"/>
      <c r="AB136" s="18"/>
      <c r="AC136" s="18"/>
      <c r="AD136" s="18"/>
      <c r="AE136" s="18" t="s">
        <v>231</v>
      </c>
      <c r="AF136" s="85">
        <v>-2.2999999999981924E-3</v>
      </c>
      <c r="AG136" s="85">
        <v>3.0999999999963279E-3</v>
      </c>
      <c r="AH136" s="85">
        <v>2.6000000000010459E-3</v>
      </c>
      <c r="AI136" s="85">
        <v>1.7999999999993577E-3</v>
      </c>
      <c r="AJ136" s="85">
        <v>3.4999999999989484E-3</v>
      </c>
      <c r="AK136" s="85">
        <v>3.9999999999977831E-3</v>
      </c>
      <c r="AL136" s="85">
        <v>-4.4000000000004036E-3</v>
      </c>
      <c r="AM136" s="85">
        <v>-2.1999999999984254E-3</v>
      </c>
      <c r="AN136" s="18"/>
      <c r="AO136" s="18"/>
      <c r="AP136" s="77" t="s">
        <v>231</v>
      </c>
      <c r="AQ136" s="18">
        <v>41.332299999999996</v>
      </c>
      <c r="AR136" s="18">
        <v>42.476900000000001</v>
      </c>
      <c r="AS136" s="18">
        <v>45.937399999999997</v>
      </c>
      <c r="AT136" s="18">
        <v>31.9682</v>
      </c>
      <c r="AU136" s="18">
        <v>30.0565</v>
      </c>
      <c r="AV136" s="18">
        <v>31.716000000000001</v>
      </c>
      <c r="AW136" s="18">
        <v>24.534400000000002</v>
      </c>
      <c r="AX136" s="18">
        <v>26.342199999999998</v>
      </c>
      <c r="AY136" s="18">
        <v>25.017800000000001</v>
      </c>
      <c r="AZ136" s="18">
        <v>27.499199999999998</v>
      </c>
      <c r="BA136" s="78">
        <v>66.460099999999997</v>
      </c>
      <c r="BB136" s="18"/>
      <c r="BC136" s="18"/>
      <c r="BD136" s="18"/>
      <c r="BE136" s="18"/>
      <c r="BF136" s="18"/>
      <c r="BG136" s="18"/>
      <c r="BH136" s="18"/>
      <c r="BI136" s="18"/>
      <c r="BJ136" s="18"/>
      <c r="BK136" s="18"/>
      <c r="BL136" s="18"/>
      <c r="BM136" s="18"/>
      <c r="BN136" s="18"/>
      <c r="BO136" s="18"/>
      <c r="BP136" s="18"/>
      <c r="BQ136" s="37">
        <v>44043</v>
      </c>
      <c r="BR136" s="38">
        <v>19571.624100000001</v>
      </c>
      <c r="BS136" s="17"/>
      <c r="BT136" s="37">
        <v>44043</v>
      </c>
      <c r="BU136" s="38">
        <v>1360</v>
      </c>
      <c r="BV136" s="18"/>
      <c r="BW136" s="37"/>
      <c r="BX136" s="38"/>
      <c r="BY136" s="18"/>
      <c r="BZ136" s="39">
        <v>44043</v>
      </c>
      <c r="CA136" s="40">
        <v>19571.624100000001</v>
      </c>
      <c r="CB136" s="17"/>
      <c r="CC136" s="39">
        <v>44043</v>
      </c>
      <c r="CD136" s="40">
        <v>13.6</v>
      </c>
      <c r="CE136" s="18"/>
      <c r="CF136" s="18"/>
      <c r="CG136" s="18"/>
      <c r="CH136" s="18"/>
      <c r="CI136" s="18"/>
      <c r="CJ136" s="18"/>
      <c r="CK136" s="18"/>
      <c r="CL136" s="18"/>
      <c r="CM136" s="18"/>
      <c r="CN136" s="18"/>
      <c r="CO136" s="18"/>
      <c r="CP136" s="18"/>
      <c r="CQ136" s="18"/>
      <c r="CR136" s="18"/>
      <c r="CS136" s="18"/>
      <c r="CT136" s="18"/>
      <c r="CU136" s="18"/>
      <c r="CV136" s="18"/>
      <c r="CW136" s="18"/>
      <c r="CX136" s="18"/>
      <c r="CY136" s="37">
        <v>44956</v>
      </c>
      <c r="CZ136" s="38">
        <v>18.8644</v>
      </c>
      <c r="DA136" s="18"/>
      <c r="DB136" s="37">
        <v>44043</v>
      </c>
      <c r="DC136" s="38">
        <v>18.692799999999998</v>
      </c>
      <c r="DD136" s="18"/>
      <c r="DE136" s="37">
        <v>44043</v>
      </c>
      <c r="DF136" s="38">
        <v>17.0718</v>
      </c>
      <c r="DG136" s="18"/>
      <c r="DH136" s="37">
        <v>44043</v>
      </c>
      <c r="DI136" s="38">
        <v>22.334900000000001</v>
      </c>
      <c r="DJ136" s="18"/>
      <c r="DK136" s="37">
        <v>44043</v>
      </c>
      <c r="DL136" s="38">
        <v>0.1613</v>
      </c>
      <c r="DM136" s="18"/>
      <c r="DN136" s="18"/>
      <c r="DO136" s="18"/>
      <c r="DP136" s="18"/>
      <c r="DQ136" s="18"/>
      <c r="DR136" s="18"/>
      <c r="DS136" s="18"/>
      <c r="DT136" s="18"/>
      <c r="DU136" s="18"/>
      <c r="DV136" s="18"/>
      <c r="DW136" s="18"/>
      <c r="DX136" s="18"/>
      <c r="DY136" s="18"/>
      <c r="DZ136" s="18"/>
    </row>
    <row r="137" spans="1:130" ht="15" customHeight="1" x14ac:dyDescent="0.3">
      <c r="A137" s="30" t="s">
        <v>383</v>
      </c>
      <c r="B137" s="73" t="s">
        <v>232</v>
      </c>
      <c r="C137" s="74">
        <v>9357</v>
      </c>
      <c r="D137" s="74">
        <v>9423</v>
      </c>
      <c r="E137" s="74">
        <v>10468</v>
      </c>
      <c r="F137" s="74">
        <v>5114</v>
      </c>
      <c r="G137" s="74">
        <v>4805</v>
      </c>
      <c r="H137" s="74">
        <v>6384</v>
      </c>
      <c r="I137" s="74">
        <v>5542</v>
      </c>
      <c r="J137" s="74">
        <v>5790</v>
      </c>
      <c r="K137" s="74">
        <v>4972</v>
      </c>
      <c r="L137" s="74">
        <v>4927</v>
      </c>
      <c r="M137" s="75">
        <v>26484</v>
      </c>
      <c r="N137" s="17"/>
      <c r="O137" s="17"/>
      <c r="P137" s="17"/>
      <c r="Q137" s="17"/>
      <c r="R137" s="17"/>
      <c r="S137" s="17"/>
      <c r="T137" s="17"/>
      <c r="U137" s="18"/>
      <c r="V137" s="18"/>
      <c r="W137" s="18"/>
      <c r="X137" s="18"/>
      <c r="Y137" s="18"/>
      <c r="Z137" s="18"/>
      <c r="AA137" s="18"/>
      <c r="AB137" s="18"/>
      <c r="AC137" s="18"/>
      <c r="AD137" s="18"/>
      <c r="AE137" s="18" t="s">
        <v>232</v>
      </c>
      <c r="AF137" s="85">
        <v>0</v>
      </c>
      <c r="AG137" s="85">
        <v>0</v>
      </c>
      <c r="AH137" s="85">
        <v>0</v>
      </c>
      <c r="AI137" s="85">
        <v>0</v>
      </c>
      <c r="AJ137" s="85">
        <v>0</v>
      </c>
      <c r="AK137" s="85">
        <v>0</v>
      </c>
      <c r="AL137" s="85">
        <v>0</v>
      </c>
      <c r="AM137" s="85">
        <v>0</v>
      </c>
      <c r="AN137" s="18"/>
      <c r="AO137" s="18"/>
      <c r="AP137" s="77" t="s">
        <v>232</v>
      </c>
      <c r="AQ137" s="18">
        <v>9357</v>
      </c>
      <c r="AR137" s="18">
        <v>9423</v>
      </c>
      <c r="AS137" s="18">
        <v>10468</v>
      </c>
      <c r="AT137" s="18">
        <v>5114</v>
      </c>
      <c r="AU137" s="18">
        <v>4805</v>
      </c>
      <c r="AV137" s="18">
        <v>6384</v>
      </c>
      <c r="AW137" s="18">
        <v>5542</v>
      </c>
      <c r="AX137" s="18">
        <v>5790</v>
      </c>
      <c r="AY137" s="18">
        <v>4972</v>
      </c>
      <c r="AZ137" s="18">
        <v>4927</v>
      </c>
      <c r="BA137" s="78">
        <v>26484</v>
      </c>
      <c r="BB137" s="18"/>
      <c r="BC137" s="18"/>
      <c r="BD137" s="18"/>
      <c r="BE137" s="18"/>
      <c r="BF137" s="18"/>
      <c r="BG137" s="18"/>
      <c r="BH137" s="18"/>
      <c r="BI137" s="18"/>
      <c r="BJ137" s="18"/>
      <c r="BK137" s="18"/>
      <c r="BL137" s="18"/>
      <c r="BM137" s="18"/>
      <c r="BN137" s="18"/>
      <c r="BO137" s="18"/>
      <c r="BP137" s="18"/>
      <c r="BQ137" s="37">
        <v>44074</v>
      </c>
      <c r="BR137" s="38">
        <v>17988.625100000001</v>
      </c>
      <c r="BS137" s="17"/>
      <c r="BT137" s="37">
        <v>44074</v>
      </c>
      <c r="BU137" s="38">
        <v>1250</v>
      </c>
      <c r="BV137" s="18"/>
      <c r="BW137" s="37"/>
      <c r="BX137" s="38"/>
      <c r="BY137" s="18"/>
      <c r="BZ137" s="39">
        <v>44074</v>
      </c>
      <c r="CA137" s="40">
        <v>17988.625100000001</v>
      </c>
      <c r="CB137" s="17"/>
      <c r="CC137" s="39">
        <v>44074</v>
      </c>
      <c r="CD137" s="40">
        <v>12.5</v>
      </c>
      <c r="CE137" s="18"/>
      <c r="CF137" s="18"/>
      <c r="CG137" s="18"/>
      <c r="CH137" s="18"/>
      <c r="CI137" s="18"/>
      <c r="CJ137" s="18"/>
      <c r="CK137" s="18"/>
      <c r="CL137" s="18"/>
      <c r="CM137" s="18"/>
      <c r="CN137" s="18"/>
      <c r="CO137" s="18"/>
      <c r="CP137" s="18"/>
      <c r="CQ137" s="18"/>
      <c r="CR137" s="18"/>
      <c r="CS137" s="18"/>
      <c r="CT137" s="18"/>
      <c r="CU137" s="18"/>
      <c r="CV137" s="18"/>
      <c r="CW137" s="18"/>
      <c r="CX137" s="18"/>
      <c r="CY137" s="37">
        <v>44957</v>
      </c>
      <c r="CZ137" s="38">
        <v>18.915400000000002</v>
      </c>
      <c r="DA137" s="18"/>
      <c r="DB137" s="37">
        <v>44046</v>
      </c>
      <c r="DC137" s="38">
        <v>18.733499999999999</v>
      </c>
      <c r="DD137" s="18"/>
      <c r="DE137" s="37">
        <v>44046</v>
      </c>
      <c r="DF137" s="38">
        <v>17.194800000000001</v>
      </c>
      <c r="DG137" s="18"/>
      <c r="DH137" s="37">
        <v>44046</v>
      </c>
      <c r="DI137" s="38">
        <v>22.479500000000002</v>
      </c>
      <c r="DJ137" s="18"/>
      <c r="DK137" s="37">
        <v>44046</v>
      </c>
      <c r="DL137" s="38">
        <v>0.1623</v>
      </c>
      <c r="DM137" s="18"/>
      <c r="DN137" s="18"/>
      <c r="DO137" s="18"/>
      <c r="DP137" s="18"/>
      <c r="DQ137" s="18"/>
      <c r="DR137" s="18"/>
      <c r="DS137" s="18"/>
      <c r="DT137" s="18"/>
      <c r="DU137" s="18"/>
      <c r="DV137" s="18"/>
      <c r="DW137" s="18"/>
      <c r="DX137" s="18"/>
      <c r="DY137" s="18"/>
      <c r="DZ137" s="18"/>
    </row>
    <row r="138" spans="1:130" ht="15" customHeight="1" x14ac:dyDescent="0.3">
      <c r="A138" s="30" t="s">
        <v>384</v>
      </c>
      <c r="B138" s="73" t="s">
        <v>233</v>
      </c>
      <c r="C138" s="74">
        <v>85.5</v>
      </c>
      <c r="D138" s="74">
        <v>88.99</v>
      </c>
      <c r="E138" s="74">
        <v>106.83</v>
      </c>
      <c r="F138" s="74">
        <v>49.97</v>
      </c>
      <c r="G138" s="74">
        <v>46.14</v>
      </c>
      <c r="H138" s="74">
        <v>72.040000000000006</v>
      </c>
      <c r="I138" s="74">
        <v>42.6</v>
      </c>
      <c r="J138" s="74">
        <v>40.54</v>
      </c>
      <c r="K138" s="74">
        <v>40.85</v>
      </c>
      <c r="L138" s="74">
        <v>47.31</v>
      </c>
      <c r="M138" s="75" t="s">
        <v>615</v>
      </c>
      <c r="N138" s="17"/>
      <c r="O138" s="17"/>
      <c r="P138" s="17"/>
      <c r="Q138" s="17"/>
      <c r="R138" s="17"/>
      <c r="S138" s="17"/>
      <c r="T138" s="17"/>
      <c r="U138" s="18"/>
      <c r="V138" s="18"/>
      <c r="W138" s="18"/>
      <c r="X138" s="18"/>
      <c r="Y138" s="18"/>
      <c r="Z138" s="18"/>
      <c r="AA138" s="18"/>
      <c r="AB138" s="18"/>
      <c r="AC138" s="18"/>
      <c r="AD138" s="18"/>
      <c r="AE138" s="18" t="s">
        <v>233</v>
      </c>
      <c r="AF138" s="85">
        <v>1.0999999999938836E-3</v>
      </c>
      <c r="AG138" s="85">
        <v>1.3999999999896318E-3</v>
      </c>
      <c r="AH138" s="85">
        <v>2.7999999999934744E-3</v>
      </c>
      <c r="AI138" s="85">
        <v>4.199999999997317E-3</v>
      </c>
      <c r="AJ138" s="85">
        <v>4.6000000000034902E-3</v>
      </c>
      <c r="AK138" s="85">
        <v>2.1000000000128694E-3</v>
      </c>
      <c r="AL138" s="85">
        <v>-1.300000000000523E-3</v>
      </c>
      <c r="AM138" s="85">
        <v>-3.3999999999991815E-3</v>
      </c>
      <c r="AN138" s="18"/>
      <c r="AO138" s="18"/>
      <c r="AP138" s="77" t="s">
        <v>233</v>
      </c>
      <c r="AQ138" s="18">
        <v>85.498900000000006</v>
      </c>
      <c r="AR138" s="18">
        <v>88.988600000000005</v>
      </c>
      <c r="AS138" s="18">
        <v>106.8272</v>
      </c>
      <c r="AT138" s="18">
        <v>49.965800000000002</v>
      </c>
      <c r="AU138" s="18">
        <v>46.135399999999997</v>
      </c>
      <c r="AV138" s="18">
        <v>72.037899999999993</v>
      </c>
      <c r="AW138" s="18">
        <v>42.601300000000002</v>
      </c>
      <c r="AX138" s="18">
        <v>40.543399999999998</v>
      </c>
      <c r="AY138" s="18">
        <v>40.847799999999999</v>
      </c>
      <c r="AZ138" s="18">
        <v>47.306800000000003</v>
      </c>
      <c r="BA138" s="78" t="s">
        <v>1811</v>
      </c>
      <c r="BB138" s="18"/>
      <c r="BC138" s="18"/>
      <c r="BD138" s="18"/>
      <c r="BE138" s="18"/>
      <c r="BF138" s="18"/>
      <c r="BG138" s="18"/>
      <c r="BH138" s="18"/>
      <c r="BI138" s="18"/>
      <c r="BJ138" s="18"/>
      <c r="BK138" s="18"/>
      <c r="BL138" s="18"/>
      <c r="BM138" s="18"/>
      <c r="BN138" s="18"/>
      <c r="BO138" s="18"/>
      <c r="BP138" s="18"/>
      <c r="BQ138" s="37">
        <v>44104</v>
      </c>
      <c r="BR138" s="38">
        <v>18593.0429</v>
      </c>
      <c r="BS138" s="17"/>
      <c r="BT138" s="37">
        <v>44104</v>
      </c>
      <c r="BU138" s="38">
        <v>1292</v>
      </c>
      <c r="BV138" s="18"/>
      <c r="BW138" s="37"/>
      <c r="BX138" s="38"/>
      <c r="BY138" s="18"/>
      <c r="BZ138" s="39">
        <v>44104</v>
      </c>
      <c r="CA138" s="40">
        <v>18593.0429</v>
      </c>
      <c r="CB138" s="17"/>
      <c r="CC138" s="39">
        <v>44104</v>
      </c>
      <c r="CD138" s="40">
        <v>12.92</v>
      </c>
      <c r="CE138" s="18"/>
      <c r="CF138" s="18"/>
      <c r="CG138" s="18"/>
      <c r="CH138" s="18"/>
      <c r="CI138" s="18"/>
      <c r="CJ138" s="18"/>
      <c r="CK138" s="18"/>
      <c r="CL138" s="18"/>
      <c r="CM138" s="18"/>
      <c r="CN138" s="18"/>
      <c r="CO138" s="18"/>
      <c r="CP138" s="18"/>
      <c r="CQ138" s="18"/>
      <c r="CR138" s="18"/>
      <c r="CS138" s="18"/>
      <c r="CT138" s="18"/>
      <c r="CU138" s="18"/>
      <c r="CV138" s="18"/>
      <c r="CW138" s="18"/>
      <c r="CX138" s="18"/>
      <c r="CY138" s="37">
        <v>44958</v>
      </c>
      <c r="CZ138" s="38">
        <v>18.7682</v>
      </c>
      <c r="DA138" s="18"/>
      <c r="DB138" s="37">
        <v>44047</v>
      </c>
      <c r="DC138" s="38">
        <v>19.033999999999999</v>
      </c>
      <c r="DD138" s="18"/>
      <c r="DE138" s="37">
        <v>44047</v>
      </c>
      <c r="DF138" s="38">
        <v>17.3842</v>
      </c>
      <c r="DG138" s="18"/>
      <c r="DH138" s="37">
        <v>44047</v>
      </c>
      <c r="DI138" s="38">
        <v>22.7212</v>
      </c>
      <c r="DJ138" s="18"/>
      <c r="DK138" s="37">
        <v>44047</v>
      </c>
      <c r="DL138" s="38">
        <v>0.16439999999999999</v>
      </c>
      <c r="DM138" s="18"/>
      <c r="DN138" s="18"/>
      <c r="DO138" s="18"/>
      <c r="DP138" s="18"/>
      <c r="DQ138" s="18"/>
      <c r="DR138" s="18"/>
      <c r="DS138" s="18"/>
      <c r="DT138" s="18"/>
      <c r="DU138" s="18"/>
      <c r="DV138" s="18"/>
      <c r="DW138" s="18"/>
      <c r="DX138" s="18"/>
      <c r="DY138" s="18"/>
      <c r="DZ138" s="18"/>
    </row>
    <row r="139" spans="1:130" ht="15" customHeight="1" x14ac:dyDescent="0.3">
      <c r="A139" s="100" t="s">
        <v>426</v>
      </c>
      <c r="B139" s="73" t="s">
        <v>234</v>
      </c>
      <c r="C139" s="74">
        <v>34.4</v>
      </c>
      <c r="D139" s="74">
        <v>34.130000000000003</v>
      </c>
      <c r="E139" s="74">
        <v>30.32</v>
      </c>
      <c r="F139" s="74">
        <v>39.51</v>
      </c>
      <c r="G139" s="74">
        <v>42.41</v>
      </c>
      <c r="H139" s="74">
        <v>23.95</v>
      </c>
      <c r="I139" s="74">
        <v>22.43</v>
      </c>
      <c r="J139" s="74">
        <v>20.28</v>
      </c>
      <c r="K139" s="74">
        <v>19.329999999999998</v>
      </c>
      <c r="L139" s="74">
        <v>16.559999999999999</v>
      </c>
      <c r="M139" s="75">
        <v>-11.4</v>
      </c>
      <c r="N139" s="17"/>
      <c r="O139" s="17"/>
      <c r="P139" s="17"/>
      <c r="Q139" s="17"/>
      <c r="R139" s="17"/>
      <c r="S139" s="17"/>
      <c r="T139" s="17"/>
      <c r="U139" s="18"/>
      <c r="V139" s="18"/>
      <c r="W139" s="18"/>
      <c r="X139" s="18"/>
      <c r="Y139" s="18"/>
      <c r="Z139" s="18"/>
      <c r="AA139" s="18"/>
      <c r="AB139" s="18"/>
      <c r="AC139" s="18"/>
      <c r="AD139" s="18"/>
      <c r="AE139" s="18" t="s">
        <v>234</v>
      </c>
      <c r="AF139" s="85">
        <v>-5.0000000000238742E-4</v>
      </c>
      <c r="AG139" s="85">
        <v>4.4000000000039563E-3</v>
      </c>
      <c r="AH139" s="85">
        <v>1.0000000000012221E-3</v>
      </c>
      <c r="AI139" s="85">
        <v>-3.1000000000034333E-3</v>
      </c>
      <c r="AJ139" s="85">
        <v>3.4999999999953957E-3</v>
      </c>
      <c r="AK139" s="85">
        <v>-9.9999999999766942E-5</v>
      </c>
      <c r="AL139" s="85">
        <v>4.5000000000001705E-3</v>
      </c>
      <c r="AM139" s="85">
        <v>-3.6999999999984823E-3</v>
      </c>
      <c r="AN139" s="18"/>
      <c r="AO139" s="18"/>
      <c r="AP139" s="77" t="s">
        <v>234</v>
      </c>
      <c r="AQ139" s="18">
        <v>34.400500000000001</v>
      </c>
      <c r="AR139" s="18">
        <v>34.125599999999999</v>
      </c>
      <c r="AS139" s="18">
        <v>30.318999999999999</v>
      </c>
      <c r="AT139" s="18">
        <v>39.513100000000001</v>
      </c>
      <c r="AU139" s="18">
        <v>42.406500000000001</v>
      </c>
      <c r="AV139" s="18">
        <v>23.950099999999999</v>
      </c>
      <c r="AW139" s="18">
        <v>22.4255</v>
      </c>
      <c r="AX139" s="18">
        <v>20.2837</v>
      </c>
      <c r="AY139" s="18">
        <v>19.329499999999999</v>
      </c>
      <c r="AZ139" s="18">
        <v>16.5639</v>
      </c>
      <c r="BA139" s="78">
        <v>-11.4032</v>
      </c>
      <c r="BB139" s="18"/>
      <c r="BC139" s="18"/>
      <c r="BD139" s="18"/>
      <c r="BE139" s="18"/>
      <c r="BF139" s="18"/>
      <c r="BG139" s="18"/>
      <c r="BH139" s="18"/>
      <c r="BI139" s="18"/>
      <c r="BJ139" s="18"/>
      <c r="BK139" s="18"/>
      <c r="BL139" s="18"/>
      <c r="BM139" s="18"/>
      <c r="BN139" s="18"/>
      <c r="BO139" s="18"/>
      <c r="BP139" s="18"/>
      <c r="BQ139" s="37">
        <v>44134</v>
      </c>
      <c r="BR139" s="38">
        <v>18564.2611</v>
      </c>
      <c r="BS139" s="17"/>
      <c r="BT139" s="37">
        <v>44134</v>
      </c>
      <c r="BU139" s="38">
        <v>1290</v>
      </c>
      <c r="BV139" s="18"/>
      <c r="BW139" s="37"/>
      <c r="BX139" s="38"/>
      <c r="BY139" s="18"/>
      <c r="BZ139" s="39">
        <v>44134</v>
      </c>
      <c r="CA139" s="40">
        <v>18564.2611</v>
      </c>
      <c r="CB139" s="17"/>
      <c r="CC139" s="39">
        <v>44134</v>
      </c>
      <c r="CD139" s="40">
        <v>12.9</v>
      </c>
      <c r="CE139" s="18"/>
      <c r="CF139" s="18"/>
      <c r="CG139" s="18"/>
      <c r="CH139" s="18"/>
      <c r="CI139" s="18"/>
      <c r="CJ139" s="18"/>
      <c r="CK139" s="18"/>
      <c r="CL139" s="18"/>
      <c r="CM139" s="18"/>
      <c r="CN139" s="18"/>
      <c r="CO139" s="18"/>
      <c r="CP139" s="18"/>
      <c r="CQ139" s="18"/>
      <c r="CR139" s="18"/>
      <c r="CS139" s="18"/>
      <c r="CT139" s="18"/>
      <c r="CU139" s="18"/>
      <c r="CV139" s="18"/>
      <c r="CW139" s="18"/>
      <c r="CX139" s="18"/>
      <c r="CY139" s="37">
        <v>44959</v>
      </c>
      <c r="CZ139" s="38">
        <v>18.6295</v>
      </c>
      <c r="DA139" s="18"/>
      <c r="DB139" s="37">
        <v>44048</v>
      </c>
      <c r="DC139" s="38">
        <v>19.0716</v>
      </c>
      <c r="DD139" s="18"/>
      <c r="DE139" s="37">
        <v>44048</v>
      </c>
      <c r="DF139" s="38">
        <v>17.324200000000001</v>
      </c>
      <c r="DG139" s="18"/>
      <c r="DH139" s="37">
        <v>44048</v>
      </c>
      <c r="DI139" s="38">
        <v>22.7209</v>
      </c>
      <c r="DJ139" s="18"/>
      <c r="DK139" s="37">
        <v>44048</v>
      </c>
      <c r="DL139" s="38">
        <v>0.1641</v>
      </c>
      <c r="DM139" s="18"/>
      <c r="DN139" s="18"/>
      <c r="DO139" s="18"/>
      <c r="DP139" s="18"/>
      <c r="DQ139" s="18"/>
      <c r="DR139" s="18"/>
      <c r="DS139" s="18"/>
      <c r="DT139" s="18"/>
      <c r="DU139" s="18"/>
      <c r="DV139" s="18"/>
      <c r="DW139" s="18"/>
      <c r="DX139" s="18"/>
      <c r="DY139" s="18"/>
      <c r="DZ139" s="18"/>
    </row>
    <row r="140" spans="1:130" ht="15" customHeight="1" x14ac:dyDescent="0.3">
      <c r="A140" s="30" t="s">
        <v>385</v>
      </c>
      <c r="B140" s="73" t="s">
        <v>235</v>
      </c>
      <c r="C140" s="74">
        <v>1.03</v>
      </c>
      <c r="D140" s="74">
        <v>1</v>
      </c>
      <c r="E140" s="74">
        <v>1.21</v>
      </c>
      <c r="F140" s="74">
        <v>1.04</v>
      </c>
      <c r="G140" s="74">
        <v>1.25</v>
      </c>
      <c r="H140" s="74">
        <v>1.06</v>
      </c>
      <c r="I140" s="74">
        <v>1.07</v>
      </c>
      <c r="J140" s="74">
        <v>1.02</v>
      </c>
      <c r="K140" s="74">
        <v>0.97</v>
      </c>
      <c r="L140" s="74">
        <v>1.01</v>
      </c>
      <c r="M140" s="75">
        <v>1.05</v>
      </c>
      <c r="N140" s="17"/>
      <c r="O140" s="17"/>
      <c r="P140" s="17"/>
      <c r="Q140" s="17"/>
      <c r="R140" s="17"/>
      <c r="S140" s="17"/>
      <c r="T140" s="17"/>
      <c r="U140" s="18"/>
      <c r="V140" s="18"/>
      <c r="W140" s="18"/>
      <c r="X140" s="18"/>
      <c r="Y140" s="18"/>
      <c r="Z140" s="18"/>
      <c r="AA140" s="18"/>
      <c r="AB140" s="18"/>
      <c r="AC140" s="18"/>
      <c r="AD140" s="18"/>
      <c r="AE140" s="18" t="s">
        <v>235</v>
      </c>
      <c r="AF140" s="85">
        <v>2.9999999999996696E-4</v>
      </c>
      <c r="AG140" s="85">
        <v>4.8000000000000265E-3</v>
      </c>
      <c r="AH140" s="85">
        <v>4.0999999999999925E-3</v>
      </c>
      <c r="AI140" s="85">
        <v>-3.0999999999998806E-3</v>
      </c>
      <c r="AJ140" s="85">
        <v>2.2999999999999687E-3</v>
      </c>
      <c r="AK140" s="85">
        <v>-8.9999999999990088E-4</v>
      </c>
      <c r="AL140" s="85">
        <v>-4.1999999999999815E-3</v>
      </c>
      <c r="AM140" s="85">
        <v>-2.1999999999999797E-3</v>
      </c>
      <c r="AN140" s="18"/>
      <c r="AO140" s="18"/>
      <c r="AP140" s="77" t="s">
        <v>235</v>
      </c>
      <c r="AQ140" s="18">
        <v>1.0297000000000001</v>
      </c>
      <c r="AR140" s="18">
        <v>0.99519999999999997</v>
      </c>
      <c r="AS140" s="18">
        <v>1.2059</v>
      </c>
      <c r="AT140" s="18">
        <v>1.0430999999999999</v>
      </c>
      <c r="AU140" s="18">
        <v>1.2477</v>
      </c>
      <c r="AV140" s="18">
        <v>1.0609</v>
      </c>
      <c r="AW140" s="18">
        <v>1.0742</v>
      </c>
      <c r="AX140" s="18">
        <v>1.0222</v>
      </c>
      <c r="AY140" s="18">
        <v>0.96630000000000005</v>
      </c>
      <c r="AZ140" s="18">
        <v>1.0069999999999999</v>
      </c>
      <c r="BA140" s="78">
        <v>1.0475000000000001</v>
      </c>
      <c r="BB140" s="18"/>
      <c r="BC140" s="18"/>
      <c r="BD140" s="18"/>
      <c r="BE140" s="18"/>
      <c r="BF140" s="18"/>
      <c r="BG140" s="18"/>
      <c r="BH140" s="18"/>
      <c r="BI140" s="18"/>
      <c r="BJ140" s="18"/>
      <c r="BK140" s="18"/>
      <c r="BL140" s="18"/>
      <c r="BM140" s="18"/>
      <c r="BN140" s="18"/>
      <c r="BO140" s="18"/>
      <c r="BP140" s="18"/>
      <c r="BQ140" s="37">
        <v>44165</v>
      </c>
      <c r="BR140" s="38">
        <v>17700.807100000002</v>
      </c>
      <c r="BS140" s="17"/>
      <c r="BT140" s="37">
        <v>44165</v>
      </c>
      <c r="BU140" s="38">
        <v>1230</v>
      </c>
      <c r="BV140" s="18"/>
      <c r="BW140" s="37"/>
      <c r="BX140" s="38"/>
      <c r="BY140" s="18"/>
      <c r="BZ140" s="39">
        <v>44165</v>
      </c>
      <c r="CA140" s="40">
        <v>17700.807100000002</v>
      </c>
      <c r="CB140" s="17"/>
      <c r="CC140" s="39">
        <v>44165</v>
      </c>
      <c r="CD140" s="40">
        <v>12.3</v>
      </c>
      <c r="CE140" s="18"/>
      <c r="CF140" s="18"/>
      <c r="CG140" s="18"/>
      <c r="CH140" s="18"/>
      <c r="CI140" s="18"/>
      <c r="CJ140" s="18"/>
      <c r="CK140" s="18"/>
      <c r="CL140" s="18"/>
      <c r="CM140" s="18"/>
      <c r="CN140" s="18"/>
      <c r="CO140" s="18"/>
      <c r="CP140" s="18"/>
      <c r="CQ140" s="18"/>
      <c r="CR140" s="18"/>
      <c r="CS140" s="18"/>
      <c r="CT140" s="18"/>
      <c r="CU140" s="18"/>
      <c r="CV140" s="18"/>
      <c r="CW140" s="18"/>
      <c r="CX140" s="18"/>
      <c r="CY140" s="37">
        <v>44960</v>
      </c>
      <c r="CZ140" s="38">
        <v>18.871500000000001</v>
      </c>
      <c r="DA140" s="18"/>
      <c r="DB140" s="37">
        <v>44049</v>
      </c>
      <c r="DC140" s="38">
        <v>19.153700000000001</v>
      </c>
      <c r="DD140" s="18"/>
      <c r="DE140" s="37">
        <v>44049</v>
      </c>
      <c r="DF140" s="38">
        <v>17.424199999999999</v>
      </c>
      <c r="DG140" s="18"/>
      <c r="DH140" s="37">
        <v>44049</v>
      </c>
      <c r="DI140" s="38">
        <v>22.895900000000001</v>
      </c>
      <c r="DJ140" s="18"/>
      <c r="DK140" s="37">
        <v>44049</v>
      </c>
      <c r="DL140" s="38">
        <v>0.1651</v>
      </c>
      <c r="DM140" s="18"/>
      <c r="DN140" s="18"/>
      <c r="DO140" s="18"/>
      <c r="DP140" s="18"/>
      <c r="DQ140" s="18"/>
      <c r="DR140" s="18"/>
      <c r="DS140" s="18"/>
      <c r="DT140" s="18"/>
      <c r="DU140" s="18"/>
      <c r="DV140" s="18"/>
      <c r="DW140" s="18"/>
      <c r="DX140" s="18"/>
      <c r="DY140" s="18"/>
      <c r="DZ140" s="18"/>
    </row>
    <row r="141" spans="1:130" ht="15" customHeight="1" x14ac:dyDescent="0.3">
      <c r="A141" s="30" t="s">
        <v>386</v>
      </c>
      <c r="B141" s="73" t="s">
        <v>236</v>
      </c>
      <c r="C141" s="74">
        <v>29.64</v>
      </c>
      <c r="D141" s="74">
        <v>41.84</v>
      </c>
      <c r="E141" s="74">
        <v>41.61</v>
      </c>
      <c r="F141" s="74">
        <v>17.34</v>
      </c>
      <c r="G141" s="74">
        <v>24.73</v>
      </c>
      <c r="H141" s="74">
        <v>27.47</v>
      </c>
      <c r="I141" s="74">
        <v>12.16</v>
      </c>
      <c r="J141" s="74">
        <v>14.28</v>
      </c>
      <c r="K141" s="74">
        <v>16.36</v>
      </c>
      <c r="L141" s="74">
        <v>16.27</v>
      </c>
      <c r="M141" s="75">
        <v>15.17</v>
      </c>
      <c r="N141" s="17"/>
      <c r="O141" s="17"/>
      <c r="P141" s="17"/>
      <c r="Q141" s="17"/>
      <c r="R141" s="17"/>
      <c r="S141" s="17"/>
      <c r="T141" s="17"/>
      <c r="U141" s="18"/>
      <c r="V141" s="18"/>
      <c r="W141" s="18"/>
      <c r="X141" s="18"/>
      <c r="Y141" s="18"/>
      <c r="Z141" s="18"/>
      <c r="AA141" s="18"/>
      <c r="AB141" s="18"/>
      <c r="AC141" s="18"/>
      <c r="AD141" s="18"/>
      <c r="AE141" s="18" t="s">
        <v>236</v>
      </c>
      <c r="AF141" s="85">
        <v>-4.9999999999990052E-3</v>
      </c>
      <c r="AG141" s="85">
        <v>-2.4999999999977263E-3</v>
      </c>
      <c r="AH141" s="85">
        <v>-2.4999999999977263E-3</v>
      </c>
      <c r="AI141" s="85">
        <v>4.5999999999999375E-3</v>
      </c>
      <c r="AJ141" s="85">
        <v>-1.5000000000000568E-3</v>
      </c>
      <c r="AK141" s="85">
        <v>9.9999999999766942E-4</v>
      </c>
      <c r="AL141" s="85">
        <v>3.9999999999995595E-3</v>
      </c>
      <c r="AM141" s="85">
        <v>1.7999999999993577E-3</v>
      </c>
      <c r="AN141" s="18"/>
      <c r="AO141" s="18"/>
      <c r="AP141" s="77" t="s">
        <v>236</v>
      </c>
      <c r="AQ141" s="18">
        <v>29.645</v>
      </c>
      <c r="AR141" s="18">
        <v>41.842500000000001</v>
      </c>
      <c r="AS141" s="18">
        <v>41.612499999999997</v>
      </c>
      <c r="AT141" s="18">
        <v>17.3354</v>
      </c>
      <c r="AU141" s="18">
        <v>24.7315</v>
      </c>
      <c r="AV141" s="18">
        <v>27.469000000000001</v>
      </c>
      <c r="AW141" s="18">
        <v>12.156000000000001</v>
      </c>
      <c r="AX141" s="18">
        <v>14.2782</v>
      </c>
      <c r="AY141" s="18">
        <v>16.3569</v>
      </c>
      <c r="AZ141" s="18">
        <v>16.2667</v>
      </c>
      <c r="BA141" s="78">
        <v>15.172000000000001</v>
      </c>
      <c r="BB141" s="18"/>
      <c r="BC141" s="18"/>
      <c r="BD141" s="18"/>
      <c r="BE141" s="18"/>
      <c r="BF141" s="18"/>
      <c r="BG141" s="18"/>
      <c r="BH141" s="18"/>
      <c r="BI141" s="18"/>
      <c r="BJ141" s="18"/>
      <c r="BK141" s="18"/>
      <c r="BL141" s="18"/>
      <c r="BM141" s="18"/>
      <c r="BN141" s="18"/>
      <c r="BO141" s="18"/>
      <c r="BP141" s="18"/>
      <c r="BQ141" s="37">
        <v>44196</v>
      </c>
      <c r="BR141" s="38">
        <v>17988.625100000001</v>
      </c>
      <c r="BS141" s="17"/>
      <c r="BT141" s="37">
        <v>44196</v>
      </c>
      <c r="BU141" s="38">
        <v>1250</v>
      </c>
      <c r="BV141" s="18"/>
      <c r="BW141" s="37"/>
      <c r="BX141" s="38"/>
      <c r="BY141" s="18"/>
      <c r="BZ141" s="39">
        <v>44196</v>
      </c>
      <c r="CA141" s="40">
        <v>17988.625100000001</v>
      </c>
      <c r="CB141" s="17"/>
      <c r="CC141" s="39">
        <v>44196</v>
      </c>
      <c r="CD141" s="40">
        <v>12.5</v>
      </c>
      <c r="CE141" s="18"/>
      <c r="CF141" s="18"/>
      <c r="CG141" s="18"/>
      <c r="CH141" s="18"/>
      <c r="CI141" s="18"/>
      <c r="CJ141" s="18"/>
      <c r="CK141" s="18"/>
      <c r="CL141" s="18"/>
      <c r="CM141" s="18"/>
      <c r="CN141" s="18"/>
      <c r="CO141" s="18"/>
      <c r="CP141" s="18"/>
      <c r="CQ141" s="18"/>
      <c r="CR141" s="18"/>
      <c r="CS141" s="18"/>
      <c r="CT141" s="18"/>
      <c r="CU141" s="18"/>
      <c r="CV141" s="18"/>
      <c r="CW141" s="18"/>
      <c r="CX141" s="18"/>
      <c r="CY141" s="37">
        <v>44963</v>
      </c>
      <c r="CZ141" s="38">
        <v>18.949200000000001</v>
      </c>
      <c r="DA141" s="18"/>
      <c r="DB141" s="37">
        <v>44050</v>
      </c>
      <c r="DC141" s="38">
        <v>19.332799999999999</v>
      </c>
      <c r="DD141" s="18"/>
      <c r="DE141" s="37">
        <v>44050</v>
      </c>
      <c r="DF141" s="38">
        <v>17.638300000000001</v>
      </c>
      <c r="DG141" s="18"/>
      <c r="DH141" s="37">
        <v>44050</v>
      </c>
      <c r="DI141" s="38">
        <v>23.0166</v>
      </c>
      <c r="DJ141" s="18"/>
      <c r="DK141" s="37">
        <v>44050</v>
      </c>
      <c r="DL141" s="38">
        <v>0.16650000000000001</v>
      </c>
      <c r="DM141" s="18"/>
      <c r="DN141" s="18"/>
      <c r="DO141" s="18"/>
      <c r="DP141" s="18"/>
      <c r="DQ141" s="18"/>
      <c r="DR141" s="18"/>
      <c r="DS141" s="18"/>
      <c r="DT141" s="18"/>
      <c r="DU141" s="18"/>
      <c r="DV141" s="18"/>
      <c r="DW141" s="18"/>
      <c r="DX141" s="18"/>
      <c r="DY141" s="18"/>
      <c r="DZ141" s="18"/>
    </row>
    <row r="142" spans="1:130" ht="15" customHeight="1" x14ac:dyDescent="0.3">
      <c r="A142" s="30" t="s">
        <v>387</v>
      </c>
      <c r="B142" s="73" t="s">
        <v>237</v>
      </c>
      <c r="C142" s="74" t="s">
        <v>615</v>
      </c>
      <c r="D142" s="74" t="s">
        <v>615</v>
      </c>
      <c r="E142" s="74" t="s">
        <v>615</v>
      </c>
      <c r="F142" s="74" t="s">
        <v>615</v>
      </c>
      <c r="G142" s="74" t="s">
        <v>615</v>
      </c>
      <c r="H142" s="74" t="s">
        <v>615</v>
      </c>
      <c r="I142" s="74" t="s">
        <v>615</v>
      </c>
      <c r="J142" s="74" t="s">
        <v>615</v>
      </c>
      <c r="K142" s="74" t="s">
        <v>615</v>
      </c>
      <c r="L142" s="74" t="s">
        <v>615</v>
      </c>
      <c r="M142" s="75" t="s">
        <v>615</v>
      </c>
      <c r="N142" s="17"/>
      <c r="O142" s="17"/>
      <c r="P142" s="17"/>
      <c r="Q142" s="17"/>
      <c r="R142" s="17"/>
      <c r="S142" s="17"/>
      <c r="T142" s="17"/>
      <c r="U142" s="18"/>
      <c r="V142" s="18"/>
      <c r="W142" s="18"/>
      <c r="X142" s="18"/>
      <c r="Y142" s="18"/>
      <c r="Z142" s="18"/>
      <c r="AA142" s="18"/>
      <c r="AB142" s="18"/>
      <c r="AC142" s="18"/>
      <c r="AD142" s="18"/>
      <c r="AE142" s="18" t="s">
        <v>237</v>
      </c>
      <c r="AF142" s="85" t="e">
        <v>#VALUE!</v>
      </c>
      <c r="AG142" s="85" t="e">
        <v>#VALUE!</v>
      </c>
      <c r="AH142" s="85" t="e">
        <v>#VALUE!</v>
      </c>
      <c r="AI142" s="85" t="e">
        <v>#VALUE!</v>
      </c>
      <c r="AJ142" s="85" t="e">
        <v>#VALUE!</v>
      </c>
      <c r="AK142" s="85" t="e">
        <v>#VALUE!</v>
      </c>
      <c r="AL142" s="85" t="e">
        <v>#VALUE!</v>
      </c>
      <c r="AM142" s="85" t="e">
        <v>#VALUE!</v>
      </c>
      <c r="AN142" s="18"/>
      <c r="AO142" s="18"/>
      <c r="AP142" s="77" t="s">
        <v>237</v>
      </c>
      <c r="AQ142" s="18">
        <v>0</v>
      </c>
      <c r="AR142" s="18">
        <v>0</v>
      </c>
      <c r="AS142" s="18">
        <v>0</v>
      </c>
      <c r="AT142" s="18">
        <v>0</v>
      </c>
      <c r="AU142" s="18">
        <v>0</v>
      </c>
      <c r="AV142" s="18">
        <v>0</v>
      </c>
      <c r="AW142" s="18">
        <v>0</v>
      </c>
      <c r="AX142" s="18">
        <v>0</v>
      </c>
      <c r="AY142" s="18">
        <v>0</v>
      </c>
      <c r="AZ142" s="18">
        <v>0</v>
      </c>
      <c r="BA142" s="78">
        <v>0</v>
      </c>
      <c r="BB142" s="18"/>
      <c r="BC142" s="18"/>
      <c r="BD142" s="18"/>
      <c r="BE142" s="18"/>
      <c r="BF142" s="18"/>
      <c r="BG142" s="18"/>
      <c r="BH142" s="18"/>
      <c r="BI142" s="18"/>
      <c r="BJ142" s="18"/>
      <c r="BK142" s="18"/>
      <c r="BL142" s="18"/>
      <c r="BM142" s="18"/>
      <c r="BN142" s="18"/>
      <c r="BO142" s="18"/>
      <c r="BP142" s="18"/>
      <c r="BQ142" s="37">
        <v>44225</v>
      </c>
      <c r="BR142" s="38">
        <v>19255.024300000001</v>
      </c>
      <c r="BS142" s="17"/>
      <c r="BT142" s="37">
        <v>44225</v>
      </c>
      <c r="BU142" s="38">
        <v>1338</v>
      </c>
      <c r="BV142" s="18"/>
      <c r="BW142" s="37"/>
      <c r="BX142" s="38"/>
      <c r="BY142" s="18"/>
      <c r="BZ142" s="39">
        <v>44225</v>
      </c>
      <c r="CA142" s="40">
        <v>19255.024300000001</v>
      </c>
      <c r="CB142" s="17"/>
      <c r="CC142" s="39">
        <v>44225</v>
      </c>
      <c r="CD142" s="40">
        <v>13.38</v>
      </c>
      <c r="CE142" s="18"/>
      <c r="CF142" s="18"/>
      <c r="CG142" s="18"/>
      <c r="CH142" s="18"/>
      <c r="CI142" s="18"/>
      <c r="CJ142" s="18"/>
      <c r="CK142" s="18"/>
      <c r="CL142" s="18"/>
      <c r="CM142" s="18"/>
      <c r="CN142" s="18"/>
      <c r="CO142" s="18"/>
      <c r="CP142" s="18"/>
      <c r="CQ142" s="18"/>
      <c r="CR142" s="18"/>
      <c r="CS142" s="18"/>
      <c r="CT142" s="18"/>
      <c r="CU142" s="18"/>
      <c r="CV142" s="18"/>
      <c r="CW142" s="18"/>
      <c r="CX142" s="18"/>
      <c r="CY142" s="37">
        <v>44964</v>
      </c>
      <c r="CZ142" s="38">
        <v>18.8063</v>
      </c>
      <c r="DA142" s="18"/>
      <c r="DB142" s="37">
        <v>44054</v>
      </c>
      <c r="DC142" s="38">
        <v>19.0639</v>
      </c>
      <c r="DD142" s="18"/>
      <c r="DE142" s="37">
        <v>44054</v>
      </c>
      <c r="DF142" s="38">
        <v>17.474299999999999</v>
      </c>
      <c r="DG142" s="18"/>
      <c r="DH142" s="37">
        <v>44054</v>
      </c>
      <c r="DI142" s="38">
        <v>22.813500000000001</v>
      </c>
      <c r="DJ142" s="18"/>
      <c r="DK142" s="37">
        <v>44054</v>
      </c>
      <c r="DL142" s="38">
        <v>0.1641</v>
      </c>
      <c r="DM142" s="18"/>
      <c r="DN142" s="18"/>
      <c r="DO142" s="18"/>
      <c r="DP142" s="18"/>
      <c r="DQ142" s="18"/>
      <c r="DR142" s="18"/>
      <c r="DS142" s="18"/>
      <c r="DT142" s="18"/>
      <c r="DU142" s="18"/>
      <c r="DV142" s="18"/>
      <c r="DW142" s="18"/>
      <c r="DX142" s="18"/>
      <c r="DY142" s="18"/>
      <c r="DZ142" s="18"/>
    </row>
    <row r="143" spans="1:130" ht="15" customHeight="1" x14ac:dyDescent="0.3">
      <c r="A143" s="30" t="s">
        <v>170</v>
      </c>
      <c r="B143" s="73" t="s">
        <v>47</v>
      </c>
      <c r="C143" s="74" t="s">
        <v>615</v>
      </c>
      <c r="D143" s="74" t="s">
        <v>615</v>
      </c>
      <c r="E143" s="74" t="s">
        <v>615</v>
      </c>
      <c r="F143" s="74" t="s">
        <v>615</v>
      </c>
      <c r="G143" s="74" t="s">
        <v>615</v>
      </c>
      <c r="H143" s="74" t="s">
        <v>615</v>
      </c>
      <c r="I143" s="74" t="s">
        <v>615</v>
      </c>
      <c r="J143" s="74" t="s">
        <v>615</v>
      </c>
      <c r="K143" s="74" t="s">
        <v>615</v>
      </c>
      <c r="L143" s="74" t="s">
        <v>615</v>
      </c>
      <c r="M143" s="75" t="s">
        <v>615</v>
      </c>
      <c r="N143" s="17"/>
      <c r="O143" s="17"/>
      <c r="P143" s="17"/>
      <c r="Q143" s="17"/>
      <c r="R143" s="17"/>
      <c r="S143" s="17"/>
      <c r="T143" s="17"/>
      <c r="U143" s="18"/>
      <c r="V143" s="18"/>
      <c r="W143" s="18"/>
      <c r="X143" s="18"/>
      <c r="Y143" s="18"/>
      <c r="Z143" s="18"/>
      <c r="AA143" s="18"/>
      <c r="AB143" s="18"/>
      <c r="AC143" s="18"/>
      <c r="AD143" s="18"/>
      <c r="AE143" s="18" t="s">
        <v>47</v>
      </c>
      <c r="AF143" s="85" t="e">
        <v>#VALUE!</v>
      </c>
      <c r="AG143" s="85" t="e">
        <v>#VALUE!</v>
      </c>
      <c r="AH143" s="85" t="e">
        <v>#VALUE!</v>
      </c>
      <c r="AI143" s="85" t="e">
        <v>#VALUE!</v>
      </c>
      <c r="AJ143" s="85" t="e">
        <v>#VALUE!</v>
      </c>
      <c r="AK143" s="85" t="e">
        <v>#VALUE!</v>
      </c>
      <c r="AL143" s="85" t="e">
        <v>#VALUE!</v>
      </c>
      <c r="AM143" s="85" t="e">
        <v>#VALUE!</v>
      </c>
      <c r="AN143" s="18"/>
      <c r="AO143" s="18"/>
      <c r="AP143" s="77" t="s">
        <v>450</v>
      </c>
      <c r="AQ143" s="18">
        <v>0</v>
      </c>
      <c r="AR143" s="18">
        <v>0</v>
      </c>
      <c r="AS143" s="18">
        <v>0</v>
      </c>
      <c r="AT143" s="18">
        <v>0</v>
      </c>
      <c r="AU143" s="18">
        <v>0</v>
      </c>
      <c r="AV143" s="18">
        <v>0</v>
      </c>
      <c r="AW143" s="18">
        <v>0</v>
      </c>
      <c r="AX143" s="18">
        <v>0</v>
      </c>
      <c r="AY143" s="18">
        <v>0</v>
      </c>
      <c r="AZ143" s="18">
        <v>0</v>
      </c>
      <c r="BA143" s="78">
        <v>0</v>
      </c>
      <c r="BB143" s="18"/>
      <c r="BC143" s="18"/>
      <c r="BD143" s="18"/>
      <c r="BE143" s="18"/>
      <c r="BF143" s="18"/>
      <c r="BG143" s="18"/>
      <c r="BH143" s="18"/>
      <c r="BI143" s="18"/>
      <c r="BJ143" s="18"/>
      <c r="BK143" s="18"/>
      <c r="BL143" s="18"/>
      <c r="BM143" s="18"/>
      <c r="BN143" s="18"/>
      <c r="BO143" s="18"/>
      <c r="BP143" s="18"/>
      <c r="BQ143" s="37">
        <v>44253</v>
      </c>
      <c r="BR143" s="38">
        <v>19701.142199999998</v>
      </c>
      <c r="BS143" s="17"/>
      <c r="BT143" s="37">
        <v>44253</v>
      </c>
      <c r="BU143" s="38">
        <v>1369</v>
      </c>
      <c r="BV143" s="18"/>
      <c r="BW143" s="37"/>
      <c r="BX143" s="38"/>
      <c r="BY143" s="18"/>
      <c r="BZ143" s="39">
        <v>44253</v>
      </c>
      <c r="CA143" s="40">
        <v>19701.142199999998</v>
      </c>
      <c r="CB143" s="17"/>
      <c r="CC143" s="39">
        <v>44253</v>
      </c>
      <c r="CD143" s="40">
        <v>13.69</v>
      </c>
      <c r="CE143" s="18"/>
      <c r="CF143" s="18"/>
      <c r="CG143" s="18"/>
      <c r="CH143" s="18"/>
      <c r="CI143" s="18"/>
      <c r="CJ143" s="18"/>
      <c r="CK143" s="18"/>
      <c r="CL143" s="18"/>
      <c r="CM143" s="18"/>
      <c r="CN143" s="18"/>
      <c r="CO143" s="18"/>
      <c r="CP143" s="18"/>
      <c r="CQ143" s="18"/>
      <c r="CR143" s="18"/>
      <c r="CS143" s="18"/>
      <c r="CT143" s="18"/>
      <c r="CU143" s="18"/>
      <c r="CV143" s="18"/>
      <c r="CW143" s="18"/>
      <c r="CX143" s="18"/>
      <c r="CY143" s="37">
        <v>44965</v>
      </c>
      <c r="CZ143" s="38">
        <v>19.023900000000001</v>
      </c>
      <c r="DA143" s="18"/>
      <c r="DB143" s="37">
        <v>44055</v>
      </c>
      <c r="DC143" s="38">
        <v>19.1496</v>
      </c>
      <c r="DD143" s="18"/>
      <c r="DE143" s="37">
        <v>44055</v>
      </c>
      <c r="DF143" s="38">
        <v>17.467400000000001</v>
      </c>
      <c r="DG143" s="18"/>
      <c r="DH143" s="37">
        <v>44055</v>
      </c>
      <c r="DI143" s="38">
        <v>22.7667</v>
      </c>
      <c r="DJ143" s="18"/>
      <c r="DK143" s="37">
        <v>44055</v>
      </c>
      <c r="DL143" s="38">
        <v>0.16339999999999999</v>
      </c>
      <c r="DM143" s="18"/>
      <c r="DN143" s="18"/>
      <c r="DO143" s="18"/>
      <c r="DP143" s="18"/>
      <c r="DQ143" s="18"/>
      <c r="DR143" s="18"/>
      <c r="DS143" s="18"/>
      <c r="DT143" s="18"/>
      <c r="DU143" s="18"/>
      <c r="DV143" s="18"/>
      <c r="DW143" s="18"/>
      <c r="DX143" s="18"/>
      <c r="DY143" s="18"/>
      <c r="DZ143" s="18"/>
    </row>
    <row r="144" spans="1:130" ht="15" customHeight="1" x14ac:dyDescent="0.3">
      <c r="A144" s="30" t="s">
        <v>388</v>
      </c>
      <c r="B144" s="73" t="s">
        <v>238</v>
      </c>
      <c r="C144" s="74">
        <v>351</v>
      </c>
      <c r="D144" s="74">
        <v>382</v>
      </c>
      <c r="E144" s="74">
        <v>536</v>
      </c>
      <c r="F144" s="74">
        <v>473</v>
      </c>
      <c r="G144" s="74">
        <v>498</v>
      </c>
      <c r="H144" s="74">
        <v>902</v>
      </c>
      <c r="I144" s="74">
        <v>934</v>
      </c>
      <c r="J144" s="74">
        <v>1038</v>
      </c>
      <c r="K144" s="74">
        <v>917</v>
      </c>
      <c r="L144" s="74">
        <v>845</v>
      </c>
      <c r="M144" s="75">
        <v>740</v>
      </c>
      <c r="N144" s="17"/>
      <c r="O144" s="17"/>
      <c r="P144" s="17"/>
      <c r="Q144" s="17"/>
      <c r="R144" s="17"/>
      <c r="S144" s="17"/>
      <c r="T144" s="17"/>
      <c r="U144" s="18"/>
      <c r="V144" s="18"/>
      <c r="W144" s="18"/>
      <c r="X144" s="18"/>
      <c r="Y144" s="18"/>
      <c r="Z144" s="18"/>
      <c r="AA144" s="18"/>
      <c r="AB144" s="18"/>
      <c r="AC144" s="18"/>
      <c r="AD144" s="18"/>
      <c r="AE144" s="18" t="s">
        <v>238</v>
      </c>
      <c r="AF144" s="85">
        <v>0</v>
      </c>
      <c r="AG144" s="85">
        <v>0</v>
      </c>
      <c r="AH144" s="85">
        <v>0</v>
      </c>
      <c r="AI144" s="85">
        <v>0</v>
      </c>
      <c r="AJ144" s="85">
        <v>0</v>
      </c>
      <c r="AK144" s="85">
        <v>0</v>
      </c>
      <c r="AL144" s="85">
        <v>0</v>
      </c>
      <c r="AM144" s="85">
        <v>0</v>
      </c>
      <c r="AN144" s="18"/>
      <c r="AO144" s="18"/>
      <c r="AP144" s="77" t="s">
        <v>238</v>
      </c>
      <c r="AQ144" s="18">
        <v>351</v>
      </c>
      <c r="AR144" s="18">
        <v>382</v>
      </c>
      <c r="AS144" s="18">
        <v>536</v>
      </c>
      <c r="AT144" s="18">
        <v>473</v>
      </c>
      <c r="AU144" s="18">
        <v>498</v>
      </c>
      <c r="AV144" s="18">
        <v>902</v>
      </c>
      <c r="AW144" s="18">
        <v>934</v>
      </c>
      <c r="AX144" s="18">
        <v>1038</v>
      </c>
      <c r="AY144" s="18">
        <v>917</v>
      </c>
      <c r="AZ144" s="18">
        <v>845</v>
      </c>
      <c r="BA144" s="78">
        <v>740</v>
      </c>
      <c r="BB144" s="18"/>
      <c r="BC144" s="18"/>
      <c r="BD144" s="18"/>
      <c r="BE144" s="18"/>
      <c r="BF144" s="18"/>
      <c r="BG144" s="18"/>
      <c r="BH144" s="18"/>
      <c r="BI144" s="18"/>
      <c r="BJ144" s="18"/>
      <c r="BK144" s="18"/>
      <c r="BL144" s="18"/>
      <c r="BM144" s="18"/>
      <c r="BN144" s="18"/>
      <c r="BO144" s="18"/>
      <c r="BP144" s="18"/>
      <c r="BQ144" s="37">
        <v>44286</v>
      </c>
      <c r="BR144" s="38">
        <v>20507.032599999999</v>
      </c>
      <c r="BS144" s="17"/>
      <c r="BT144" s="37">
        <v>44286</v>
      </c>
      <c r="BU144" s="38">
        <v>1425</v>
      </c>
      <c r="BV144" s="18"/>
      <c r="BW144" s="37"/>
      <c r="BX144" s="38"/>
      <c r="BY144" s="18"/>
      <c r="BZ144" s="39">
        <v>44286</v>
      </c>
      <c r="CA144" s="40">
        <v>20507.032599999999</v>
      </c>
      <c r="CB144" s="17"/>
      <c r="CC144" s="39">
        <v>44286</v>
      </c>
      <c r="CD144" s="40">
        <v>14.25</v>
      </c>
      <c r="CE144" s="18"/>
      <c r="CF144" s="18"/>
      <c r="CG144" s="18"/>
      <c r="CH144" s="18"/>
      <c r="CI144" s="18"/>
      <c r="CJ144" s="18"/>
      <c r="CK144" s="18"/>
      <c r="CL144" s="18"/>
      <c r="CM144" s="18"/>
      <c r="CN144" s="18"/>
      <c r="CO144" s="18"/>
      <c r="CP144" s="18"/>
      <c r="CQ144" s="18"/>
      <c r="CR144" s="18"/>
      <c r="CS144" s="18"/>
      <c r="CT144" s="18"/>
      <c r="CU144" s="18"/>
      <c r="CV144" s="18"/>
      <c r="CW144" s="18"/>
      <c r="CX144" s="18"/>
      <c r="CY144" s="37">
        <v>44966</v>
      </c>
      <c r="CZ144" s="38">
        <v>19.072399999999998</v>
      </c>
      <c r="DA144" s="18"/>
      <c r="DB144" s="37">
        <v>44056</v>
      </c>
      <c r="DC144" s="38">
        <v>19.142600000000002</v>
      </c>
      <c r="DD144" s="18"/>
      <c r="DE144" s="37">
        <v>44056</v>
      </c>
      <c r="DF144" s="38">
        <v>17.416399999999999</v>
      </c>
      <c r="DG144" s="18"/>
      <c r="DH144" s="37">
        <v>44056</v>
      </c>
      <c r="DI144" s="38">
        <v>22.7636</v>
      </c>
      <c r="DJ144" s="18"/>
      <c r="DK144" s="37">
        <v>44056</v>
      </c>
      <c r="DL144" s="38">
        <v>0.16300000000000001</v>
      </c>
      <c r="DM144" s="18"/>
      <c r="DN144" s="18"/>
      <c r="DO144" s="18"/>
      <c r="DP144" s="18"/>
      <c r="DQ144" s="18"/>
      <c r="DR144" s="18"/>
      <c r="DS144" s="18"/>
      <c r="DT144" s="18"/>
      <c r="DU144" s="18"/>
      <c r="DV144" s="18"/>
      <c r="DW144" s="18"/>
      <c r="DX144" s="18"/>
      <c r="DY144" s="18"/>
      <c r="DZ144" s="18"/>
    </row>
    <row r="145" spans="1:130" ht="15" customHeight="1" x14ac:dyDescent="0.3">
      <c r="A145" s="30" t="s">
        <v>389</v>
      </c>
      <c r="B145" s="73" t="s">
        <v>239</v>
      </c>
      <c r="C145" s="74">
        <v>211</v>
      </c>
      <c r="D145" s="74">
        <v>258</v>
      </c>
      <c r="E145" s="74">
        <v>670</v>
      </c>
      <c r="F145" s="74">
        <v>91</v>
      </c>
      <c r="G145" s="74">
        <v>91</v>
      </c>
      <c r="H145" s="74">
        <v>82</v>
      </c>
      <c r="I145" s="74">
        <v>85</v>
      </c>
      <c r="J145" s="74">
        <v>69</v>
      </c>
      <c r="K145" s="74">
        <v>70</v>
      </c>
      <c r="L145" s="74">
        <v>67</v>
      </c>
      <c r="M145" s="75">
        <v>77</v>
      </c>
      <c r="N145" s="17"/>
      <c r="O145" s="17"/>
      <c r="P145" s="17"/>
      <c r="Q145" s="17"/>
      <c r="R145" s="17"/>
      <c r="S145" s="17"/>
      <c r="T145" s="17"/>
      <c r="U145" s="18"/>
      <c r="V145" s="18"/>
      <c r="W145" s="18"/>
      <c r="X145" s="18"/>
      <c r="Y145" s="18"/>
      <c r="Z145" s="18"/>
      <c r="AA145" s="18"/>
      <c r="AB145" s="18"/>
      <c r="AC145" s="18"/>
      <c r="AD145" s="18"/>
      <c r="AE145" s="18" t="s">
        <v>239</v>
      </c>
      <c r="AF145" s="85">
        <v>0</v>
      </c>
      <c r="AG145" s="85">
        <v>0</v>
      </c>
      <c r="AH145" s="85">
        <v>0</v>
      </c>
      <c r="AI145" s="85">
        <v>0</v>
      </c>
      <c r="AJ145" s="85">
        <v>0</v>
      </c>
      <c r="AK145" s="85">
        <v>0</v>
      </c>
      <c r="AL145" s="85">
        <v>0</v>
      </c>
      <c r="AM145" s="85">
        <v>0</v>
      </c>
      <c r="AN145" s="18"/>
      <c r="AO145" s="18"/>
      <c r="AP145" s="77" t="s">
        <v>239</v>
      </c>
      <c r="AQ145" s="18">
        <v>211</v>
      </c>
      <c r="AR145" s="18">
        <v>258</v>
      </c>
      <c r="AS145" s="18">
        <v>670</v>
      </c>
      <c r="AT145" s="18">
        <v>91</v>
      </c>
      <c r="AU145" s="18">
        <v>91</v>
      </c>
      <c r="AV145" s="18">
        <v>82</v>
      </c>
      <c r="AW145" s="18">
        <v>85</v>
      </c>
      <c r="AX145" s="18">
        <v>69</v>
      </c>
      <c r="AY145" s="18">
        <v>70</v>
      </c>
      <c r="AZ145" s="18">
        <v>67</v>
      </c>
      <c r="BA145" s="78">
        <v>77</v>
      </c>
      <c r="BB145" s="18"/>
      <c r="BC145" s="18"/>
      <c r="BD145" s="18"/>
      <c r="BE145" s="18"/>
      <c r="BF145" s="18"/>
      <c r="BG145" s="18"/>
      <c r="BH145" s="18"/>
      <c r="BI145" s="18"/>
      <c r="BJ145" s="18"/>
      <c r="BK145" s="18"/>
      <c r="BL145" s="18"/>
      <c r="BM145" s="18"/>
      <c r="BN145" s="18"/>
      <c r="BO145" s="18"/>
      <c r="BP145" s="18"/>
      <c r="BQ145" s="37">
        <v>44316</v>
      </c>
      <c r="BR145" s="38">
        <v>21672.695500000002</v>
      </c>
      <c r="BS145" s="17"/>
      <c r="BT145" s="37">
        <v>44316</v>
      </c>
      <c r="BU145" s="38">
        <v>1506</v>
      </c>
      <c r="BV145" s="18"/>
      <c r="BW145" s="37"/>
      <c r="BX145" s="38"/>
      <c r="BY145" s="18"/>
      <c r="BZ145" s="39">
        <v>44316</v>
      </c>
      <c r="CA145" s="40">
        <v>21672.695500000002</v>
      </c>
      <c r="CB145" s="17"/>
      <c r="CC145" s="39">
        <v>44316</v>
      </c>
      <c r="CD145" s="40">
        <v>15.06</v>
      </c>
      <c r="CE145" s="18"/>
      <c r="CF145" s="18"/>
      <c r="CG145" s="18"/>
      <c r="CH145" s="18"/>
      <c r="CI145" s="18"/>
      <c r="CJ145" s="18"/>
      <c r="CK145" s="18"/>
      <c r="CL145" s="18"/>
      <c r="CM145" s="18"/>
      <c r="CN145" s="18"/>
      <c r="CO145" s="18"/>
      <c r="CP145" s="18"/>
      <c r="CQ145" s="18"/>
      <c r="CR145" s="18"/>
      <c r="CS145" s="18"/>
      <c r="CT145" s="18"/>
      <c r="CU145" s="18"/>
      <c r="CV145" s="18"/>
      <c r="CW145" s="18"/>
      <c r="CX145" s="18"/>
      <c r="CY145" s="37">
        <v>44967</v>
      </c>
      <c r="CZ145" s="38">
        <v>19.061699999999998</v>
      </c>
      <c r="DA145" s="18"/>
      <c r="DB145" s="37">
        <v>44057</v>
      </c>
      <c r="DC145" s="38">
        <v>19.118099999999998</v>
      </c>
      <c r="DD145" s="18"/>
      <c r="DE145" s="37">
        <v>44057</v>
      </c>
      <c r="DF145" s="38">
        <v>17.387599999999999</v>
      </c>
      <c r="DG145" s="18"/>
      <c r="DH145" s="37">
        <v>44057</v>
      </c>
      <c r="DI145" s="38">
        <v>22.748899999999999</v>
      </c>
      <c r="DJ145" s="18"/>
      <c r="DK145" s="37">
        <v>44057</v>
      </c>
      <c r="DL145" s="38">
        <v>0.16309999999999999</v>
      </c>
      <c r="DM145" s="18"/>
      <c r="DN145" s="18"/>
      <c r="DO145" s="18"/>
      <c r="DP145" s="18"/>
      <c r="DQ145" s="18"/>
      <c r="DR145" s="18"/>
      <c r="DS145" s="18"/>
      <c r="DT145" s="18"/>
      <c r="DU145" s="18"/>
      <c r="DV145" s="18"/>
      <c r="DW145" s="18"/>
      <c r="DX145" s="18"/>
      <c r="DY145" s="18"/>
      <c r="DZ145" s="18"/>
    </row>
    <row r="146" spans="1:130" ht="15" customHeight="1" x14ac:dyDescent="0.3">
      <c r="A146" s="30" t="s">
        <v>157</v>
      </c>
      <c r="B146" s="73" t="s">
        <v>39</v>
      </c>
      <c r="C146" s="74">
        <v>8980</v>
      </c>
      <c r="D146" s="74">
        <v>8780</v>
      </c>
      <c r="E146" s="74">
        <v>7894</v>
      </c>
      <c r="F146" s="74">
        <v>8611</v>
      </c>
      <c r="G146" s="74">
        <v>8566</v>
      </c>
      <c r="H146" s="74">
        <v>5316</v>
      </c>
      <c r="I146" s="74">
        <v>7283</v>
      </c>
      <c r="J146" s="74">
        <v>6902</v>
      </c>
      <c r="K146" s="74">
        <v>5859</v>
      </c>
      <c r="L146" s="74">
        <v>4846</v>
      </c>
      <c r="M146" s="75">
        <v>427</v>
      </c>
      <c r="N146" s="17"/>
      <c r="O146" s="17"/>
      <c r="P146" s="17"/>
      <c r="Q146" s="17"/>
      <c r="R146" s="17"/>
      <c r="S146" s="17"/>
      <c r="T146" s="17"/>
      <c r="U146" s="18"/>
      <c r="V146" s="18"/>
      <c r="W146" s="18"/>
      <c r="X146" s="18"/>
      <c r="Y146" s="18"/>
      <c r="Z146" s="18"/>
      <c r="AA146" s="18"/>
      <c r="AB146" s="18"/>
      <c r="AC146" s="18"/>
      <c r="AD146" s="18"/>
      <c r="AE146" s="18" t="s">
        <v>39</v>
      </c>
      <c r="AF146" s="85">
        <v>0</v>
      </c>
      <c r="AG146" s="85">
        <v>0</v>
      </c>
      <c r="AH146" s="85">
        <v>0</v>
      </c>
      <c r="AI146" s="85">
        <v>0</v>
      </c>
      <c r="AJ146" s="85">
        <v>0</v>
      </c>
      <c r="AK146" s="85">
        <v>0</v>
      </c>
      <c r="AL146" s="85">
        <v>0</v>
      </c>
      <c r="AM146" s="85">
        <v>0</v>
      </c>
      <c r="AN146" s="18"/>
      <c r="AO146" s="18"/>
      <c r="AP146" s="77" t="s">
        <v>451</v>
      </c>
      <c r="AQ146" s="18">
        <v>8980</v>
      </c>
      <c r="AR146" s="18">
        <v>8780</v>
      </c>
      <c r="AS146" s="18">
        <v>7894</v>
      </c>
      <c r="AT146" s="18">
        <v>8611</v>
      </c>
      <c r="AU146" s="18">
        <v>8566</v>
      </c>
      <c r="AV146" s="18">
        <v>5316</v>
      </c>
      <c r="AW146" s="18">
        <v>7283</v>
      </c>
      <c r="AX146" s="18">
        <v>6902</v>
      </c>
      <c r="AY146" s="18">
        <v>5859</v>
      </c>
      <c r="AZ146" s="18">
        <v>4846</v>
      </c>
      <c r="BA146" s="78">
        <v>427</v>
      </c>
      <c r="BB146" s="18"/>
      <c r="BC146" s="18"/>
      <c r="BD146" s="18"/>
      <c r="BE146" s="18"/>
      <c r="BF146" s="18"/>
      <c r="BG146" s="18"/>
      <c r="BH146" s="18"/>
      <c r="BI146" s="18"/>
      <c r="BJ146" s="18"/>
      <c r="BK146" s="18"/>
      <c r="BL146" s="18"/>
      <c r="BM146" s="18"/>
      <c r="BN146" s="18"/>
      <c r="BO146" s="18"/>
      <c r="BP146" s="18"/>
      <c r="BQ146" s="37">
        <v>44347</v>
      </c>
      <c r="BR146" s="38">
        <v>21370.4866</v>
      </c>
      <c r="BS146" s="17"/>
      <c r="BT146" s="37">
        <v>44347</v>
      </c>
      <c r="BU146" s="38">
        <v>1485</v>
      </c>
      <c r="BV146" s="18"/>
      <c r="BW146" s="37"/>
      <c r="BX146" s="38"/>
      <c r="BY146" s="18"/>
      <c r="BZ146" s="39">
        <v>44347</v>
      </c>
      <c r="CA146" s="40">
        <v>21370.4866</v>
      </c>
      <c r="CB146" s="17"/>
      <c r="CC146" s="39">
        <v>44347</v>
      </c>
      <c r="CD146" s="40">
        <v>14.85</v>
      </c>
      <c r="CE146" s="18"/>
      <c r="CF146" s="18"/>
      <c r="CG146" s="18"/>
      <c r="CH146" s="18"/>
      <c r="CI146" s="18"/>
      <c r="CJ146" s="18"/>
      <c r="CK146" s="18"/>
      <c r="CL146" s="18"/>
      <c r="CM146" s="18"/>
      <c r="CN146" s="18"/>
      <c r="CO146" s="18"/>
      <c r="CP146" s="18"/>
      <c r="CQ146" s="18"/>
      <c r="CR146" s="18"/>
      <c r="CS146" s="18"/>
      <c r="CT146" s="18"/>
      <c r="CU146" s="18"/>
      <c r="CV146" s="18"/>
      <c r="CW146" s="18"/>
      <c r="CX146" s="18"/>
      <c r="CY146" s="37">
        <v>44970</v>
      </c>
      <c r="CZ146" s="38">
        <v>19.161100000000001</v>
      </c>
      <c r="DA146" s="18"/>
      <c r="DB146" s="37">
        <v>44060</v>
      </c>
      <c r="DC146" s="38">
        <v>19.3066</v>
      </c>
      <c r="DD146" s="18"/>
      <c r="DE146" s="37">
        <v>44060</v>
      </c>
      <c r="DF146" s="38">
        <v>17.5152</v>
      </c>
      <c r="DG146" s="18"/>
      <c r="DH146" s="37">
        <v>44060</v>
      </c>
      <c r="DI146" s="38">
        <v>22.943000000000001</v>
      </c>
      <c r="DJ146" s="18"/>
      <c r="DK146" s="37">
        <v>44060</v>
      </c>
      <c r="DL146" s="38">
        <v>0.16520000000000001</v>
      </c>
      <c r="DM146" s="18"/>
      <c r="DN146" s="18"/>
      <c r="DO146" s="18"/>
      <c r="DP146" s="18"/>
      <c r="DQ146" s="18"/>
      <c r="DR146" s="18"/>
      <c r="DS146" s="18"/>
      <c r="DT146" s="18"/>
      <c r="DU146" s="18"/>
      <c r="DV146" s="18"/>
      <c r="DW146" s="18"/>
      <c r="DX146" s="18"/>
      <c r="DY146" s="18"/>
      <c r="DZ146" s="18"/>
    </row>
    <row r="147" spans="1:130" ht="15" customHeight="1" x14ac:dyDescent="0.3">
      <c r="A147" s="100" t="s">
        <v>421</v>
      </c>
      <c r="B147" s="73" t="s">
        <v>240</v>
      </c>
      <c r="C147" s="74">
        <v>1606</v>
      </c>
      <c r="D147" s="74">
        <v>1606</v>
      </c>
      <c r="E147" s="74">
        <v>1606</v>
      </c>
      <c r="F147" s="74">
        <v>1606</v>
      </c>
      <c r="G147" s="74">
        <v>1614</v>
      </c>
      <c r="H147" s="74">
        <v>1705</v>
      </c>
      <c r="I147" s="74">
        <v>3942</v>
      </c>
      <c r="J147" s="74">
        <v>4482</v>
      </c>
      <c r="K147" s="74">
        <v>3879</v>
      </c>
      <c r="L147" s="74">
        <v>3466</v>
      </c>
      <c r="M147" s="75">
        <v>5099</v>
      </c>
      <c r="N147" s="17"/>
      <c r="O147" s="17"/>
      <c r="P147" s="17"/>
      <c r="Q147" s="17"/>
      <c r="R147" s="17"/>
      <c r="S147" s="17"/>
      <c r="T147" s="17"/>
      <c r="U147" s="18"/>
      <c r="V147" s="18"/>
      <c r="W147" s="18"/>
      <c r="X147" s="18"/>
      <c r="Y147" s="18"/>
      <c r="Z147" s="18"/>
      <c r="AA147" s="18"/>
      <c r="AB147" s="18"/>
      <c r="AC147" s="18"/>
      <c r="AD147" s="18"/>
      <c r="AE147" s="18" t="s">
        <v>240</v>
      </c>
      <c r="AF147" s="85">
        <v>0</v>
      </c>
      <c r="AG147" s="85">
        <v>0</v>
      </c>
      <c r="AH147" s="85">
        <v>0</v>
      </c>
      <c r="AI147" s="85">
        <v>0</v>
      </c>
      <c r="AJ147" s="85">
        <v>0</v>
      </c>
      <c r="AK147" s="85">
        <v>0</v>
      </c>
      <c r="AL147" s="85">
        <v>0</v>
      </c>
      <c r="AM147" s="85">
        <v>0</v>
      </c>
      <c r="AN147" s="18"/>
      <c r="AO147" s="18"/>
      <c r="AP147" s="77" t="s">
        <v>240</v>
      </c>
      <c r="AQ147" s="18">
        <v>1606</v>
      </c>
      <c r="AR147" s="18">
        <v>1606</v>
      </c>
      <c r="AS147" s="18">
        <v>1606</v>
      </c>
      <c r="AT147" s="18">
        <v>1606</v>
      </c>
      <c r="AU147" s="18">
        <v>1614</v>
      </c>
      <c r="AV147" s="18">
        <v>1705</v>
      </c>
      <c r="AW147" s="18">
        <v>3942</v>
      </c>
      <c r="AX147" s="18">
        <v>4482</v>
      </c>
      <c r="AY147" s="18">
        <v>3879</v>
      </c>
      <c r="AZ147" s="18">
        <v>3466</v>
      </c>
      <c r="BA147" s="78">
        <v>5099</v>
      </c>
      <c r="BB147" s="18"/>
      <c r="BC147" s="18"/>
      <c r="BD147" s="18"/>
      <c r="BE147" s="18"/>
      <c r="BF147" s="18"/>
      <c r="BG147" s="18"/>
      <c r="BH147" s="18"/>
      <c r="BI147" s="18"/>
      <c r="BJ147" s="18"/>
      <c r="BK147" s="18"/>
      <c r="BL147" s="18"/>
      <c r="BM147" s="18"/>
      <c r="BN147" s="18"/>
      <c r="BO147" s="18"/>
      <c r="BP147" s="18"/>
      <c r="BQ147" s="37">
        <v>44377</v>
      </c>
      <c r="BR147" s="38">
        <v>20492.6417</v>
      </c>
      <c r="BS147" s="17"/>
      <c r="BT147" s="37">
        <v>44377</v>
      </c>
      <c r="BU147" s="38">
        <v>1424</v>
      </c>
      <c r="BV147" s="18"/>
      <c r="BW147" s="37"/>
      <c r="BX147" s="38"/>
      <c r="BY147" s="18"/>
      <c r="BZ147" s="39">
        <v>44377</v>
      </c>
      <c r="CA147" s="40">
        <v>20492.6417</v>
      </c>
      <c r="CB147" s="17"/>
      <c r="CC147" s="39">
        <v>44377</v>
      </c>
      <c r="CD147" s="40">
        <v>14.24</v>
      </c>
      <c r="CE147" s="18"/>
      <c r="CF147" s="18"/>
      <c r="CG147" s="18"/>
      <c r="CH147" s="18"/>
      <c r="CI147" s="18"/>
      <c r="CJ147" s="18"/>
      <c r="CK147" s="18"/>
      <c r="CL147" s="18"/>
      <c r="CM147" s="18"/>
      <c r="CN147" s="18"/>
      <c r="CO147" s="18"/>
      <c r="CP147" s="18"/>
      <c r="CQ147" s="18"/>
      <c r="CR147" s="18"/>
      <c r="CS147" s="18"/>
      <c r="CT147" s="18"/>
      <c r="CU147" s="18"/>
      <c r="CV147" s="18"/>
      <c r="CW147" s="18"/>
      <c r="CX147" s="18"/>
      <c r="CY147" s="37">
        <v>44971</v>
      </c>
      <c r="CZ147" s="38">
        <v>19.211300000000001</v>
      </c>
      <c r="DA147" s="18"/>
      <c r="DB147" s="37">
        <v>44061</v>
      </c>
      <c r="DC147" s="38">
        <v>19.1721</v>
      </c>
      <c r="DD147" s="18"/>
      <c r="DE147" s="37">
        <v>44061</v>
      </c>
      <c r="DF147" s="38">
        <v>17.319900000000001</v>
      </c>
      <c r="DG147" s="18"/>
      <c r="DH147" s="37">
        <v>44061</v>
      </c>
      <c r="DI147" s="38">
        <v>22.935099999999998</v>
      </c>
      <c r="DJ147" s="18"/>
      <c r="DK147" s="37">
        <v>44061</v>
      </c>
      <c r="DL147" s="38">
        <v>0.1643</v>
      </c>
      <c r="DM147" s="18"/>
      <c r="DN147" s="18"/>
      <c r="DO147" s="18"/>
      <c r="DP147" s="18"/>
      <c r="DQ147" s="18"/>
      <c r="DR147" s="18"/>
      <c r="DS147" s="18"/>
      <c r="DT147" s="18"/>
      <c r="DU147" s="18"/>
      <c r="DV147" s="18"/>
      <c r="DW147" s="18"/>
      <c r="DX147" s="18"/>
      <c r="DY147" s="18"/>
      <c r="DZ147" s="18"/>
    </row>
    <row r="148" spans="1:130" ht="15" customHeight="1" x14ac:dyDescent="0.3">
      <c r="A148" s="30" t="s">
        <v>390</v>
      </c>
      <c r="B148" s="73" t="s">
        <v>241</v>
      </c>
      <c r="C148" s="74">
        <v>418</v>
      </c>
      <c r="D148" s="74">
        <v>424</v>
      </c>
      <c r="E148" s="74">
        <v>591</v>
      </c>
      <c r="F148" s="74">
        <v>735</v>
      </c>
      <c r="G148" s="74">
        <v>716</v>
      </c>
      <c r="H148" s="74">
        <v>1045</v>
      </c>
      <c r="I148" s="74">
        <v>912</v>
      </c>
      <c r="J148" s="74">
        <v>865</v>
      </c>
      <c r="K148" s="74">
        <v>678</v>
      </c>
      <c r="L148" s="74">
        <v>690</v>
      </c>
      <c r="M148" s="75">
        <v>486</v>
      </c>
      <c r="N148" s="17"/>
      <c r="O148" s="17"/>
      <c r="P148" s="17"/>
      <c r="Q148" s="17"/>
      <c r="R148" s="17"/>
      <c r="S148" s="17"/>
      <c r="T148" s="17"/>
      <c r="U148" s="18"/>
      <c r="V148" s="18"/>
      <c r="W148" s="18"/>
      <c r="X148" s="18"/>
      <c r="Y148" s="18"/>
      <c r="Z148" s="18"/>
      <c r="AA148" s="18"/>
      <c r="AB148" s="18"/>
      <c r="AC148" s="18"/>
      <c r="AD148" s="18"/>
      <c r="AE148" s="18" t="s">
        <v>241</v>
      </c>
      <c r="AF148" s="85">
        <v>0</v>
      </c>
      <c r="AG148" s="85">
        <v>0</v>
      </c>
      <c r="AH148" s="85">
        <v>0</v>
      </c>
      <c r="AI148" s="85">
        <v>0</v>
      </c>
      <c r="AJ148" s="85">
        <v>0</v>
      </c>
      <c r="AK148" s="85">
        <v>0</v>
      </c>
      <c r="AL148" s="85">
        <v>0</v>
      </c>
      <c r="AM148" s="85">
        <v>0</v>
      </c>
      <c r="AN148" s="18"/>
      <c r="AO148" s="18"/>
      <c r="AP148" s="77" t="s">
        <v>241</v>
      </c>
      <c r="AQ148" s="18">
        <v>418</v>
      </c>
      <c r="AR148" s="18">
        <v>424</v>
      </c>
      <c r="AS148" s="18">
        <v>591</v>
      </c>
      <c r="AT148" s="18">
        <v>735</v>
      </c>
      <c r="AU148" s="18">
        <v>716</v>
      </c>
      <c r="AV148" s="18">
        <v>1045</v>
      </c>
      <c r="AW148" s="18">
        <v>912</v>
      </c>
      <c r="AX148" s="18">
        <v>865</v>
      </c>
      <c r="AY148" s="18">
        <v>678</v>
      </c>
      <c r="AZ148" s="18">
        <v>690</v>
      </c>
      <c r="BA148" s="78">
        <v>486</v>
      </c>
      <c r="BB148" s="18"/>
      <c r="BC148" s="18"/>
      <c r="BD148" s="18"/>
      <c r="BE148" s="18"/>
      <c r="BF148" s="18"/>
      <c r="BG148" s="18"/>
      <c r="BH148" s="18"/>
      <c r="BI148" s="18"/>
      <c r="BJ148" s="18"/>
      <c r="BK148" s="18"/>
      <c r="BL148" s="18"/>
      <c r="BM148" s="18"/>
      <c r="BN148" s="18"/>
      <c r="BO148" s="18"/>
      <c r="BP148" s="18"/>
      <c r="BQ148" s="37">
        <v>44407</v>
      </c>
      <c r="BR148" s="38">
        <v>21931.7317</v>
      </c>
      <c r="BS148" s="17"/>
      <c r="BT148" s="37">
        <v>44407</v>
      </c>
      <c r="BU148" s="38">
        <v>1524</v>
      </c>
      <c r="BV148" s="18"/>
      <c r="BW148" s="37"/>
      <c r="BX148" s="38"/>
      <c r="BY148" s="18"/>
      <c r="BZ148" s="39">
        <v>44407</v>
      </c>
      <c r="CA148" s="40">
        <v>21931.7317</v>
      </c>
      <c r="CB148" s="17"/>
      <c r="CC148" s="39">
        <v>44407</v>
      </c>
      <c r="CD148" s="40">
        <v>15.24</v>
      </c>
      <c r="CE148" s="18"/>
      <c r="CF148" s="18"/>
      <c r="CG148" s="18"/>
      <c r="CH148" s="18"/>
      <c r="CI148" s="18"/>
      <c r="CJ148" s="18"/>
      <c r="CK148" s="18"/>
      <c r="CL148" s="18"/>
      <c r="CM148" s="18"/>
      <c r="CN148" s="18"/>
      <c r="CO148" s="18"/>
      <c r="CP148" s="18"/>
      <c r="CQ148" s="18"/>
      <c r="CR148" s="18"/>
      <c r="CS148" s="18"/>
      <c r="CT148" s="18"/>
      <c r="CU148" s="18"/>
      <c r="CV148" s="18"/>
      <c r="CW148" s="18"/>
      <c r="CX148" s="18"/>
      <c r="CY148" s="37">
        <v>44972</v>
      </c>
      <c r="CZ148" s="38">
        <v>19.2803</v>
      </c>
      <c r="DA148" s="18"/>
      <c r="DB148" s="37">
        <v>44062</v>
      </c>
      <c r="DC148" s="38">
        <v>18.8706</v>
      </c>
      <c r="DD148" s="18"/>
      <c r="DE148" s="37">
        <v>44062</v>
      </c>
      <c r="DF148" s="38">
        <v>17.2744</v>
      </c>
      <c r="DG148" s="18"/>
      <c r="DH148" s="37">
        <v>44062</v>
      </c>
      <c r="DI148" s="38">
        <v>22.6249</v>
      </c>
      <c r="DJ148" s="18"/>
      <c r="DK148" s="37">
        <v>44062</v>
      </c>
      <c r="DL148" s="38">
        <v>0.1628</v>
      </c>
      <c r="DM148" s="18"/>
      <c r="DN148" s="18"/>
      <c r="DO148" s="18"/>
      <c r="DP148" s="18"/>
      <c r="DQ148" s="18"/>
      <c r="DR148" s="18"/>
      <c r="DS148" s="18"/>
      <c r="DT148" s="18"/>
      <c r="DU148" s="18"/>
      <c r="DV148" s="18"/>
      <c r="DW148" s="18"/>
      <c r="DX148" s="18"/>
      <c r="DY148" s="18"/>
      <c r="DZ148" s="18"/>
    </row>
    <row r="149" spans="1:130" ht="15" customHeight="1" thickBot="1" x14ac:dyDescent="0.35">
      <c r="A149" s="100" t="s">
        <v>425</v>
      </c>
      <c r="B149" s="73" t="s">
        <v>242</v>
      </c>
      <c r="C149" s="74">
        <v>18000</v>
      </c>
      <c r="D149" s="74">
        <v>18346</v>
      </c>
      <c r="E149" s="74">
        <v>19007</v>
      </c>
      <c r="F149" s="74">
        <v>21061</v>
      </c>
      <c r="G149" s="74">
        <v>22146</v>
      </c>
      <c r="H149" s="74">
        <v>19934</v>
      </c>
      <c r="I149" s="74">
        <v>30086</v>
      </c>
      <c r="J149" s="74">
        <v>27609</v>
      </c>
      <c r="K149" s="74">
        <v>27609</v>
      </c>
      <c r="L149" s="74">
        <v>28618</v>
      </c>
      <c r="M149" s="75">
        <v>28032</v>
      </c>
      <c r="N149" s="17"/>
      <c r="O149" s="17"/>
      <c r="P149" s="17"/>
      <c r="Q149" s="17"/>
      <c r="R149" s="17"/>
      <c r="S149" s="17"/>
      <c r="T149" s="17"/>
      <c r="U149" s="18"/>
      <c r="V149" s="18"/>
      <c r="W149" s="18"/>
      <c r="X149" s="18"/>
      <c r="Y149" s="18"/>
      <c r="Z149" s="18"/>
      <c r="AA149" s="18"/>
      <c r="AB149" s="18"/>
      <c r="AC149" s="18"/>
      <c r="AD149" s="18"/>
      <c r="AE149" s="18" t="s">
        <v>242</v>
      </c>
      <c r="AF149" s="85">
        <v>0</v>
      </c>
      <c r="AG149" s="85">
        <v>0</v>
      </c>
      <c r="AH149" s="85">
        <v>0</v>
      </c>
      <c r="AI149" s="85">
        <v>0</v>
      </c>
      <c r="AJ149" s="85">
        <v>0</v>
      </c>
      <c r="AK149" s="85">
        <v>0</v>
      </c>
      <c r="AL149" s="85">
        <v>0</v>
      </c>
      <c r="AM149" s="85">
        <v>0</v>
      </c>
      <c r="AN149" s="18"/>
      <c r="AO149" s="18"/>
      <c r="AP149" s="104" t="s">
        <v>242</v>
      </c>
      <c r="AQ149" s="113">
        <v>18000</v>
      </c>
      <c r="AR149" s="113">
        <v>18346</v>
      </c>
      <c r="AS149" s="113">
        <v>19007</v>
      </c>
      <c r="AT149" s="113">
        <v>21061</v>
      </c>
      <c r="AU149" s="113">
        <v>22146</v>
      </c>
      <c r="AV149" s="113">
        <v>19934</v>
      </c>
      <c r="AW149" s="113">
        <v>30086</v>
      </c>
      <c r="AX149" s="113">
        <v>27609</v>
      </c>
      <c r="AY149" s="113">
        <v>27609</v>
      </c>
      <c r="AZ149" s="113">
        <v>28618</v>
      </c>
      <c r="BA149" s="114">
        <v>28032</v>
      </c>
      <c r="BB149" s="18"/>
      <c r="BC149" s="18"/>
      <c r="BD149" s="18"/>
      <c r="BE149" s="18"/>
      <c r="BF149" s="18"/>
      <c r="BG149" s="18"/>
      <c r="BH149" s="18"/>
      <c r="BI149" s="18"/>
      <c r="BJ149" s="18"/>
      <c r="BK149" s="18"/>
      <c r="BL149" s="18"/>
      <c r="BM149" s="18"/>
      <c r="BN149" s="18"/>
      <c r="BO149" s="18"/>
      <c r="BP149" s="18"/>
      <c r="BQ149" s="37">
        <v>44439</v>
      </c>
      <c r="BR149" s="38">
        <v>24248.666700000002</v>
      </c>
      <c r="BS149" s="17"/>
      <c r="BT149" s="37">
        <v>44439</v>
      </c>
      <c r="BU149" s="38">
        <v>1685</v>
      </c>
      <c r="BV149" s="18"/>
      <c r="BW149" s="37"/>
      <c r="BX149" s="38"/>
      <c r="BY149" s="18"/>
      <c r="BZ149" s="39">
        <v>44439</v>
      </c>
      <c r="CA149" s="40">
        <v>24248.666700000002</v>
      </c>
      <c r="CB149" s="17"/>
      <c r="CC149" s="39">
        <v>44439</v>
      </c>
      <c r="CD149" s="40">
        <v>16.850000000000001</v>
      </c>
      <c r="CE149" s="18"/>
      <c r="CF149" s="18"/>
      <c r="CG149" s="18"/>
      <c r="CH149" s="18"/>
      <c r="CI149" s="18"/>
      <c r="CJ149" s="18"/>
      <c r="CK149" s="18"/>
      <c r="CL149" s="18"/>
      <c r="CM149" s="18"/>
      <c r="CN149" s="18"/>
      <c r="CO149" s="18"/>
      <c r="CP149" s="18"/>
      <c r="CQ149" s="18"/>
      <c r="CR149" s="18"/>
      <c r="CS149" s="18"/>
      <c r="CT149" s="18"/>
      <c r="CU149" s="18"/>
      <c r="CV149" s="18"/>
      <c r="CW149" s="18"/>
      <c r="CX149" s="18"/>
      <c r="CY149" s="37"/>
      <c r="CZ149" s="38"/>
      <c r="DA149" s="18"/>
      <c r="DB149" s="37">
        <v>44063</v>
      </c>
      <c r="DC149" s="38">
        <v>19.0306</v>
      </c>
      <c r="DD149" s="18"/>
      <c r="DE149" s="37">
        <v>44063</v>
      </c>
      <c r="DF149" s="38">
        <v>17.2712</v>
      </c>
      <c r="DG149" s="18"/>
      <c r="DH149" s="37">
        <v>44063</v>
      </c>
      <c r="DI149" s="38">
        <v>22.809699999999999</v>
      </c>
      <c r="DJ149" s="18"/>
      <c r="DK149" s="37">
        <v>44063</v>
      </c>
      <c r="DL149" s="38">
        <v>0.1633</v>
      </c>
      <c r="DM149" s="18"/>
      <c r="DN149" s="18"/>
      <c r="DO149" s="18"/>
      <c r="DP149" s="18"/>
      <c r="DQ149" s="18"/>
      <c r="DR149" s="18"/>
      <c r="DS149" s="18"/>
      <c r="DT149" s="18"/>
      <c r="DU149" s="18"/>
      <c r="DV149" s="18"/>
      <c r="DW149" s="18"/>
      <c r="DX149" s="18"/>
      <c r="DY149" s="18"/>
      <c r="DZ149" s="18"/>
    </row>
    <row r="150" spans="1:130" ht="15" customHeight="1" x14ac:dyDescent="0.3">
      <c r="A150" s="30"/>
      <c r="B150" s="73"/>
      <c r="C150" s="74"/>
      <c r="D150" s="74"/>
      <c r="E150" s="74"/>
      <c r="F150" s="74"/>
      <c r="G150" s="74"/>
      <c r="H150" s="74"/>
      <c r="I150" s="74"/>
      <c r="J150" s="74"/>
      <c r="K150" s="74"/>
      <c r="L150" s="74"/>
      <c r="M150" s="75"/>
      <c r="N150" s="17"/>
      <c r="O150" s="17"/>
      <c r="P150" s="17"/>
      <c r="Q150" s="17"/>
      <c r="R150" s="17"/>
      <c r="S150" s="17"/>
      <c r="T150" s="17"/>
      <c r="U150" s="18"/>
      <c r="V150" s="18"/>
      <c r="W150" s="18"/>
      <c r="X150" s="18"/>
      <c r="Y150" s="18"/>
      <c r="Z150" s="18"/>
      <c r="AA150" s="18"/>
      <c r="AB150" s="18"/>
      <c r="AC150" s="18"/>
      <c r="AD150" s="18"/>
      <c r="AE150" s="18"/>
      <c r="AF150" s="85"/>
      <c r="AG150" s="85"/>
      <c r="AH150" s="85"/>
      <c r="AI150" s="85"/>
      <c r="AJ150" s="85"/>
      <c r="AK150" s="85"/>
      <c r="AL150" s="85"/>
      <c r="AM150" s="85"/>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37">
        <v>44469</v>
      </c>
      <c r="BR150" s="38">
        <v>23313.258099999999</v>
      </c>
      <c r="BS150" s="17"/>
      <c r="BT150" s="37">
        <v>44469</v>
      </c>
      <c r="BU150" s="38">
        <v>1620</v>
      </c>
      <c r="BV150" s="18"/>
      <c r="BW150" s="37"/>
      <c r="BX150" s="38"/>
      <c r="BY150" s="18"/>
      <c r="BZ150" s="39">
        <v>44469</v>
      </c>
      <c r="CA150" s="40">
        <v>23313.258099999999</v>
      </c>
      <c r="CB150" s="17"/>
      <c r="CC150" s="39">
        <v>44469</v>
      </c>
      <c r="CD150" s="40">
        <v>16.2</v>
      </c>
      <c r="CE150" s="18"/>
      <c r="CF150" s="18"/>
      <c r="CG150" s="18"/>
      <c r="CH150" s="18"/>
      <c r="CI150" s="18"/>
      <c r="CJ150" s="18"/>
      <c r="CK150" s="18"/>
      <c r="CL150" s="18"/>
      <c r="CM150" s="18"/>
      <c r="CN150" s="18"/>
      <c r="CO150" s="18"/>
      <c r="CP150" s="18"/>
      <c r="CQ150" s="18"/>
      <c r="CR150" s="18"/>
      <c r="CS150" s="18"/>
      <c r="CT150" s="18"/>
      <c r="CU150" s="18"/>
      <c r="CV150" s="18"/>
      <c r="CW150" s="18"/>
      <c r="CX150" s="18"/>
      <c r="CY150" s="37"/>
      <c r="CZ150" s="38"/>
      <c r="DA150" s="18"/>
      <c r="DB150" s="37">
        <v>44064</v>
      </c>
      <c r="DC150" s="38">
        <v>18.819500000000001</v>
      </c>
      <c r="DD150" s="18"/>
      <c r="DE150" s="37">
        <v>44064</v>
      </c>
      <c r="DF150" s="38">
        <v>17.1557</v>
      </c>
      <c r="DG150" s="18"/>
      <c r="DH150" s="37">
        <v>44064</v>
      </c>
      <c r="DI150" s="38">
        <v>22.4574</v>
      </c>
      <c r="DJ150" s="18"/>
      <c r="DK150" s="37">
        <v>44064</v>
      </c>
      <c r="DL150" s="38">
        <v>0.16209999999999999</v>
      </c>
      <c r="DM150" s="18"/>
      <c r="DN150" s="18"/>
      <c r="DO150" s="18"/>
      <c r="DP150" s="18"/>
      <c r="DQ150" s="18"/>
      <c r="DR150" s="18"/>
      <c r="DS150" s="18"/>
      <c r="DT150" s="18"/>
      <c r="DU150" s="18"/>
      <c r="DV150" s="18"/>
      <c r="DW150" s="18"/>
      <c r="DX150" s="18"/>
      <c r="DY150" s="18"/>
      <c r="DZ150" s="18"/>
    </row>
    <row r="151" spans="1:130" ht="15" customHeight="1" x14ac:dyDescent="0.3">
      <c r="A151" s="30"/>
      <c r="B151" s="73"/>
      <c r="C151" s="74"/>
      <c r="D151" s="74"/>
      <c r="E151" s="74"/>
      <c r="F151" s="74"/>
      <c r="G151" s="74"/>
      <c r="H151" s="74"/>
      <c r="I151" s="74"/>
      <c r="J151" s="74"/>
      <c r="K151" s="74"/>
      <c r="L151" s="74"/>
      <c r="M151" s="75"/>
      <c r="N151" s="17"/>
      <c r="O151" s="17"/>
      <c r="P151" s="17"/>
      <c r="Q151" s="17"/>
      <c r="R151" s="17"/>
      <c r="S151" s="17"/>
      <c r="T151" s="17"/>
      <c r="U151" s="18"/>
      <c r="V151" s="18"/>
      <c r="W151" s="18"/>
      <c r="X151" s="18"/>
      <c r="Y151" s="18"/>
      <c r="Z151" s="18"/>
      <c r="AA151" s="18"/>
      <c r="AB151" s="18"/>
      <c r="AC151" s="18"/>
      <c r="AD151" s="18"/>
      <c r="AE151" s="18"/>
      <c r="AF151" s="85"/>
      <c r="AG151" s="85"/>
      <c r="AH151" s="85"/>
      <c r="AI151" s="85"/>
      <c r="AJ151" s="85"/>
      <c r="AK151" s="85"/>
      <c r="AL151" s="85"/>
      <c r="AM151" s="85"/>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37">
        <v>44498</v>
      </c>
      <c r="BR151" s="38">
        <v>24335.0121</v>
      </c>
      <c r="BS151" s="17"/>
      <c r="BT151" s="37">
        <v>44498</v>
      </c>
      <c r="BU151" s="38">
        <v>1691</v>
      </c>
      <c r="BV151" s="18"/>
      <c r="BW151" s="37"/>
      <c r="BX151" s="38"/>
      <c r="BY151" s="18"/>
      <c r="BZ151" s="39">
        <v>44498</v>
      </c>
      <c r="CA151" s="40">
        <v>24335.0121</v>
      </c>
      <c r="CB151" s="17"/>
      <c r="CC151" s="39">
        <v>44498</v>
      </c>
      <c r="CD151" s="40">
        <v>16.91</v>
      </c>
      <c r="CE151" s="18"/>
      <c r="CF151" s="18"/>
      <c r="CG151" s="18"/>
      <c r="CH151" s="18"/>
      <c r="CI151" s="18"/>
      <c r="CJ151" s="18"/>
      <c r="CK151" s="18"/>
      <c r="CL151" s="18"/>
      <c r="CM151" s="18"/>
      <c r="CN151" s="18"/>
      <c r="CO151" s="18"/>
      <c r="CP151" s="18"/>
      <c r="CQ151" s="18"/>
      <c r="CR151" s="18"/>
      <c r="CS151" s="18"/>
      <c r="CT151" s="18"/>
      <c r="CU151" s="18"/>
      <c r="CV151" s="18"/>
      <c r="CW151" s="18"/>
      <c r="CX151" s="18"/>
      <c r="CY151" s="37"/>
      <c r="CZ151" s="38"/>
      <c r="DA151" s="18"/>
      <c r="DB151" s="37">
        <v>44067</v>
      </c>
      <c r="DC151" s="38">
        <v>18.609300000000001</v>
      </c>
      <c r="DD151" s="18"/>
      <c r="DE151" s="37">
        <v>44067</v>
      </c>
      <c r="DF151" s="38">
        <v>16.969899999999999</v>
      </c>
      <c r="DG151" s="18"/>
      <c r="DH151" s="37">
        <v>44067</v>
      </c>
      <c r="DI151" s="38">
        <v>22.1691</v>
      </c>
      <c r="DJ151" s="18"/>
      <c r="DK151" s="37">
        <v>44067</v>
      </c>
      <c r="DL151" s="38">
        <v>0.16009999999999999</v>
      </c>
      <c r="DM151" s="18"/>
      <c r="DN151" s="18"/>
      <c r="DO151" s="18"/>
      <c r="DP151" s="18"/>
      <c r="DQ151" s="18"/>
      <c r="DR151" s="18"/>
      <c r="DS151" s="18"/>
      <c r="DT151" s="18"/>
      <c r="DU151" s="18"/>
      <c r="DV151" s="18"/>
      <c r="DW151" s="18"/>
      <c r="DX151" s="18"/>
      <c r="DY151" s="18"/>
      <c r="DZ151" s="18"/>
    </row>
    <row r="152" spans="1:130" ht="15" customHeight="1" x14ac:dyDescent="0.3">
      <c r="A152" s="30"/>
      <c r="B152" s="73"/>
      <c r="C152" s="74"/>
      <c r="D152" s="74"/>
      <c r="E152" s="74"/>
      <c r="F152" s="74"/>
      <c r="G152" s="74"/>
      <c r="H152" s="74"/>
      <c r="I152" s="74"/>
      <c r="J152" s="74"/>
      <c r="K152" s="74"/>
      <c r="L152" s="74"/>
      <c r="M152" s="75"/>
      <c r="N152" s="17"/>
      <c r="O152" s="17"/>
      <c r="P152" s="17"/>
      <c r="Q152" s="17"/>
      <c r="R152" s="17"/>
      <c r="S152" s="17"/>
      <c r="T152" s="17"/>
      <c r="U152" s="18"/>
      <c r="V152" s="18"/>
      <c r="W152" s="18"/>
      <c r="X152" s="18"/>
      <c r="Y152" s="18"/>
      <c r="Z152" s="18"/>
      <c r="AA152" s="18"/>
      <c r="AB152" s="18"/>
      <c r="AC152" s="18"/>
      <c r="AD152" s="18"/>
      <c r="AE152" s="18"/>
      <c r="AF152" s="85"/>
      <c r="AG152" s="85"/>
      <c r="AH152" s="85"/>
      <c r="AI152" s="85"/>
      <c r="AJ152" s="85"/>
      <c r="AK152" s="85"/>
      <c r="AL152" s="85"/>
      <c r="AM152" s="85"/>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37">
        <v>44530</v>
      </c>
      <c r="BR152" s="38">
        <v>20694.114300000001</v>
      </c>
      <c r="BS152" s="17"/>
      <c r="BT152" s="37">
        <v>44530</v>
      </c>
      <c r="BU152" s="38">
        <v>1438</v>
      </c>
      <c r="BV152" s="18"/>
      <c r="BW152" s="37"/>
      <c r="BX152" s="38"/>
      <c r="BY152" s="18"/>
      <c r="BZ152" s="39">
        <v>44530</v>
      </c>
      <c r="CA152" s="40">
        <v>20694.114300000001</v>
      </c>
      <c r="CB152" s="17"/>
      <c r="CC152" s="39">
        <v>44530</v>
      </c>
      <c r="CD152" s="40">
        <v>14.38</v>
      </c>
      <c r="CE152" s="18"/>
      <c r="CF152" s="18"/>
      <c r="CG152" s="18"/>
      <c r="CH152" s="18"/>
      <c r="CI152" s="18"/>
      <c r="CJ152" s="18"/>
      <c r="CK152" s="18"/>
      <c r="CL152" s="18"/>
      <c r="CM152" s="18"/>
      <c r="CN152" s="18"/>
      <c r="CO152" s="18"/>
      <c r="CP152" s="18"/>
      <c r="CQ152" s="18"/>
      <c r="CR152" s="18"/>
      <c r="CS152" s="18"/>
      <c r="CT152" s="18"/>
      <c r="CU152" s="18"/>
      <c r="CV152" s="18"/>
      <c r="CW152" s="18"/>
      <c r="CX152" s="18"/>
      <c r="CY152" s="37"/>
      <c r="CZ152" s="38"/>
      <c r="DA152" s="18"/>
      <c r="DB152" s="37">
        <v>44068</v>
      </c>
      <c r="DC152" s="38">
        <v>18.5672</v>
      </c>
      <c r="DD152" s="18"/>
      <c r="DE152" s="37">
        <v>44068</v>
      </c>
      <c r="DF152" s="38">
        <v>16.855899999999998</v>
      </c>
      <c r="DG152" s="18"/>
      <c r="DH152" s="37">
        <v>44068</v>
      </c>
      <c r="DI152" s="38">
        <v>22.1632</v>
      </c>
      <c r="DJ152" s="18"/>
      <c r="DK152" s="37">
        <v>44068</v>
      </c>
      <c r="DL152" s="38">
        <v>0.15840000000000001</v>
      </c>
      <c r="DM152" s="18"/>
      <c r="DN152" s="18"/>
      <c r="DO152" s="18"/>
      <c r="DP152" s="18"/>
      <c r="DQ152" s="18"/>
      <c r="DR152" s="18"/>
      <c r="DS152" s="18"/>
      <c r="DT152" s="18"/>
      <c r="DU152" s="18"/>
      <c r="DV152" s="18"/>
      <c r="DW152" s="18"/>
      <c r="DX152" s="18"/>
      <c r="DY152" s="18"/>
      <c r="DZ152" s="18"/>
    </row>
    <row r="153" spans="1:130" ht="15" customHeight="1" x14ac:dyDescent="0.3">
      <c r="A153" s="30"/>
      <c r="B153" s="73"/>
      <c r="C153" s="74"/>
      <c r="D153" s="74"/>
      <c r="E153" s="74"/>
      <c r="F153" s="74"/>
      <c r="G153" s="74"/>
      <c r="H153" s="74"/>
      <c r="I153" s="74"/>
      <c r="J153" s="74"/>
      <c r="K153" s="74"/>
      <c r="L153" s="74"/>
      <c r="M153" s="75"/>
      <c r="N153" s="17"/>
      <c r="O153" s="17"/>
      <c r="P153" s="17"/>
      <c r="Q153" s="17"/>
      <c r="R153" s="17"/>
      <c r="S153" s="17"/>
      <c r="T153" s="17"/>
      <c r="U153" s="18"/>
      <c r="V153" s="18"/>
      <c r="W153" s="18"/>
      <c r="X153" s="18"/>
      <c r="Y153" s="18"/>
      <c r="Z153" s="18"/>
      <c r="AA153" s="18"/>
      <c r="AB153" s="18"/>
      <c r="AC153" s="18"/>
      <c r="AD153" s="18"/>
      <c r="AE153" s="18"/>
      <c r="AF153" s="85"/>
      <c r="AG153" s="85"/>
      <c r="AH153" s="85"/>
      <c r="AI153" s="85"/>
      <c r="AJ153" s="85"/>
      <c r="AK153" s="85"/>
      <c r="AL153" s="85"/>
      <c r="AM153" s="85"/>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37">
        <v>44561</v>
      </c>
      <c r="BR153" s="38">
        <v>22852.749299999999</v>
      </c>
      <c r="BS153" s="17"/>
      <c r="BT153" s="37">
        <v>44561</v>
      </c>
      <c r="BU153" s="38">
        <v>1588</v>
      </c>
      <c r="BV153" s="18"/>
      <c r="BW153" s="37"/>
      <c r="BX153" s="38"/>
      <c r="BY153" s="18"/>
      <c r="BZ153" s="39">
        <v>44561</v>
      </c>
      <c r="CA153" s="40">
        <v>22852.749299999999</v>
      </c>
      <c r="CB153" s="17"/>
      <c r="CC153" s="39">
        <v>44561</v>
      </c>
      <c r="CD153" s="40">
        <v>15.88</v>
      </c>
      <c r="CE153" s="18"/>
      <c r="CF153" s="18"/>
      <c r="CG153" s="18"/>
      <c r="CH153" s="18"/>
      <c r="CI153" s="18"/>
      <c r="CJ153" s="18"/>
      <c r="CK153" s="18"/>
      <c r="CL153" s="18"/>
      <c r="CM153" s="18"/>
      <c r="CN153" s="18"/>
      <c r="CO153" s="18"/>
      <c r="CP153" s="18"/>
      <c r="CQ153" s="18"/>
      <c r="CR153" s="18"/>
      <c r="CS153" s="18"/>
      <c r="CT153" s="18"/>
      <c r="CU153" s="18"/>
      <c r="CV153" s="18"/>
      <c r="CW153" s="18"/>
      <c r="CX153" s="18"/>
      <c r="CY153" s="37"/>
      <c r="CZ153" s="38"/>
      <c r="DA153" s="18"/>
      <c r="DB153" s="37">
        <v>44069</v>
      </c>
      <c r="DC153" s="38">
        <v>18.580400000000001</v>
      </c>
      <c r="DD153" s="18"/>
      <c r="DE153" s="37">
        <v>44069</v>
      </c>
      <c r="DF153" s="38">
        <v>16.874400000000001</v>
      </c>
      <c r="DG153" s="18"/>
      <c r="DH153" s="37">
        <v>44069</v>
      </c>
      <c r="DI153" s="38">
        <v>22.290700000000001</v>
      </c>
      <c r="DJ153" s="18"/>
      <c r="DK153" s="37">
        <v>44069</v>
      </c>
      <c r="DL153" s="38">
        <v>0.15920000000000001</v>
      </c>
      <c r="DM153" s="18"/>
      <c r="DN153" s="18"/>
      <c r="DO153" s="18"/>
      <c r="DP153" s="18"/>
      <c r="DQ153" s="18"/>
      <c r="DR153" s="18"/>
      <c r="DS153" s="18"/>
      <c r="DT153" s="18"/>
      <c r="DU153" s="18"/>
      <c r="DV153" s="18"/>
      <c r="DW153" s="18"/>
      <c r="DX153" s="18"/>
      <c r="DY153" s="18"/>
      <c r="DZ153" s="18"/>
    </row>
    <row r="154" spans="1:130" ht="15" customHeight="1" x14ac:dyDescent="0.3">
      <c r="A154" s="115"/>
      <c r="B154" s="121"/>
      <c r="C154" s="117"/>
      <c r="D154" s="117"/>
      <c r="E154" s="117"/>
      <c r="F154" s="117"/>
      <c r="G154" s="117"/>
      <c r="H154" s="117"/>
      <c r="I154" s="117"/>
      <c r="J154" s="117"/>
      <c r="K154" s="117"/>
      <c r="L154" s="117"/>
      <c r="M154" s="118"/>
      <c r="N154" s="17"/>
      <c r="O154" s="17"/>
      <c r="P154" s="17"/>
      <c r="Q154" s="17"/>
      <c r="R154" s="17"/>
      <c r="S154" s="17"/>
      <c r="T154" s="17"/>
      <c r="U154" s="18"/>
      <c r="V154" s="18"/>
      <c r="W154" s="18"/>
      <c r="X154" s="18"/>
      <c r="Y154" s="18"/>
      <c r="Z154" s="18"/>
      <c r="AA154" s="18"/>
      <c r="AB154" s="18"/>
      <c r="AC154" s="18"/>
      <c r="AD154" s="18"/>
      <c r="AE154" s="18"/>
      <c r="AF154" s="85"/>
      <c r="AG154" s="85"/>
      <c r="AH154" s="85"/>
      <c r="AI154" s="85"/>
      <c r="AJ154" s="85"/>
      <c r="AK154" s="85"/>
      <c r="AL154" s="85"/>
      <c r="AM154" s="85"/>
      <c r="AN154" s="18"/>
      <c r="AO154" s="18"/>
      <c r="AP154" s="18"/>
      <c r="AQ154" s="122"/>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37">
        <v>44592</v>
      </c>
      <c r="BR154" s="38">
        <v>21327.313900000001</v>
      </c>
      <c r="BS154" s="17"/>
      <c r="BT154" s="37">
        <v>44592</v>
      </c>
      <c r="BU154" s="38">
        <v>1482</v>
      </c>
      <c r="BV154" s="18"/>
      <c r="BW154" s="37"/>
      <c r="BX154" s="38"/>
      <c r="BY154" s="18"/>
      <c r="BZ154" s="39">
        <v>44592</v>
      </c>
      <c r="CA154" s="40">
        <v>21327.313900000001</v>
      </c>
      <c r="CB154" s="17"/>
      <c r="CC154" s="39">
        <v>44592</v>
      </c>
      <c r="CD154" s="40">
        <v>14.82</v>
      </c>
      <c r="CE154" s="18"/>
      <c r="CF154" s="18"/>
      <c r="CG154" s="18"/>
      <c r="CH154" s="18"/>
      <c r="CI154" s="18"/>
      <c r="CJ154" s="18"/>
      <c r="CK154" s="18"/>
      <c r="CL154" s="18"/>
      <c r="CM154" s="18"/>
      <c r="CN154" s="18"/>
      <c r="CO154" s="18"/>
      <c r="CP154" s="18"/>
      <c r="CQ154" s="18"/>
      <c r="CR154" s="18"/>
      <c r="CS154" s="18"/>
      <c r="CT154" s="18"/>
      <c r="CU154" s="18"/>
      <c r="CV154" s="18"/>
      <c r="CW154" s="18"/>
      <c r="CX154" s="18"/>
      <c r="CY154" s="37"/>
      <c r="CZ154" s="38"/>
      <c r="DA154" s="18"/>
      <c r="DB154" s="37">
        <v>44070</v>
      </c>
      <c r="DC154" s="38">
        <v>18.738600000000002</v>
      </c>
      <c r="DD154" s="18"/>
      <c r="DE154" s="37">
        <v>44070</v>
      </c>
      <c r="DF154" s="38">
        <v>17.032499999999999</v>
      </c>
      <c r="DG154" s="18"/>
      <c r="DH154" s="37">
        <v>44070</v>
      </c>
      <c r="DI154" s="38">
        <v>22.497499999999999</v>
      </c>
      <c r="DJ154" s="18"/>
      <c r="DK154" s="37">
        <v>44070</v>
      </c>
      <c r="DL154" s="38">
        <v>0.1598</v>
      </c>
      <c r="DM154" s="18"/>
      <c r="DN154" s="18"/>
      <c r="DO154" s="18"/>
      <c r="DP154" s="18"/>
      <c r="DQ154" s="18"/>
      <c r="DR154" s="18"/>
      <c r="DS154" s="18"/>
      <c r="DT154" s="18"/>
      <c r="DU154" s="18"/>
      <c r="DV154" s="18"/>
      <c r="DW154" s="18"/>
      <c r="DX154" s="18"/>
      <c r="DY154" s="18"/>
      <c r="DZ154" s="18"/>
    </row>
    <row r="155" spans="1:130" ht="15" customHeight="1" x14ac:dyDescent="0.3">
      <c r="A155" s="16"/>
      <c r="B155" s="16"/>
      <c r="C155" s="62"/>
      <c r="D155" s="62"/>
      <c r="E155" s="62"/>
      <c r="F155" s="62"/>
      <c r="G155" s="62"/>
      <c r="H155" s="62"/>
      <c r="I155" s="62"/>
      <c r="J155" s="62"/>
      <c r="K155" s="62"/>
      <c r="L155" s="62"/>
      <c r="M155" s="62"/>
      <c r="N155" s="17"/>
      <c r="O155" s="17"/>
      <c r="P155" s="17"/>
      <c r="Q155" s="17"/>
      <c r="R155" s="17"/>
      <c r="S155" s="17"/>
      <c r="T155" s="17"/>
      <c r="U155" s="18"/>
      <c r="V155" s="18"/>
      <c r="W155" s="18"/>
      <c r="X155" s="18"/>
      <c r="Y155" s="18"/>
      <c r="Z155" s="18"/>
      <c r="AA155" s="18"/>
      <c r="AB155" s="18"/>
      <c r="AC155" s="18"/>
      <c r="AD155" s="18"/>
      <c r="AE155" s="18"/>
      <c r="AF155" s="85"/>
      <c r="AG155" s="85"/>
      <c r="AH155" s="85"/>
      <c r="AI155" s="85"/>
      <c r="AJ155" s="85"/>
      <c r="AK155" s="85"/>
      <c r="AL155" s="85"/>
      <c r="AM155" s="85"/>
      <c r="AN155" s="18"/>
      <c r="AO155" s="18"/>
      <c r="AP155" s="18"/>
      <c r="AQ155" s="122"/>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37">
        <v>44620</v>
      </c>
      <c r="BR155" s="38">
        <v>21068.277699999999</v>
      </c>
      <c r="BS155" s="17"/>
      <c r="BT155" s="37">
        <v>44620</v>
      </c>
      <c r="BU155" s="38">
        <v>1464</v>
      </c>
      <c r="BV155" s="18"/>
      <c r="BW155" s="37"/>
      <c r="BX155" s="38"/>
      <c r="BY155" s="18"/>
      <c r="BZ155" s="39">
        <v>44620</v>
      </c>
      <c r="CA155" s="40">
        <v>21068.277699999999</v>
      </c>
      <c r="CB155" s="17"/>
      <c r="CC155" s="39">
        <v>44620</v>
      </c>
      <c r="CD155" s="40">
        <v>14.64</v>
      </c>
      <c r="CE155" s="18"/>
      <c r="CF155" s="18"/>
      <c r="CG155" s="18"/>
      <c r="CH155" s="18"/>
      <c r="CI155" s="18"/>
      <c r="CJ155" s="18"/>
      <c r="CK155" s="18"/>
      <c r="CL155" s="18"/>
      <c r="CM155" s="18"/>
      <c r="CN155" s="18"/>
      <c r="CO155" s="18"/>
      <c r="CP155" s="18"/>
      <c r="CQ155" s="18"/>
      <c r="CR155" s="18"/>
      <c r="CS155" s="18"/>
      <c r="CT155" s="18"/>
      <c r="CU155" s="18"/>
      <c r="CV155" s="18"/>
      <c r="CW155" s="18"/>
      <c r="CX155" s="18"/>
      <c r="CY155" s="37"/>
      <c r="CZ155" s="38"/>
      <c r="DA155" s="18"/>
      <c r="DB155" s="37">
        <v>44071</v>
      </c>
      <c r="DC155" s="38">
        <v>18.3552</v>
      </c>
      <c r="DD155" s="18"/>
      <c r="DE155" s="37">
        <v>44071</v>
      </c>
      <c r="DF155" s="38">
        <v>16.595600000000001</v>
      </c>
      <c r="DG155" s="18"/>
      <c r="DH155" s="37">
        <v>44071</v>
      </c>
      <c r="DI155" s="38">
        <v>22.1557</v>
      </c>
      <c r="DJ155" s="18"/>
      <c r="DK155" s="37">
        <v>44071</v>
      </c>
      <c r="DL155" s="38">
        <v>0.1575</v>
      </c>
      <c r="DM155" s="18"/>
      <c r="DN155" s="18"/>
      <c r="DO155" s="18"/>
      <c r="DP155" s="18"/>
      <c r="DQ155" s="18"/>
      <c r="DR155" s="18"/>
      <c r="DS155" s="18"/>
      <c r="DT155" s="18"/>
      <c r="DU155" s="18"/>
      <c r="DV155" s="18"/>
      <c r="DW155" s="18"/>
      <c r="DX155" s="18"/>
      <c r="DY155" s="18"/>
      <c r="DZ155" s="18"/>
    </row>
    <row r="156" spans="1:130" ht="15" customHeight="1" x14ac:dyDescent="0.3">
      <c r="A156" s="16"/>
      <c r="B156" s="16"/>
      <c r="C156" s="62"/>
      <c r="D156" s="62"/>
      <c r="E156" s="62"/>
      <c r="F156" s="62"/>
      <c r="G156" s="62"/>
      <c r="H156" s="62"/>
      <c r="I156" s="62"/>
      <c r="J156" s="62"/>
      <c r="K156" s="62"/>
      <c r="L156" s="62"/>
      <c r="M156" s="62"/>
      <c r="N156" s="17"/>
      <c r="O156" s="17"/>
      <c r="P156" s="17"/>
      <c r="Q156" s="17"/>
      <c r="R156" s="17"/>
      <c r="S156" s="17"/>
      <c r="T156" s="17"/>
      <c r="U156" s="18"/>
      <c r="V156" s="18"/>
      <c r="W156" s="18"/>
      <c r="X156" s="18"/>
      <c r="Y156" s="18"/>
      <c r="Z156" s="18"/>
      <c r="AA156" s="18"/>
      <c r="AB156" s="18"/>
      <c r="AC156" s="18"/>
      <c r="AD156" s="18"/>
      <c r="AE156" s="18"/>
      <c r="AF156" s="85"/>
      <c r="AG156" s="85"/>
      <c r="AH156" s="85"/>
      <c r="AI156" s="85"/>
      <c r="AJ156" s="85"/>
      <c r="AK156" s="85"/>
      <c r="AL156" s="85"/>
      <c r="AM156" s="85"/>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37">
        <v>44651</v>
      </c>
      <c r="BR156" s="38">
        <v>23169.349099999999</v>
      </c>
      <c r="BS156" s="17"/>
      <c r="BT156" s="37">
        <v>44651</v>
      </c>
      <c r="BU156" s="38">
        <v>1610</v>
      </c>
      <c r="BV156" s="18"/>
      <c r="BW156" s="37"/>
      <c r="BX156" s="38"/>
      <c r="BY156" s="18"/>
      <c r="BZ156" s="39">
        <v>44651</v>
      </c>
      <c r="CA156" s="40">
        <v>23169.349099999999</v>
      </c>
      <c r="CB156" s="17"/>
      <c r="CC156" s="39">
        <v>44651</v>
      </c>
      <c r="CD156" s="40">
        <v>16.100000000000001</v>
      </c>
      <c r="CE156" s="18"/>
      <c r="CF156" s="18"/>
      <c r="CG156" s="18"/>
      <c r="CH156" s="18"/>
      <c r="CI156" s="18"/>
      <c r="CJ156" s="18"/>
      <c r="CK156" s="18"/>
      <c r="CL156" s="18"/>
      <c r="CM156" s="18"/>
      <c r="CN156" s="18"/>
      <c r="CO156" s="18"/>
      <c r="CP156" s="18"/>
      <c r="CQ156" s="18"/>
      <c r="CR156" s="18"/>
      <c r="CS156" s="18"/>
      <c r="CT156" s="18"/>
      <c r="CU156" s="18"/>
      <c r="CV156" s="18"/>
      <c r="CW156" s="18"/>
      <c r="CX156" s="18"/>
      <c r="CY156" s="37"/>
      <c r="CZ156" s="38"/>
      <c r="DA156" s="18"/>
      <c r="DB156" s="37">
        <v>44074</v>
      </c>
      <c r="DC156" s="38">
        <v>18.746700000000001</v>
      </c>
      <c r="DD156" s="18"/>
      <c r="DE156" s="37">
        <v>44074</v>
      </c>
      <c r="DF156" s="38">
        <v>16.941600000000001</v>
      </c>
      <c r="DG156" s="18"/>
      <c r="DH156" s="37">
        <v>44074</v>
      </c>
      <c r="DI156" s="38">
        <v>22.647500000000001</v>
      </c>
      <c r="DJ156" s="18"/>
      <c r="DK156" s="37">
        <v>44074</v>
      </c>
      <c r="DL156" s="38">
        <v>0.16</v>
      </c>
      <c r="DM156" s="18"/>
      <c r="DN156" s="18"/>
      <c r="DO156" s="18"/>
      <c r="DP156" s="18"/>
      <c r="DQ156" s="18"/>
      <c r="DR156" s="18"/>
      <c r="DS156" s="18"/>
      <c r="DT156" s="18"/>
      <c r="DU156" s="18"/>
      <c r="DV156" s="18"/>
      <c r="DW156" s="18"/>
      <c r="DX156" s="18"/>
      <c r="DY156" s="18"/>
      <c r="DZ156" s="18"/>
    </row>
    <row r="157" spans="1:130" ht="15" customHeight="1" x14ac:dyDescent="0.3">
      <c r="A157" s="16"/>
      <c r="B157" s="16"/>
      <c r="C157" s="62"/>
      <c r="D157" s="62"/>
      <c r="E157" s="62"/>
      <c r="F157" s="62"/>
      <c r="G157" s="62"/>
      <c r="H157" s="62"/>
      <c r="I157" s="62"/>
      <c r="J157" s="62"/>
      <c r="K157" s="62"/>
      <c r="L157" s="62"/>
      <c r="M157" s="62"/>
      <c r="N157" s="17"/>
      <c r="O157" s="17"/>
      <c r="P157" s="17"/>
      <c r="Q157" s="17"/>
      <c r="R157" s="17"/>
      <c r="S157" s="17"/>
      <c r="T157" s="17"/>
      <c r="U157" s="18"/>
      <c r="V157" s="18"/>
      <c r="W157" s="18"/>
      <c r="X157" s="18"/>
      <c r="Y157" s="18"/>
      <c r="Z157" s="18"/>
      <c r="AA157" s="18"/>
      <c r="AB157" s="18"/>
      <c r="AC157" s="18"/>
      <c r="AD157" s="18"/>
      <c r="AE157" s="18"/>
      <c r="AF157" s="85"/>
      <c r="AG157" s="85"/>
      <c r="AH157" s="85"/>
      <c r="AI157" s="85"/>
      <c r="AJ157" s="85"/>
      <c r="AK157" s="85"/>
      <c r="AL157" s="85"/>
      <c r="AM157" s="85"/>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37">
        <v>44680</v>
      </c>
      <c r="BR157" s="38">
        <v>21946.12</v>
      </c>
      <c r="BS157" s="17"/>
      <c r="BT157" s="37">
        <v>44680</v>
      </c>
      <c r="BU157" s="38">
        <v>1525</v>
      </c>
      <c r="BV157" s="18"/>
      <c r="BW157" s="37"/>
      <c r="BX157" s="38"/>
      <c r="BY157" s="18"/>
      <c r="BZ157" s="39">
        <v>44680</v>
      </c>
      <c r="CA157" s="40">
        <v>21946.12</v>
      </c>
      <c r="CB157" s="17"/>
      <c r="CC157" s="39">
        <v>44680</v>
      </c>
      <c r="CD157" s="40">
        <v>15.25</v>
      </c>
      <c r="CE157" s="18"/>
      <c r="CF157" s="18"/>
      <c r="CG157" s="18"/>
      <c r="CH157" s="18"/>
      <c r="CI157" s="18"/>
      <c r="CJ157" s="18"/>
      <c r="CK157" s="18"/>
      <c r="CL157" s="18"/>
      <c r="CM157" s="18"/>
      <c r="CN157" s="18"/>
      <c r="CO157" s="18"/>
      <c r="CP157" s="18"/>
      <c r="CQ157" s="18"/>
      <c r="CR157" s="18"/>
      <c r="CS157" s="18"/>
      <c r="CT157" s="18"/>
      <c r="CU157" s="18"/>
      <c r="CV157" s="18"/>
      <c r="CW157" s="18"/>
      <c r="CX157" s="18"/>
      <c r="CY157" s="37"/>
      <c r="CZ157" s="38"/>
      <c r="DA157" s="18"/>
      <c r="DB157" s="37">
        <v>44075</v>
      </c>
      <c r="DC157" s="38">
        <v>18.305199999999999</v>
      </c>
      <c r="DD157" s="18"/>
      <c r="DE157" s="37">
        <v>44075</v>
      </c>
      <c r="DF157" s="38">
        <v>16.6524</v>
      </c>
      <c r="DG157" s="18"/>
      <c r="DH157" s="37">
        <v>44075</v>
      </c>
      <c r="DI157" s="38">
        <v>22.289300000000001</v>
      </c>
      <c r="DJ157" s="18"/>
      <c r="DK157" s="37">
        <v>44075</v>
      </c>
      <c r="DL157" s="38">
        <v>0.15720000000000001</v>
      </c>
      <c r="DM157" s="18"/>
      <c r="DN157" s="18"/>
      <c r="DO157" s="18"/>
      <c r="DP157" s="18"/>
      <c r="DQ157" s="18"/>
      <c r="DR157" s="18"/>
      <c r="DS157" s="18"/>
      <c r="DT157" s="18"/>
      <c r="DU157" s="18"/>
      <c r="DV157" s="18"/>
      <c r="DW157" s="18"/>
      <c r="DX157" s="18"/>
      <c r="DY157" s="18"/>
      <c r="DZ157" s="18"/>
    </row>
    <row r="158" spans="1:130" ht="15" customHeight="1" x14ac:dyDescent="0.3">
      <c r="A158" s="16"/>
      <c r="B158" s="16"/>
      <c r="C158" s="62"/>
      <c r="D158" s="62"/>
      <c r="E158" s="62"/>
      <c r="F158" s="62"/>
      <c r="G158" s="62"/>
      <c r="H158" s="62"/>
      <c r="I158" s="62"/>
      <c r="J158" s="62"/>
      <c r="K158" s="62"/>
      <c r="L158" s="62"/>
      <c r="M158" s="62"/>
      <c r="N158" s="17"/>
      <c r="O158" s="17"/>
      <c r="P158" s="17"/>
      <c r="Q158" s="17"/>
      <c r="R158" s="17"/>
      <c r="S158" s="17"/>
      <c r="T158" s="17"/>
      <c r="U158" s="18"/>
      <c r="V158" s="18"/>
      <c r="W158" s="18"/>
      <c r="X158" s="18"/>
      <c r="Y158" s="18"/>
      <c r="Z158" s="18"/>
      <c r="AA158" s="18"/>
      <c r="AB158" s="18"/>
      <c r="AC158" s="18"/>
      <c r="AD158" s="18"/>
      <c r="AE158" s="18"/>
      <c r="AF158" s="85"/>
      <c r="AG158" s="85"/>
      <c r="AH158" s="85"/>
      <c r="AI158" s="85"/>
      <c r="AJ158" s="85"/>
      <c r="AK158" s="85"/>
      <c r="AL158" s="85"/>
      <c r="AM158" s="85"/>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37">
        <v>44712</v>
      </c>
      <c r="BR158" s="38">
        <v>22046.86</v>
      </c>
      <c r="BS158" s="17"/>
      <c r="BT158" s="37">
        <v>44712</v>
      </c>
      <c r="BU158" s="38">
        <v>1532</v>
      </c>
      <c r="BV158" s="18"/>
      <c r="BW158" s="37"/>
      <c r="BX158" s="38"/>
      <c r="BY158" s="18"/>
      <c r="BZ158" s="39">
        <v>44712</v>
      </c>
      <c r="CA158" s="40">
        <v>22046.86</v>
      </c>
      <c r="CB158" s="17"/>
      <c r="CC158" s="39">
        <v>44712</v>
      </c>
      <c r="CD158" s="40">
        <v>15.32</v>
      </c>
      <c r="CE158" s="18"/>
      <c r="CF158" s="18"/>
      <c r="CG158" s="18"/>
      <c r="CH158" s="18"/>
      <c r="CI158" s="18"/>
      <c r="CJ158" s="18"/>
      <c r="CK158" s="18"/>
      <c r="CL158" s="18"/>
      <c r="CM158" s="18"/>
      <c r="CN158" s="18"/>
      <c r="CO158" s="18"/>
      <c r="CP158" s="18"/>
      <c r="CQ158" s="18"/>
      <c r="CR158" s="18"/>
      <c r="CS158" s="18"/>
      <c r="CT158" s="18"/>
      <c r="CU158" s="18"/>
      <c r="CV158" s="18"/>
      <c r="CW158" s="18"/>
      <c r="CX158" s="18"/>
      <c r="CY158" s="37"/>
      <c r="CZ158" s="38"/>
      <c r="DA158" s="18"/>
      <c r="DB158" s="37">
        <v>44076</v>
      </c>
      <c r="DC158" s="38">
        <v>18.465800000000002</v>
      </c>
      <c r="DD158" s="18"/>
      <c r="DE158" s="37">
        <v>44076</v>
      </c>
      <c r="DF158" s="38">
        <v>16.8155</v>
      </c>
      <c r="DG158" s="18"/>
      <c r="DH158" s="37">
        <v>44076</v>
      </c>
      <c r="DI158" s="38">
        <v>22.451699999999999</v>
      </c>
      <c r="DJ158" s="18"/>
      <c r="DK158" s="37">
        <v>44076</v>
      </c>
      <c r="DL158" s="38">
        <v>0.15840000000000001</v>
      </c>
      <c r="DM158" s="18"/>
      <c r="DN158" s="18"/>
      <c r="DO158" s="18"/>
      <c r="DP158" s="18"/>
      <c r="DQ158" s="18"/>
      <c r="DR158" s="18"/>
      <c r="DS158" s="18"/>
      <c r="DT158" s="18"/>
      <c r="DU158" s="18"/>
      <c r="DV158" s="18"/>
      <c r="DW158" s="18"/>
      <c r="DX158" s="18"/>
      <c r="DY158" s="18"/>
      <c r="DZ158" s="18"/>
    </row>
    <row r="159" spans="1:130" ht="15" customHeight="1" thickBot="1" x14ac:dyDescent="0.35">
      <c r="A159" s="16"/>
      <c r="B159" s="16"/>
      <c r="C159" s="62"/>
      <c r="D159" s="62"/>
      <c r="E159" s="62"/>
      <c r="F159" s="62"/>
      <c r="G159" s="62"/>
      <c r="H159" s="62"/>
      <c r="I159" s="62"/>
      <c r="J159" s="62"/>
      <c r="K159" s="62"/>
      <c r="L159" s="62"/>
      <c r="M159" s="62"/>
      <c r="N159" s="17"/>
      <c r="O159" s="17"/>
      <c r="P159" s="17"/>
      <c r="Q159" s="17"/>
      <c r="R159" s="17"/>
      <c r="S159" s="17"/>
      <c r="T159" s="17"/>
      <c r="U159" s="18"/>
      <c r="V159" s="18"/>
      <c r="W159" s="18"/>
      <c r="X159" s="18"/>
      <c r="Y159" s="18"/>
      <c r="Z159" s="18"/>
      <c r="AA159" s="18"/>
      <c r="AB159" s="18"/>
      <c r="AC159" s="18"/>
      <c r="AD159" s="18"/>
      <c r="AE159" s="18"/>
      <c r="AF159" s="85"/>
      <c r="AG159" s="85"/>
      <c r="AH159" s="85"/>
      <c r="AI159" s="85"/>
      <c r="AJ159" s="85"/>
      <c r="AK159" s="85"/>
      <c r="AL159" s="85"/>
      <c r="AM159" s="85"/>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37">
        <v>44742</v>
      </c>
      <c r="BR159" s="38">
        <v>20535.810000000001</v>
      </c>
      <c r="BS159" s="17"/>
      <c r="BT159" s="37">
        <v>44742</v>
      </c>
      <c r="BU159" s="38">
        <v>1427</v>
      </c>
      <c r="BV159" s="18"/>
      <c r="BW159" s="37"/>
      <c r="BX159" s="38"/>
      <c r="BY159" s="18"/>
      <c r="BZ159" s="39">
        <v>44742</v>
      </c>
      <c r="CA159" s="40">
        <v>20535.810000000001</v>
      </c>
      <c r="CB159" s="17"/>
      <c r="CC159" s="39">
        <v>44742</v>
      </c>
      <c r="CD159" s="40">
        <v>14.27</v>
      </c>
      <c r="CE159" s="18"/>
      <c r="CF159" s="18"/>
      <c r="CG159" s="18"/>
      <c r="CH159" s="18"/>
      <c r="CI159" s="18"/>
      <c r="CJ159" s="18"/>
      <c r="CK159" s="18"/>
      <c r="CL159" s="18"/>
      <c r="CM159" s="18"/>
      <c r="CN159" s="18"/>
      <c r="CO159" s="18"/>
      <c r="CP159" s="18"/>
      <c r="CQ159" s="18"/>
      <c r="CR159" s="18"/>
      <c r="CS159" s="18"/>
      <c r="CT159" s="18"/>
      <c r="CU159" s="18"/>
      <c r="CV159" s="18"/>
      <c r="CW159" s="18"/>
      <c r="CX159" s="18"/>
      <c r="CY159" s="37"/>
      <c r="CZ159" s="38"/>
      <c r="DA159" s="18"/>
      <c r="DB159" s="37">
        <v>44077</v>
      </c>
      <c r="DC159" s="38">
        <v>18.394100000000002</v>
      </c>
      <c r="DD159" s="18"/>
      <c r="DE159" s="37">
        <v>44077</v>
      </c>
      <c r="DF159" s="38">
        <v>16.729500000000002</v>
      </c>
      <c r="DG159" s="18"/>
      <c r="DH159" s="37">
        <v>44077</v>
      </c>
      <c r="DI159" s="38">
        <v>22.220400000000001</v>
      </c>
      <c r="DJ159" s="18"/>
      <c r="DK159" s="37">
        <v>44077</v>
      </c>
      <c r="DL159" s="38">
        <v>0.1575</v>
      </c>
      <c r="DM159" s="18"/>
      <c r="DN159" s="18"/>
      <c r="DO159" s="18"/>
      <c r="DP159" s="18"/>
      <c r="DQ159" s="18"/>
      <c r="DR159" s="18"/>
      <c r="DS159" s="18"/>
      <c r="DT159" s="18"/>
      <c r="DU159" s="18"/>
      <c r="DV159" s="18"/>
      <c r="DW159" s="18"/>
      <c r="DX159" s="18"/>
      <c r="DY159" s="18"/>
      <c r="DZ159" s="18"/>
    </row>
    <row r="160" spans="1:130" ht="15" customHeight="1" x14ac:dyDescent="0.3">
      <c r="A160" s="63"/>
      <c r="B160" s="64" t="s">
        <v>243</v>
      </c>
      <c r="C160" s="65"/>
      <c r="D160" s="65"/>
      <c r="E160" s="65"/>
      <c r="F160" s="65"/>
      <c r="G160" s="65"/>
      <c r="H160" s="65"/>
      <c r="I160" s="65"/>
      <c r="J160" s="65"/>
      <c r="K160" s="65"/>
      <c r="L160" s="65"/>
      <c r="M160" s="66"/>
      <c r="N160" s="17"/>
      <c r="O160" s="17"/>
      <c r="P160" s="17"/>
      <c r="Q160" s="17"/>
      <c r="R160" s="17"/>
      <c r="S160" s="17"/>
      <c r="T160" s="17"/>
      <c r="U160" s="18"/>
      <c r="V160" s="18"/>
      <c r="W160" s="18"/>
      <c r="X160" s="18"/>
      <c r="Y160" s="18"/>
      <c r="Z160" s="18"/>
      <c r="AA160" s="18"/>
      <c r="AB160" s="18"/>
      <c r="AC160" s="18"/>
      <c r="AD160" s="18"/>
      <c r="AE160" s="18"/>
      <c r="AF160" s="85"/>
      <c r="AG160" s="85"/>
      <c r="AH160" s="85"/>
      <c r="AI160" s="85"/>
      <c r="AJ160" s="85"/>
      <c r="AK160" s="85"/>
      <c r="AL160" s="85"/>
      <c r="AM160" s="85"/>
      <c r="AN160" s="18"/>
      <c r="AO160" s="18"/>
      <c r="AP160" s="67" t="s">
        <v>243</v>
      </c>
      <c r="AQ160" s="68"/>
      <c r="AR160" s="68"/>
      <c r="AS160" s="68"/>
      <c r="AT160" s="68"/>
      <c r="AU160" s="68"/>
      <c r="AV160" s="68"/>
      <c r="AW160" s="68"/>
      <c r="AX160" s="68"/>
      <c r="AY160" s="68"/>
      <c r="AZ160" s="68"/>
      <c r="BA160" s="69"/>
      <c r="BB160" s="18"/>
      <c r="BC160" s="18"/>
      <c r="BD160" s="18"/>
      <c r="BE160" s="18"/>
      <c r="BF160" s="18"/>
      <c r="BG160" s="18"/>
      <c r="BH160" s="18"/>
      <c r="BI160" s="18"/>
      <c r="BJ160" s="18"/>
      <c r="BK160" s="18"/>
      <c r="BL160" s="18"/>
      <c r="BM160" s="18"/>
      <c r="BN160" s="18"/>
      <c r="BO160" s="18"/>
      <c r="BP160" s="18"/>
      <c r="BQ160" s="37">
        <v>44771</v>
      </c>
      <c r="BR160" s="38">
        <v>21874.17</v>
      </c>
      <c r="BS160" s="17"/>
      <c r="BT160" s="37">
        <v>44771</v>
      </c>
      <c r="BU160" s="38">
        <v>1520</v>
      </c>
      <c r="BV160" s="18"/>
      <c r="BW160" s="37"/>
      <c r="BX160" s="38"/>
      <c r="BY160" s="18"/>
      <c r="BZ160" s="39">
        <v>44771</v>
      </c>
      <c r="CA160" s="40">
        <v>21874.17</v>
      </c>
      <c r="CB160" s="17"/>
      <c r="CC160" s="39">
        <v>44771</v>
      </c>
      <c r="CD160" s="40">
        <v>15.200000000000001</v>
      </c>
      <c r="CE160" s="18"/>
      <c r="CF160" s="18"/>
      <c r="CG160" s="18"/>
      <c r="CH160" s="18"/>
      <c r="CI160" s="18"/>
      <c r="CJ160" s="18"/>
      <c r="CK160" s="18"/>
      <c r="CL160" s="18"/>
      <c r="CM160" s="18"/>
      <c r="CN160" s="18"/>
      <c r="CO160" s="18"/>
      <c r="CP160" s="18"/>
      <c r="CQ160" s="18"/>
      <c r="CR160" s="18"/>
      <c r="CS160" s="18"/>
      <c r="CT160" s="18"/>
      <c r="CU160" s="18"/>
      <c r="CV160" s="18"/>
      <c r="CW160" s="18"/>
      <c r="CX160" s="18"/>
      <c r="CY160" s="37"/>
      <c r="CZ160" s="38"/>
      <c r="DA160" s="18"/>
      <c r="DB160" s="37">
        <v>44078</v>
      </c>
      <c r="DC160" s="38">
        <v>18.170000000000002</v>
      </c>
      <c r="DD160" s="18"/>
      <c r="DE160" s="37">
        <v>44078</v>
      </c>
      <c r="DF160" s="38">
        <v>16.601600000000001</v>
      </c>
      <c r="DG160" s="18"/>
      <c r="DH160" s="37">
        <v>44078</v>
      </c>
      <c r="DI160" s="38">
        <v>22.054099999999998</v>
      </c>
      <c r="DJ160" s="18"/>
      <c r="DK160" s="37">
        <v>44078</v>
      </c>
      <c r="DL160" s="38">
        <v>0.15620000000000001</v>
      </c>
      <c r="DM160" s="18"/>
      <c r="DN160" s="18"/>
      <c r="DO160" s="18"/>
      <c r="DP160" s="18"/>
      <c r="DQ160" s="18"/>
      <c r="DR160" s="18"/>
      <c r="DS160" s="18"/>
      <c r="DT160" s="18"/>
      <c r="DU160" s="18"/>
      <c r="DV160" s="18"/>
      <c r="DW160" s="18"/>
      <c r="DX160" s="18"/>
      <c r="DY160" s="18"/>
      <c r="DZ160" s="18"/>
    </row>
    <row r="161" spans="1:130" ht="15" customHeight="1" x14ac:dyDescent="0.3">
      <c r="A161" s="72"/>
      <c r="B161" s="73"/>
      <c r="C161" s="74"/>
      <c r="D161" s="74"/>
      <c r="E161" s="74"/>
      <c r="F161" s="74"/>
      <c r="G161" s="74"/>
      <c r="H161" s="74"/>
      <c r="I161" s="74"/>
      <c r="J161" s="74"/>
      <c r="K161" s="74"/>
      <c r="L161" s="74"/>
      <c r="M161" s="75"/>
      <c r="N161" s="17"/>
      <c r="O161" s="17"/>
      <c r="P161" s="17"/>
      <c r="Q161" s="17"/>
      <c r="R161" s="17"/>
      <c r="S161" s="17"/>
      <c r="T161" s="17"/>
      <c r="U161" s="18"/>
      <c r="V161" s="18"/>
      <c r="W161" s="18"/>
      <c r="X161" s="18"/>
      <c r="Y161" s="18"/>
      <c r="Z161" s="18"/>
      <c r="AA161" s="18"/>
      <c r="AB161" s="18"/>
      <c r="AC161" s="18"/>
      <c r="AD161" s="18"/>
      <c r="AE161" s="18"/>
      <c r="AF161" s="85"/>
      <c r="AG161" s="85"/>
      <c r="AH161" s="85"/>
      <c r="AI161" s="85"/>
      <c r="AJ161" s="85"/>
      <c r="AK161" s="85"/>
      <c r="AL161" s="85"/>
      <c r="AM161" s="85"/>
      <c r="AN161" s="18"/>
      <c r="AO161" s="18"/>
      <c r="AP161" s="77"/>
      <c r="AQ161" s="18"/>
      <c r="AR161" s="18"/>
      <c r="AS161" s="18"/>
      <c r="AT161" s="18"/>
      <c r="AU161" s="18"/>
      <c r="AV161" s="18"/>
      <c r="AW161" s="18"/>
      <c r="AX161" s="18"/>
      <c r="AY161" s="18"/>
      <c r="AZ161" s="18"/>
      <c r="BA161" s="78"/>
      <c r="BB161" s="18"/>
      <c r="BC161" s="18"/>
      <c r="BD161" s="18"/>
      <c r="BE161" s="18"/>
      <c r="BF161" s="18"/>
      <c r="BG161" s="18"/>
      <c r="BH161" s="18"/>
      <c r="BI161" s="18"/>
      <c r="BJ161" s="18"/>
      <c r="BK161" s="18"/>
      <c r="BL161" s="18"/>
      <c r="BM161" s="18"/>
      <c r="BN161" s="18"/>
      <c r="BO161" s="18"/>
      <c r="BP161" s="18"/>
      <c r="BQ161" s="37">
        <v>44804</v>
      </c>
      <c r="BR161" s="38">
        <v>21212.19</v>
      </c>
      <c r="BS161" s="17"/>
      <c r="BT161" s="37">
        <v>44804</v>
      </c>
      <c r="BU161" s="38">
        <v>1474</v>
      </c>
      <c r="BV161" s="18"/>
      <c r="BW161" s="37"/>
      <c r="BX161" s="38"/>
      <c r="BY161" s="18"/>
      <c r="BZ161" s="39">
        <v>44804</v>
      </c>
      <c r="CA161" s="40">
        <v>21212.19</v>
      </c>
      <c r="CB161" s="17"/>
      <c r="CC161" s="39">
        <v>44804</v>
      </c>
      <c r="CD161" s="40">
        <v>14.74</v>
      </c>
      <c r="CE161" s="18"/>
      <c r="CF161" s="18"/>
      <c r="CG161" s="18"/>
      <c r="CH161" s="18"/>
      <c r="CI161" s="18"/>
      <c r="CJ161" s="18"/>
      <c r="CK161" s="18"/>
      <c r="CL161" s="18"/>
      <c r="CM161" s="18"/>
      <c r="CN161" s="18"/>
      <c r="CO161" s="18"/>
      <c r="CP161" s="18"/>
      <c r="CQ161" s="18"/>
      <c r="CR161" s="18"/>
      <c r="CS161" s="18"/>
      <c r="CT161" s="18"/>
      <c r="CU161" s="18"/>
      <c r="CV161" s="18"/>
      <c r="CW161" s="18"/>
      <c r="CX161" s="18"/>
      <c r="CY161" s="37"/>
      <c r="CZ161" s="38"/>
      <c r="DA161" s="18"/>
      <c r="DB161" s="37">
        <v>44081</v>
      </c>
      <c r="DC161" s="38">
        <v>18.275300000000001</v>
      </c>
      <c r="DD161" s="18"/>
      <c r="DE161" s="37">
        <v>44081</v>
      </c>
      <c r="DF161" s="38">
        <v>16.740500000000001</v>
      </c>
      <c r="DG161" s="18"/>
      <c r="DH161" s="37">
        <v>44081</v>
      </c>
      <c r="DI161" s="38">
        <v>22.046500000000002</v>
      </c>
      <c r="DJ161" s="18"/>
      <c r="DK161" s="37">
        <v>44081</v>
      </c>
      <c r="DL161" s="38">
        <v>0.1575</v>
      </c>
      <c r="DM161" s="18"/>
      <c r="DN161" s="18"/>
      <c r="DO161" s="18"/>
      <c r="DP161" s="18"/>
      <c r="DQ161" s="18"/>
      <c r="DR161" s="18"/>
      <c r="DS161" s="18"/>
      <c r="DT161" s="18"/>
      <c r="DU161" s="18"/>
      <c r="DV161" s="18"/>
      <c r="DW161" s="18"/>
      <c r="DX161" s="18"/>
      <c r="DY161" s="18"/>
      <c r="DZ161" s="18"/>
    </row>
    <row r="162" spans="1:130" ht="15" customHeight="1" x14ac:dyDescent="0.3">
      <c r="A162" s="30" t="s">
        <v>344</v>
      </c>
      <c r="B162" s="123" t="s">
        <v>345</v>
      </c>
      <c r="C162" s="48">
        <v>2022</v>
      </c>
      <c r="D162" s="48">
        <v>2021</v>
      </c>
      <c r="E162" s="48">
        <v>2020</v>
      </c>
      <c r="F162" s="48">
        <v>2019</v>
      </c>
      <c r="G162" s="48">
        <v>2018</v>
      </c>
      <c r="H162" s="48">
        <v>2017</v>
      </c>
      <c r="I162" s="48">
        <v>2016</v>
      </c>
      <c r="J162" s="48">
        <v>2015</v>
      </c>
      <c r="K162" s="48">
        <v>2014</v>
      </c>
      <c r="L162" s="48">
        <v>2013</v>
      </c>
      <c r="M162" s="49">
        <v>2012</v>
      </c>
      <c r="N162" s="17"/>
      <c r="O162" s="17"/>
      <c r="P162" s="17"/>
      <c r="Q162" s="17"/>
      <c r="R162" s="17"/>
      <c r="S162" s="17"/>
      <c r="T162" s="17"/>
      <c r="U162" s="18"/>
      <c r="V162" s="18"/>
      <c r="W162" s="18"/>
      <c r="X162" s="18"/>
      <c r="Y162" s="18"/>
      <c r="Z162" s="18"/>
      <c r="AA162" s="18"/>
      <c r="AB162" s="18"/>
      <c r="AC162" s="18"/>
      <c r="AD162" s="18"/>
      <c r="AE162" s="18" t="s">
        <v>345</v>
      </c>
      <c r="AF162" s="76">
        <v>2022</v>
      </c>
      <c r="AG162" s="76">
        <v>2021</v>
      </c>
      <c r="AH162" s="76">
        <v>2020</v>
      </c>
      <c r="AI162" s="76">
        <v>2019</v>
      </c>
      <c r="AJ162" s="76">
        <v>2018</v>
      </c>
      <c r="AK162" s="76">
        <v>2017</v>
      </c>
      <c r="AL162" s="76">
        <v>2016</v>
      </c>
      <c r="AM162" s="76">
        <v>2015</v>
      </c>
      <c r="AN162" s="18"/>
      <c r="AO162" s="18"/>
      <c r="AP162" s="124"/>
      <c r="AQ162" s="76" t="s">
        <v>1924</v>
      </c>
      <c r="AR162" s="76" t="s">
        <v>1921</v>
      </c>
      <c r="AS162" s="76" t="s">
        <v>1821</v>
      </c>
      <c r="AT162" s="76" t="s">
        <v>1812</v>
      </c>
      <c r="AU162" s="76" t="s">
        <v>1813</v>
      </c>
      <c r="AV162" s="76" t="s">
        <v>1814</v>
      </c>
      <c r="AW162" s="76" t="s">
        <v>1815</v>
      </c>
      <c r="AX162" s="76" t="s">
        <v>1816</v>
      </c>
      <c r="AY162" s="76" t="s">
        <v>1817</v>
      </c>
      <c r="AZ162" s="76" t="s">
        <v>1818</v>
      </c>
      <c r="BA162" s="83" t="s">
        <v>1819</v>
      </c>
      <c r="BB162" s="18"/>
      <c r="BC162" s="18"/>
      <c r="BD162" s="18"/>
      <c r="BE162" s="18"/>
      <c r="BF162" s="18"/>
      <c r="BG162" s="18"/>
      <c r="BH162" s="18"/>
      <c r="BI162" s="18"/>
      <c r="BJ162" s="18"/>
      <c r="BK162" s="18"/>
      <c r="BL162" s="18"/>
      <c r="BM162" s="18"/>
      <c r="BN162" s="18"/>
      <c r="BO162" s="18"/>
      <c r="BP162" s="18"/>
      <c r="BQ162" s="37">
        <v>44834</v>
      </c>
      <c r="BR162" s="38">
        <v>19744.310000000001</v>
      </c>
      <c r="BS162" s="17"/>
      <c r="BT162" s="37">
        <v>44834</v>
      </c>
      <c r="BU162" s="38">
        <v>1372</v>
      </c>
      <c r="BV162" s="18"/>
      <c r="BW162" s="37"/>
      <c r="BX162" s="38"/>
      <c r="BY162" s="18"/>
      <c r="BZ162" s="39">
        <v>44834</v>
      </c>
      <c r="CA162" s="40">
        <v>19744.310000000001</v>
      </c>
      <c r="CB162" s="17"/>
      <c r="CC162" s="39">
        <v>44834</v>
      </c>
      <c r="CD162" s="40">
        <v>13.72</v>
      </c>
      <c r="CE162" s="18"/>
      <c r="CF162" s="18"/>
      <c r="CG162" s="18"/>
      <c r="CH162" s="18"/>
      <c r="CI162" s="18"/>
      <c r="CJ162" s="18"/>
      <c r="CK162" s="18"/>
      <c r="CL162" s="18"/>
      <c r="CM162" s="18"/>
      <c r="CN162" s="18"/>
      <c r="CO162" s="18"/>
      <c r="CP162" s="18"/>
      <c r="CQ162" s="18"/>
      <c r="CR162" s="18"/>
      <c r="CS162" s="18"/>
      <c r="CT162" s="18"/>
      <c r="CU162" s="18"/>
      <c r="CV162" s="18"/>
      <c r="CW162" s="18"/>
      <c r="CX162" s="18"/>
      <c r="CY162" s="37"/>
      <c r="CZ162" s="38"/>
      <c r="DA162" s="18"/>
      <c r="DB162" s="37">
        <v>44082</v>
      </c>
      <c r="DC162" s="38">
        <v>18.4605</v>
      </c>
      <c r="DD162" s="18"/>
      <c r="DE162" s="37">
        <v>44082</v>
      </c>
      <c r="DF162" s="38">
        <v>16.942499999999999</v>
      </c>
      <c r="DG162" s="18"/>
      <c r="DH162" s="37">
        <v>44082</v>
      </c>
      <c r="DI162" s="38">
        <v>21.994599999999998</v>
      </c>
      <c r="DJ162" s="18"/>
      <c r="DK162" s="37">
        <v>44082</v>
      </c>
      <c r="DL162" s="38">
        <v>0.1598</v>
      </c>
      <c r="DM162" s="18"/>
      <c r="DN162" s="18"/>
      <c r="DO162" s="18"/>
      <c r="DP162" s="18"/>
      <c r="DQ162" s="18"/>
      <c r="DR162" s="18"/>
      <c r="DS162" s="18"/>
      <c r="DT162" s="18"/>
      <c r="DU162" s="18"/>
      <c r="DV162" s="18"/>
      <c r="DW162" s="18"/>
      <c r="DX162" s="18"/>
      <c r="DY162" s="18"/>
      <c r="DZ162" s="18"/>
    </row>
    <row r="163" spans="1:130" ht="15" customHeight="1" x14ac:dyDescent="0.3">
      <c r="A163" s="30" t="s">
        <v>409</v>
      </c>
      <c r="B163" s="73" t="s">
        <v>244</v>
      </c>
      <c r="C163" s="74">
        <v>1013</v>
      </c>
      <c r="D163" s="74">
        <v>769</v>
      </c>
      <c r="E163" s="74">
        <v>446</v>
      </c>
      <c r="F163" s="74">
        <v>2447</v>
      </c>
      <c r="G163" s="74">
        <v>4940</v>
      </c>
      <c r="H163" s="74">
        <v>-493</v>
      </c>
      <c r="I163" s="74">
        <v>1719</v>
      </c>
      <c r="J163" s="74">
        <v>2461</v>
      </c>
      <c r="K163" s="74">
        <v>2153</v>
      </c>
      <c r="L163" s="74">
        <v>5091</v>
      </c>
      <c r="M163" s="75">
        <v>-4189</v>
      </c>
      <c r="N163" s="17"/>
      <c r="O163" s="17"/>
      <c r="P163" s="17"/>
      <c r="Q163" s="17"/>
      <c r="R163" s="17"/>
      <c r="S163" s="17"/>
      <c r="T163" s="17"/>
      <c r="U163" s="18"/>
      <c r="V163" s="18"/>
      <c r="W163" s="18"/>
      <c r="X163" s="18"/>
      <c r="Y163" s="18"/>
      <c r="Z163" s="18"/>
      <c r="AA163" s="18"/>
      <c r="AB163" s="18"/>
      <c r="AC163" s="18"/>
      <c r="AD163" s="18"/>
      <c r="AE163" s="18" t="s">
        <v>244</v>
      </c>
      <c r="AF163" s="85">
        <v>0</v>
      </c>
      <c r="AG163" s="85">
        <v>0</v>
      </c>
      <c r="AH163" s="85">
        <v>0</v>
      </c>
      <c r="AI163" s="85">
        <v>0</v>
      </c>
      <c r="AJ163" s="85">
        <v>0</v>
      </c>
      <c r="AK163" s="85">
        <v>0</v>
      </c>
      <c r="AL163" s="85">
        <v>0</v>
      </c>
      <c r="AM163" s="85">
        <v>0</v>
      </c>
      <c r="AN163" s="18"/>
      <c r="AO163" s="18"/>
      <c r="AP163" s="77" t="s">
        <v>244</v>
      </c>
      <c r="AQ163" s="18">
        <v>1013</v>
      </c>
      <c r="AR163" s="18">
        <v>769</v>
      </c>
      <c r="AS163" s="18">
        <v>446</v>
      </c>
      <c r="AT163" s="18">
        <v>2447</v>
      </c>
      <c r="AU163" s="18">
        <v>4940</v>
      </c>
      <c r="AV163" s="18">
        <v>-493</v>
      </c>
      <c r="AW163" s="18">
        <v>1719</v>
      </c>
      <c r="AX163" s="18">
        <v>2461</v>
      </c>
      <c r="AY163" s="18">
        <v>2153</v>
      </c>
      <c r="AZ163" s="18">
        <v>5091</v>
      </c>
      <c r="BA163" s="78">
        <v>-4189</v>
      </c>
      <c r="BB163" s="18"/>
      <c r="BC163" s="18"/>
      <c r="BD163" s="18"/>
      <c r="BE163" s="18"/>
      <c r="BF163" s="18"/>
      <c r="BG163" s="18"/>
      <c r="BH163" s="18"/>
      <c r="BI163" s="18"/>
      <c r="BJ163" s="18"/>
      <c r="BK163" s="18"/>
      <c r="BL163" s="18"/>
      <c r="BM163" s="18"/>
      <c r="BN163" s="18"/>
      <c r="BO163" s="18"/>
      <c r="BP163" s="18"/>
      <c r="BQ163" s="37">
        <v>44865</v>
      </c>
      <c r="BR163" s="38">
        <v>22421.02</v>
      </c>
      <c r="BS163" s="17"/>
      <c r="BT163" s="37">
        <v>44865</v>
      </c>
      <c r="BU163" s="38">
        <v>1558</v>
      </c>
      <c r="BV163" s="18"/>
      <c r="BW163" s="37"/>
      <c r="BX163" s="38"/>
      <c r="BY163" s="18"/>
      <c r="BZ163" s="39">
        <v>44865</v>
      </c>
      <c r="CA163" s="40">
        <v>22421.02</v>
      </c>
      <c r="CB163" s="17"/>
      <c r="CC163" s="39">
        <v>44865</v>
      </c>
      <c r="CD163" s="40">
        <v>15.58</v>
      </c>
      <c r="CE163" s="18"/>
      <c r="CF163" s="18"/>
      <c r="CG163" s="18"/>
      <c r="CH163" s="18"/>
      <c r="CI163" s="18"/>
      <c r="CJ163" s="18"/>
      <c r="CK163" s="18"/>
      <c r="CL163" s="18"/>
      <c r="CM163" s="18"/>
      <c r="CN163" s="18"/>
      <c r="CO163" s="18"/>
      <c r="CP163" s="18"/>
      <c r="CQ163" s="18"/>
      <c r="CR163" s="18"/>
      <c r="CS163" s="18"/>
      <c r="CT163" s="18"/>
      <c r="CU163" s="18"/>
      <c r="CV163" s="18"/>
      <c r="CW163" s="18"/>
      <c r="CX163" s="18"/>
      <c r="CY163" s="37"/>
      <c r="CZ163" s="38"/>
      <c r="DA163" s="18"/>
      <c r="DB163" s="37">
        <v>44083</v>
      </c>
      <c r="DC163" s="38">
        <v>18.202200000000001</v>
      </c>
      <c r="DD163" s="18"/>
      <c r="DE163" s="37">
        <v>44083</v>
      </c>
      <c r="DF163" s="38">
        <v>16.6096</v>
      </c>
      <c r="DG163" s="18"/>
      <c r="DH163" s="37">
        <v>44083</v>
      </c>
      <c r="DI163" s="38">
        <v>21.593800000000002</v>
      </c>
      <c r="DJ163" s="18"/>
      <c r="DK163" s="37">
        <v>44083</v>
      </c>
      <c r="DL163" s="38">
        <v>0.15640000000000001</v>
      </c>
      <c r="DM163" s="18"/>
      <c r="DN163" s="18"/>
      <c r="DO163" s="18"/>
      <c r="DP163" s="18"/>
      <c r="DQ163" s="18"/>
      <c r="DR163" s="18"/>
      <c r="DS163" s="18"/>
      <c r="DT163" s="18"/>
      <c r="DU163" s="18"/>
      <c r="DV163" s="18"/>
      <c r="DW163" s="18"/>
      <c r="DX163" s="18"/>
      <c r="DY163" s="18"/>
      <c r="DZ163" s="18"/>
    </row>
    <row r="164" spans="1:130" ht="15" customHeight="1" x14ac:dyDescent="0.3">
      <c r="A164" s="30" t="s">
        <v>146</v>
      </c>
      <c r="B164" s="73" t="s">
        <v>12</v>
      </c>
      <c r="C164" s="74">
        <v>1203</v>
      </c>
      <c r="D164" s="74">
        <v>1168</v>
      </c>
      <c r="E164" s="74">
        <v>1165</v>
      </c>
      <c r="F164" s="74">
        <v>748</v>
      </c>
      <c r="G164" s="74">
        <v>962</v>
      </c>
      <c r="H164" s="74">
        <v>1299</v>
      </c>
      <c r="I164" s="74">
        <v>1391</v>
      </c>
      <c r="J164" s="74">
        <v>1253</v>
      </c>
      <c r="K164" s="74">
        <v>1151</v>
      </c>
      <c r="L164" s="74">
        <v>1089</v>
      </c>
      <c r="M164" s="75">
        <v>1346</v>
      </c>
      <c r="N164" s="17"/>
      <c r="O164" s="17"/>
      <c r="P164" s="17"/>
      <c r="Q164" s="17"/>
      <c r="R164" s="17"/>
      <c r="S164" s="17"/>
      <c r="T164" s="17"/>
      <c r="U164" s="18"/>
      <c r="V164" s="18"/>
      <c r="W164" s="18"/>
      <c r="X164" s="18"/>
      <c r="Y164" s="18"/>
      <c r="Z164" s="18"/>
      <c r="AA164" s="18"/>
      <c r="AB164" s="18"/>
      <c r="AC164" s="18"/>
      <c r="AD164" s="18"/>
      <c r="AE164" s="18" t="s">
        <v>12</v>
      </c>
      <c r="AF164" s="85">
        <v>0</v>
      </c>
      <c r="AG164" s="85">
        <v>0</v>
      </c>
      <c r="AH164" s="85">
        <v>0</v>
      </c>
      <c r="AI164" s="85">
        <v>0</v>
      </c>
      <c r="AJ164" s="85">
        <v>0</v>
      </c>
      <c r="AK164" s="85">
        <v>0</v>
      </c>
      <c r="AL164" s="85">
        <v>0</v>
      </c>
      <c r="AM164" s="85">
        <v>0</v>
      </c>
      <c r="AN164" s="18"/>
      <c r="AO164" s="18"/>
      <c r="AP164" s="77" t="s">
        <v>452</v>
      </c>
      <c r="AQ164" s="18">
        <v>1203</v>
      </c>
      <c r="AR164" s="18">
        <v>1168</v>
      </c>
      <c r="AS164" s="18">
        <v>1165</v>
      </c>
      <c r="AT164" s="18">
        <v>748</v>
      </c>
      <c r="AU164" s="18">
        <v>962</v>
      </c>
      <c r="AV164" s="18">
        <v>1299</v>
      </c>
      <c r="AW164" s="18">
        <v>1391</v>
      </c>
      <c r="AX164" s="18">
        <v>1253</v>
      </c>
      <c r="AY164" s="18">
        <v>1151</v>
      </c>
      <c r="AZ164" s="18">
        <v>1089</v>
      </c>
      <c r="BA164" s="78">
        <v>1346</v>
      </c>
      <c r="BB164" s="18"/>
      <c r="BC164" s="18"/>
      <c r="BD164" s="18"/>
      <c r="BE164" s="18"/>
      <c r="BF164" s="18"/>
      <c r="BG164" s="18"/>
      <c r="BH164" s="18"/>
      <c r="BI164" s="18"/>
      <c r="BJ164" s="18"/>
      <c r="BK164" s="18"/>
      <c r="BL164" s="18"/>
      <c r="BM164" s="18"/>
      <c r="BN164" s="18"/>
      <c r="BO164" s="18"/>
      <c r="BP164" s="18"/>
      <c r="BQ164" s="37">
        <v>44895</v>
      </c>
      <c r="BR164" s="38">
        <v>21154.62</v>
      </c>
      <c r="BS164" s="17"/>
      <c r="BT164" s="37">
        <v>44895</v>
      </c>
      <c r="BU164" s="38">
        <v>1470</v>
      </c>
      <c r="BV164" s="18"/>
      <c r="BW164" s="37"/>
      <c r="BX164" s="38"/>
      <c r="BY164" s="18"/>
      <c r="BZ164" s="39">
        <v>44895</v>
      </c>
      <c r="CA164" s="40">
        <v>21154.62</v>
      </c>
      <c r="CB164" s="17"/>
      <c r="CC164" s="39">
        <v>44895</v>
      </c>
      <c r="CD164" s="40">
        <v>14.700000000000001</v>
      </c>
      <c r="CE164" s="18"/>
      <c r="CF164" s="18"/>
      <c r="CG164" s="18"/>
      <c r="CH164" s="18"/>
      <c r="CI164" s="18"/>
      <c r="CJ164" s="18"/>
      <c r="CK164" s="18"/>
      <c r="CL164" s="18"/>
      <c r="CM164" s="18"/>
      <c r="CN164" s="18"/>
      <c r="CO164" s="18"/>
      <c r="CP164" s="18"/>
      <c r="CQ164" s="18"/>
      <c r="CR164" s="18"/>
      <c r="CS164" s="18"/>
      <c r="CT164" s="18"/>
      <c r="CU164" s="18"/>
      <c r="CV164" s="18"/>
      <c r="CW164" s="18"/>
      <c r="CX164" s="18"/>
      <c r="CY164" s="37"/>
      <c r="CZ164" s="38"/>
      <c r="DA164" s="18"/>
      <c r="DB164" s="37">
        <v>44084</v>
      </c>
      <c r="DC164" s="38">
        <v>18.564</v>
      </c>
      <c r="DD164" s="18"/>
      <c r="DE164" s="37">
        <v>44084</v>
      </c>
      <c r="DF164" s="38">
        <v>16.907800000000002</v>
      </c>
      <c r="DG164" s="18"/>
      <c r="DH164" s="37">
        <v>44084</v>
      </c>
      <c r="DI164" s="38">
        <v>21.652699999999999</v>
      </c>
      <c r="DJ164" s="18"/>
      <c r="DK164" s="37">
        <v>44084</v>
      </c>
      <c r="DL164" s="38">
        <v>0.1593</v>
      </c>
      <c r="DM164" s="18"/>
      <c r="DN164" s="18"/>
      <c r="DO164" s="18"/>
      <c r="DP164" s="18"/>
      <c r="DQ164" s="18"/>
      <c r="DR164" s="18"/>
      <c r="DS164" s="18"/>
      <c r="DT164" s="18"/>
      <c r="DU164" s="18"/>
      <c r="DV164" s="18"/>
      <c r="DW164" s="18"/>
      <c r="DX164" s="18"/>
      <c r="DY164" s="18"/>
      <c r="DZ164" s="18"/>
    </row>
    <row r="165" spans="1:130" ht="15" customHeight="1" x14ac:dyDescent="0.3">
      <c r="A165" s="30" t="s">
        <v>391</v>
      </c>
      <c r="B165" s="73" t="s">
        <v>245</v>
      </c>
      <c r="C165" s="74">
        <v>-436</v>
      </c>
      <c r="D165" s="74">
        <v>401</v>
      </c>
      <c r="E165" s="74">
        <v>-27</v>
      </c>
      <c r="F165" s="74">
        <v>-123</v>
      </c>
      <c r="G165" s="74">
        <v>-2779</v>
      </c>
      <c r="H165" s="74">
        <v>2149</v>
      </c>
      <c r="I165" s="74">
        <v>998</v>
      </c>
      <c r="J165" s="74">
        <v>-286</v>
      </c>
      <c r="K165" s="74">
        <v>-48</v>
      </c>
      <c r="L165" s="74">
        <v>-3376</v>
      </c>
      <c r="M165" s="75">
        <v>5454</v>
      </c>
      <c r="N165" s="17"/>
      <c r="O165" s="17"/>
      <c r="P165" s="17"/>
      <c r="Q165" s="17"/>
      <c r="R165" s="17"/>
      <c r="S165" s="17"/>
      <c r="T165" s="17"/>
      <c r="U165" s="18"/>
      <c r="V165" s="18"/>
      <c r="W165" s="18"/>
      <c r="X165" s="18"/>
      <c r="Y165" s="18"/>
      <c r="Z165" s="18"/>
      <c r="AA165" s="18"/>
      <c r="AB165" s="18"/>
      <c r="AC165" s="18"/>
      <c r="AD165" s="18"/>
      <c r="AE165" s="18" t="s">
        <v>245</v>
      </c>
      <c r="AF165" s="85">
        <v>0</v>
      </c>
      <c r="AG165" s="85">
        <v>0</v>
      </c>
      <c r="AH165" s="85">
        <v>0</v>
      </c>
      <c r="AI165" s="85">
        <v>0</v>
      </c>
      <c r="AJ165" s="85">
        <v>0</v>
      </c>
      <c r="AK165" s="85">
        <v>0</v>
      </c>
      <c r="AL165" s="85">
        <v>0</v>
      </c>
      <c r="AM165" s="85">
        <v>0</v>
      </c>
      <c r="AN165" s="18"/>
      <c r="AO165" s="18"/>
      <c r="AP165" s="77" t="s">
        <v>245</v>
      </c>
      <c r="AQ165" s="18">
        <v>-436</v>
      </c>
      <c r="AR165" s="18">
        <v>401</v>
      </c>
      <c r="AS165" s="18">
        <v>-27</v>
      </c>
      <c r="AT165" s="18">
        <v>-123</v>
      </c>
      <c r="AU165" s="18">
        <v>-2779</v>
      </c>
      <c r="AV165" s="18">
        <v>2149</v>
      </c>
      <c r="AW165" s="18">
        <v>998</v>
      </c>
      <c r="AX165" s="18">
        <v>-286</v>
      </c>
      <c r="AY165" s="18">
        <v>-48</v>
      </c>
      <c r="AZ165" s="18">
        <v>-3376</v>
      </c>
      <c r="BA165" s="78">
        <v>5454</v>
      </c>
      <c r="BB165" s="18"/>
      <c r="BC165" s="18"/>
      <c r="BD165" s="18"/>
      <c r="BE165" s="18"/>
      <c r="BF165" s="18"/>
      <c r="BG165" s="18"/>
      <c r="BH165" s="18"/>
      <c r="BI165" s="18"/>
      <c r="BJ165" s="18"/>
      <c r="BK165" s="18"/>
      <c r="BL165" s="18"/>
      <c r="BM165" s="18"/>
      <c r="BN165" s="18"/>
      <c r="BO165" s="18"/>
      <c r="BP165" s="18"/>
      <c r="BQ165" s="37">
        <v>44925</v>
      </c>
      <c r="BR165" s="38">
        <v>20866.810000000001</v>
      </c>
      <c r="BS165" s="17"/>
      <c r="BT165" s="37">
        <v>44925</v>
      </c>
      <c r="BU165" s="38">
        <v>1450</v>
      </c>
      <c r="BV165" s="18"/>
      <c r="BW165" s="37"/>
      <c r="BX165" s="38"/>
      <c r="BY165" s="18"/>
      <c r="BZ165" s="39">
        <v>44925</v>
      </c>
      <c r="CA165" s="40">
        <v>20866.810000000001</v>
      </c>
      <c r="CB165" s="17"/>
      <c r="CC165" s="39">
        <v>44925</v>
      </c>
      <c r="CD165" s="40">
        <v>14.5</v>
      </c>
      <c r="CE165" s="18"/>
      <c r="CF165" s="18"/>
      <c r="CG165" s="18"/>
      <c r="CH165" s="18"/>
      <c r="CI165" s="18"/>
      <c r="CJ165" s="18"/>
      <c r="CK165" s="18"/>
      <c r="CL165" s="18"/>
      <c r="CM165" s="18"/>
      <c r="CN165" s="18"/>
      <c r="CO165" s="18"/>
      <c r="CP165" s="18"/>
      <c r="CQ165" s="18"/>
      <c r="CR165" s="18"/>
      <c r="CS165" s="18"/>
      <c r="CT165" s="18"/>
      <c r="CU165" s="18"/>
      <c r="CV165" s="18"/>
      <c r="CW165" s="18"/>
      <c r="CX165" s="18"/>
      <c r="CY165" s="37"/>
      <c r="CZ165" s="38"/>
      <c r="DA165" s="18"/>
      <c r="DB165" s="37">
        <v>44085</v>
      </c>
      <c r="DC165" s="38">
        <v>18.418500000000002</v>
      </c>
      <c r="DD165" s="18"/>
      <c r="DE165" s="37">
        <v>44085</v>
      </c>
      <c r="DF165" s="38">
        <v>16.735700000000001</v>
      </c>
      <c r="DG165" s="18"/>
      <c r="DH165" s="37">
        <v>44085</v>
      </c>
      <c r="DI165" s="38">
        <v>21.430800000000001</v>
      </c>
      <c r="DJ165" s="18"/>
      <c r="DK165" s="37">
        <v>44085</v>
      </c>
      <c r="DL165" s="38">
        <v>0.1578</v>
      </c>
      <c r="DM165" s="18"/>
      <c r="DN165" s="18"/>
      <c r="DO165" s="18"/>
      <c r="DP165" s="18"/>
      <c r="DQ165" s="18"/>
      <c r="DR165" s="18"/>
      <c r="DS165" s="18"/>
      <c r="DT165" s="18"/>
      <c r="DU165" s="18"/>
      <c r="DV165" s="18"/>
      <c r="DW165" s="18"/>
      <c r="DX165" s="18"/>
      <c r="DY165" s="18"/>
      <c r="DZ165" s="18"/>
    </row>
    <row r="166" spans="1:130" ht="15" customHeight="1" x14ac:dyDescent="0.3">
      <c r="A166" s="30" t="s">
        <v>392</v>
      </c>
      <c r="B166" s="73" t="s">
        <v>246</v>
      </c>
      <c r="C166" s="74">
        <v>238</v>
      </c>
      <c r="D166" s="74">
        <v>234</v>
      </c>
      <c r="E166" s="74">
        <v>-1395</v>
      </c>
      <c r="F166" s="74">
        <v>427</v>
      </c>
      <c r="G166" s="74">
        <v>-343</v>
      </c>
      <c r="H166" s="74">
        <v>-126</v>
      </c>
      <c r="I166" s="74">
        <v>-259</v>
      </c>
      <c r="J166" s="74">
        <v>-12</v>
      </c>
      <c r="K166" s="74">
        <v>-127</v>
      </c>
      <c r="L166" s="74">
        <v>-283</v>
      </c>
      <c r="M166" s="75">
        <v>28</v>
      </c>
      <c r="N166" s="17"/>
      <c r="O166" s="17"/>
      <c r="P166" s="17"/>
      <c r="Q166" s="17"/>
      <c r="R166" s="17"/>
      <c r="S166" s="17"/>
      <c r="T166" s="17"/>
      <c r="U166" s="18"/>
      <c r="V166" s="18"/>
      <c r="W166" s="18"/>
      <c r="X166" s="18"/>
      <c r="Y166" s="18"/>
      <c r="Z166" s="18"/>
      <c r="AA166" s="18"/>
      <c r="AB166" s="18"/>
      <c r="AC166" s="18"/>
      <c r="AD166" s="18"/>
      <c r="AE166" s="18" t="s">
        <v>246</v>
      </c>
      <c r="AF166" s="85">
        <v>0</v>
      </c>
      <c r="AG166" s="85">
        <v>0</v>
      </c>
      <c r="AH166" s="85">
        <v>0</v>
      </c>
      <c r="AI166" s="85">
        <v>0</v>
      </c>
      <c r="AJ166" s="85">
        <v>0</v>
      </c>
      <c r="AK166" s="85">
        <v>0</v>
      </c>
      <c r="AL166" s="85">
        <v>0</v>
      </c>
      <c r="AM166" s="85">
        <v>0</v>
      </c>
      <c r="AN166" s="18"/>
      <c r="AO166" s="18"/>
      <c r="AP166" s="120" t="s">
        <v>246</v>
      </c>
      <c r="AQ166" s="86">
        <v>238</v>
      </c>
      <c r="AR166" s="86">
        <v>234</v>
      </c>
      <c r="AS166" s="86">
        <v>-1395</v>
      </c>
      <c r="AT166" s="86">
        <v>427</v>
      </c>
      <c r="AU166" s="86">
        <v>-343</v>
      </c>
      <c r="AV166" s="86">
        <v>-126</v>
      </c>
      <c r="AW166" s="86">
        <v>-259</v>
      </c>
      <c r="AX166" s="86">
        <v>-12</v>
      </c>
      <c r="AY166" s="86">
        <v>-127</v>
      </c>
      <c r="AZ166" s="86">
        <v>-283</v>
      </c>
      <c r="BA166" s="87">
        <v>28</v>
      </c>
      <c r="BB166" s="18"/>
      <c r="BC166" s="18"/>
      <c r="BD166" s="18"/>
      <c r="BE166" s="18"/>
      <c r="BF166" s="18"/>
      <c r="BG166" s="18"/>
      <c r="BH166" s="18"/>
      <c r="BI166" s="18"/>
      <c r="BJ166" s="18"/>
      <c r="BK166" s="18"/>
      <c r="BL166" s="18"/>
      <c r="BM166" s="18"/>
      <c r="BN166" s="18"/>
      <c r="BO166" s="18"/>
      <c r="BP166" s="18"/>
      <c r="BQ166" s="37">
        <v>44957</v>
      </c>
      <c r="BR166" s="38">
        <v>20564.599999999999</v>
      </c>
      <c r="BS166" s="17"/>
      <c r="BT166" s="37">
        <v>44957</v>
      </c>
      <c r="BU166" s="38">
        <v>1429</v>
      </c>
      <c r="BV166" s="18"/>
      <c r="BW166" s="37"/>
      <c r="BX166" s="38"/>
      <c r="BY166" s="18"/>
      <c r="BZ166" s="39">
        <v>44957</v>
      </c>
      <c r="CA166" s="40">
        <v>20564.599999999999</v>
      </c>
      <c r="CB166" s="17"/>
      <c r="CC166" s="39">
        <v>44957</v>
      </c>
      <c r="CD166" s="40">
        <v>14.290000000000001</v>
      </c>
      <c r="CE166" s="18"/>
      <c r="CF166" s="18"/>
      <c r="CG166" s="18"/>
      <c r="CH166" s="18"/>
      <c r="CI166" s="18"/>
      <c r="CJ166" s="18"/>
      <c r="CK166" s="18"/>
      <c r="CL166" s="18"/>
      <c r="CM166" s="18"/>
      <c r="CN166" s="18"/>
      <c r="CO166" s="18"/>
      <c r="CP166" s="18"/>
      <c r="CQ166" s="18"/>
      <c r="CR166" s="18"/>
      <c r="CS166" s="18"/>
      <c r="CT166" s="18"/>
      <c r="CU166" s="18"/>
      <c r="CV166" s="18"/>
      <c r="CW166" s="18"/>
      <c r="CX166" s="18"/>
      <c r="CY166" s="37"/>
      <c r="CZ166" s="38"/>
      <c r="DA166" s="18"/>
      <c r="DB166" s="37">
        <v>44088</v>
      </c>
      <c r="DC166" s="38">
        <v>18.347000000000001</v>
      </c>
      <c r="DD166" s="18"/>
      <c r="DE166" s="37">
        <v>44088</v>
      </c>
      <c r="DF166" s="38">
        <v>16.6662</v>
      </c>
      <c r="DG166" s="18"/>
      <c r="DH166" s="37">
        <v>44088</v>
      </c>
      <c r="DI166" s="38">
        <v>21.4087</v>
      </c>
      <c r="DJ166" s="18"/>
      <c r="DK166" s="37">
        <v>44088</v>
      </c>
      <c r="DL166" s="38">
        <v>0.15759999999999999</v>
      </c>
      <c r="DM166" s="18"/>
      <c r="DN166" s="18"/>
      <c r="DO166" s="18"/>
      <c r="DP166" s="18"/>
      <c r="DQ166" s="18"/>
      <c r="DR166" s="18"/>
      <c r="DS166" s="18"/>
      <c r="DT166" s="18"/>
      <c r="DU166" s="18"/>
      <c r="DV166" s="18"/>
      <c r="DW166" s="18"/>
      <c r="DX166" s="18"/>
      <c r="DY166" s="18"/>
      <c r="DZ166" s="18"/>
    </row>
    <row r="167" spans="1:130" ht="15" customHeight="1" x14ac:dyDescent="0.3">
      <c r="A167" s="30" t="s">
        <v>177</v>
      </c>
      <c r="B167" s="90" t="s">
        <v>453</v>
      </c>
      <c r="C167" s="91">
        <v>2018</v>
      </c>
      <c r="D167" s="91">
        <v>2572</v>
      </c>
      <c r="E167" s="91">
        <v>189</v>
      </c>
      <c r="F167" s="91">
        <v>3499</v>
      </c>
      <c r="G167" s="91">
        <v>2780</v>
      </c>
      <c r="H167" s="91">
        <v>2829</v>
      </c>
      <c r="I167" s="91">
        <v>3849</v>
      </c>
      <c r="J167" s="91">
        <v>3416</v>
      </c>
      <c r="K167" s="91">
        <v>3129</v>
      </c>
      <c r="L167" s="91">
        <v>2521</v>
      </c>
      <c r="M167" s="92">
        <v>2639</v>
      </c>
      <c r="N167" s="17"/>
      <c r="O167" s="17"/>
      <c r="P167" s="17"/>
      <c r="Q167" s="17"/>
      <c r="R167" s="17"/>
      <c r="S167" s="17"/>
      <c r="T167" s="17"/>
      <c r="U167" s="18"/>
      <c r="V167" s="18"/>
      <c r="W167" s="18"/>
      <c r="X167" s="18"/>
      <c r="Y167" s="18"/>
      <c r="Z167" s="18"/>
      <c r="AA167" s="18"/>
      <c r="AB167" s="18"/>
      <c r="AC167" s="18"/>
      <c r="AD167" s="18"/>
      <c r="AE167" s="18" t="s">
        <v>453</v>
      </c>
      <c r="AF167" s="85">
        <v>0</v>
      </c>
      <c r="AG167" s="85">
        <v>0</v>
      </c>
      <c r="AH167" s="85">
        <v>0</v>
      </c>
      <c r="AI167" s="85">
        <v>0</v>
      </c>
      <c r="AJ167" s="85">
        <v>0</v>
      </c>
      <c r="AK167" s="85">
        <v>0</v>
      </c>
      <c r="AL167" s="85">
        <v>0</v>
      </c>
      <c r="AM167" s="85">
        <v>0</v>
      </c>
      <c r="AN167" s="18"/>
      <c r="AO167" s="18"/>
      <c r="AP167" s="102" t="s">
        <v>453</v>
      </c>
      <c r="AQ167" s="86">
        <v>2018</v>
      </c>
      <c r="AR167" s="86">
        <v>2572</v>
      </c>
      <c r="AS167" s="86">
        <v>189</v>
      </c>
      <c r="AT167" s="86">
        <v>3499</v>
      </c>
      <c r="AU167" s="86">
        <v>2780</v>
      </c>
      <c r="AV167" s="86">
        <v>2829</v>
      </c>
      <c r="AW167" s="86">
        <v>3849</v>
      </c>
      <c r="AX167" s="86">
        <v>3416</v>
      </c>
      <c r="AY167" s="86">
        <v>3129</v>
      </c>
      <c r="AZ167" s="86">
        <v>2521</v>
      </c>
      <c r="BA167" s="87">
        <v>2639</v>
      </c>
      <c r="BB167" s="18"/>
      <c r="BC167" s="18"/>
      <c r="BD167" s="18"/>
      <c r="BE167" s="18"/>
      <c r="BF167" s="18"/>
      <c r="BG167" s="18"/>
      <c r="BH167" s="18"/>
      <c r="BI167" s="18"/>
      <c r="BJ167" s="18"/>
      <c r="BK167" s="18"/>
      <c r="BL167" s="18"/>
      <c r="BM167" s="18"/>
      <c r="BN167" s="18"/>
      <c r="BO167" s="18"/>
      <c r="BP167" s="18"/>
      <c r="BQ167" s="37"/>
      <c r="BR167" s="38"/>
      <c r="BS167" s="17"/>
      <c r="BT167" s="37"/>
      <c r="BU167" s="38"/>
      <c r="BV167" s="18"/>
      <c r="BW167" s="37"/>
      <c r="BX167" s="38"/>
      <c r="BY167" s="18"/>
      <c r="BZ167" s="39" t="s">
        <v>829</v>
      </c>
      <c r="CA167" s="40" t="s">
        <v>829</v>
      </c>
      <c r="CB167" s="17"/>
      <c r="CC167" s="39" t="s">
        <v>829</v>
      </c>
      <c r="CD167" s="40" t="s">
        <v>829</v>
      </c>
      <c r="CE167" s="18"/>
      <c r="CF167" s="18"/>
      <c r="CG167" s="18"/>
      <c r="CH167" s="18"/>
      <c r="CI167" s="18"/>
      <c r="CJ167" s="18"/>
      <c r="CK167" s="18"/>
      <c r="CL167" s="18"/>
      <c r="CM167" s="18"/>
      <c r="CN167" s="18"/>
      <c r="CO167" s="18"/>
      <c r="CP167" s="18"/>
      <c r="CQ167" s="18"/>
      <c r="CR167" s="18"/>
      <c r="CS167" s="18"/>
      <c r="CT167" s="18"/>
      <c r="CU167" s="18"/>
      <c r="CV167" s="18"/>
      <c r="CW167" s="18"/>
      <c r="CX167" s="18"/>
      <c r="CY167" s="37"/>
      <c r="CZ167" s="38"/>
      <c r="DA167" s="18"/>
      <c r="DB167" s="37">
        <v>44089</v>
      </c>
      <c r="DC167" s="38">
        <v>18.118300000000001</v>
      </c>
      <c r="DD167" s="18"/>
      <c r="DE167" s="37">
        <v>44089</v>
      </c>
      <c r="DF167" s="38">
        <v>16.4557</v>
      </c>
      <c r="DG167" s="18"/>
      <c r="DH167" s="37">
        <v>44089</v>
      </c>
      <c r="DI167" s="38">
        <v>21.210699999999999</v>
      </c>
      <c r="DJ167" s="18"/>
      <c r="DK167" s="37">
        <v>44089</v>
      </c>
      <c r="DL167" s="38">
        <v>0.15609999999999999</v>
      </c>
      <c r="DM167" s="18"/>
      <c r="DN167" s="18"/>
      <c r="DO167" s="18"/>
      <c r="DP167" s="18"/>
      <c r="DQ167" s="18"/>
      <c r="DR167" s="18"/>
      <c r="DS167" s="18"/>
      <c r="DT167" s="18"/>
      <c r="DU167" s="18"/>
      <c r="DV167" s="18"/>
      <c r="DW167" s="18"/>
      <c r="DX167" s="18"/>
      <c r="DY167" s="18"/>
      <c r="DZ167" s="18"/>
    </row>
    <row r="168" spans="1:130" ht="15" customHeight="1" x14ac:dyDescent="0.3">
      <c r="A168" s="30" t="s">
        <v>393</v>
      </c>
      <c r="B168" s="90" t="s">
        <v>247</v>
      </c>
      <c r="C168" s="91">
        <v>35</v>
      </c>
      <c r="D168" s="91">
        <v>36</v>
      </c>
      <c r="E168" s="91">
        <v>38</v>
      </c>
      <c r="F168" s="91">
        <v>193</v>
      </c>
      <c r="G168" s="91">
        <v>44</v>
      </c>
      <c r="H168" s="91">
        <v>338</v>
      </c>
      <c r="I168" s="91">
        <v>60</v>
      </c>
      <c r="J168" s="91">
        <v>68</v>
      </c>
      <c r="K168" s="91">
        <v>80</v>
      </c>
      <c r="L168" s="91">
        <v>15</v>
      </c>
      <c r="M168" s="92">
        <v>52</v>
      </c>
      <c r="N168" s="17"/>
      <c r="O168" s="17"/>
      <c r="P168" s="17"/>
      <c r="Q168" s="17"/>
      <c r="R168" s="17"/>
      <c r="S168" s="17"/>
      <c r="T168" s="17"/>
      <c r="U168" s="18"/>
      <c r="V168" s="18"/>
      <c r="W168" s="18"/>
      <c r="X168" s="18"/>
      <c r="Y168" s="18"/>
      <c r="Z168" s="18"/>
      <c r="AA168" s="18"/>
      <c r="AB168" s="18"/>
      <c r="AC168" s="18"/>
      <c r="AD168" s="18"/>
      <c r="AE168" s="18" t="s">
        <v>247</v>
      </c>
      <c r="AF168" s="85">
        <v>0</v>
      </c>
      <c r="AG168" s="85">
        <v>0</v>
      </c>
      <c r="AH168" s="85">
        <v>0</v>
      </c>
      <c r="AI168" s="85">
        <v>0</v>
      </c>
      <c r="AJ168" s="85">
        <v>0</v>
      </c>
      <c r="AK168" s="85">
        <v>0</v>
      </c>
      <c r="AL168" s="85">
        <v>0</v>
      </c>
      <c r="AM168" s="85">
        <v>0</v>
      </c>
      <c r="AN168" s="18"/>
      <c r="AO168" s="18"/>
      <c r="AP168" s="77" t="s">
        <v>247</v>
      </c>
      <c r="AQ168" s="18">
        <v>35</v>
      </c>
      <c r="AR168" s="18">
        <v>36</v>
      </c>
      <c r="AS168" s="18">
        <v>38</v>
      </c>
      <c r="AT168" s="18">
        <v>193</v>
      </c>
      <c r="AU168" s="18">
        <v>44</v>
      </c>
      <c r="AV168" s="18">
        <v>338</v>
      </c>
      <c r="AW168" s="18">
        <v>60</v>
      </c>
      <c r="AX168" s="18">
        <v>68</v>
      </c>
      <c r="AY168" s="18">
        <v>80</v>
      </c>
      <c r="AZ168" s="18">
        <v>15</v>
      </c>
      <c r="BA168" s="78">
        <v>52</v>
      </c>
      <c r="BB168" s="18"/>
      <c r="BC168" s="18"/>
      <c r="BD168" s="18"/>
      <c r="BE168" s="18"/>
      <c r="BF168" s="18"/>
      <c r="BG168" s="18"/>
      <c r="BH168" s="18"/>
      <c r="BI168" s="18"/>
      <c r="BJ168" s="18"/>
      <c r="BK168" s="18"/>
      <c r="BL168" s="18"/>
      <c r="BM168" s="18"/>
      <c r="BN168" s="18"/>
      <c r="BO168" s="18"/>
      <c r="BP168" s="18"/>
      <c r="BQ168" s="37"/>
      <c r="BR168" s="38"/>
      <c r="BS168" s="17"/>
      <c r="BT168" s="37"/>
      <c r="BU168" s="38"/>
      <c r="BV168" s="18"/>
      <c r="BW168" s="37"/>
      <c r="BX168" s="38"/>
      <c r="BY168" s="18"/>
      <c r="BZ168" s="39" t="s">
        <v>829</v>
      </c>
      <c r="CA168" s="40" t="s">
        <v>829</v>
      </c>
      <c r="CB168" s="17"/>
      <c r="CC168" s="39" t="s">
        <v>829</v>
      </c>
      <c r="CD168" s="40" t="s">
        <v>829</v>
      </c>
      <c r="CE168" s="18"/>
      <c r="CF168" s="18"/>
      <c r="CG168" s="18"/>
      <c r="CH168" s="18"/>
      <c r="CI168" s="18"/>
      <c r="CJ168" s="18"/>
      <c r="CK168" s="18"/>
      <c r="CL168" s="18"/>
      <c r="CM168" s="18"/>
      <c r="CN168" s="18"/>
      <c r="CO168" s="18"/>
      <c r="CP168" s="18"/>
      <c r="CQ168" s="18"/>
      <c r="CR168" s="18"/>
      <c r="CS168" s="18"/>
      <c r="CT168" s="18"/>
      <c r="CU168" s="18"/>
      <c r="CV168" s="18"/>
      <c r="CW168" s="18"/>
      <c r="CX168" s="18"/>
      <c r="CY168" s="37"/>
      <c r="CZ168" s="38"/>
      <c r="DA168" s="18"/>
      <c r="DB168" s="37">
        <v>44090</v>
      </c>
      <c r="DC168" s="38">
        <v>17.872599999999998</v>
      </c>
      <c r="DD168" s="18"/>
      <c r="DE168" s="37">
        <v>44090</v>
      </c>
      <c r="DF168" s="38">
        <v>16.252400000000002</v>
      </c>
      <c r="DG168" s="18"/>
      <c r="DH168" s="37">
        <v>44090</v>
      </c>
      <c r="DI168" s="38">
        <v>21.079899999999999</v>
      </c>
      <c r="DJ168" s="18"/>
      <c r="DK168" s="37">
        <v>44090</v>
      </c>
      <c r="DL168" s="38">
        <v>0.15490000000000001</v>
      </c>
      <c r="DM168" s="18"/>
      <c r="DN168" s="18"/>
      <c r="DO168" s="18"/>
      <c r="DP168" s="18"/>
      <c r="DQ168" s="18"/>
      <c r="DR168" s="18"/>
      <c r="DS168" s="18"/>
      <c r="DT168" s="18"/>
      <c r="DU168" s="18"/>
      <c r="DV168" s="18"/>
      <c r="DW168" s="18"/>
      <c r="DX168" s="18"/>
      <c r="DY168" s="18"/>
      <c r="DZ168" s="18"/>
    </row>
    <row r="169" spans="1:130" ht="15" customHeight="1" x14ac:dyDescent="0.3">
      <c r="A169" s="30" t="s">
        <v>181</v>
      </c>
      <c r="B169" s="73" t="s">
        <v>54</v>
      </c>
      <c r="C169" s="74">
        <v>-1382</v>
      </c>
      <c r="D169" s="74">
        <v>-1132</v>
      </c>
      <c r="E169" s="74">
        <v>-961</v>
      </c>
      <c r="F169" s="74">
        <v>-1378</v>
      </c>
      <c r="G169" s="74">
        <v>-1512</v>
      </c>
      <c r="H169" s="74">
        <v>-2419</v>
      </c>
      <c r="I169" s="74">
        <v>-2789</v>
      </c>
      <c r="J169" s="74">
        <v>-2641</v>
      </c>
      <c r="K169" s="74">
        <v>-1902</v>
      </c>
      <c r="L169" s="74">
        <v>-1350</v>
      </c>
      <c r="M169" s="75">
        <v>-1365</v>
      </c>
      <c r="N169" s="17"/>
      <c r="O169" s="17"/>
      <c r="P169" s="17"/>
      <c r="Q169" s="17"/>
      <c r="R169" s="17"/>
      <c r="S169" s="17"/>
      <c r="T169" s="17"/>
      <c r="U169" s="18"/>
      <c r="V169" s="18"/>
      <c r="W169" s="18"/>
      <c r="X169" s="18"/>
      <c r="Y169" s="18"/>
      <c r="Z169" s="18"/>
      <c r="AA169" s="18"/>
      <c r="AB169" s="18"/>
      <c r="AC169" s="18"/>
      <c r="AD169" s="18"/>
      <c r="AE169" s="18" t="s">
        <v>54</v>
      </c>
      <c r="AF169" s="85">
        <v>0</v>
      </c>
      <c r="AG169" s="85">
        <v>0</v>
      </c>
      <c r="AH169" s="85">
        <v>0</v>
      </c>
      <c r="AI169" s="85">
        <v>0</v>
      </c>
      <c r="AJ169" s="85">
        <v>0</v>
      </c>
      <c r="AK169" s="85">
        <v>0</v>
      </c>
      <c r="AL169" s="85">
        <v>0</v>
      </c>
      <c r="AM169" s="85">
        <v>0</v>
      </c>
      <c r="AN169" s="18"/>
      <c r="AO169" s="18"/>
      <c r="AP169" s="77" t="s">
        <v>454</v>
      </c>
      <c r="AQ169" s="18">
        <v>-1382</v>
      </c>
      <c r="AR169" s="18">
        <v>-1132</v>
      </c>
      <c r="AS169" s="18">
        <v>-961</v>
      </c>
      <c r="AT169" s="18">
        <v>-1378</v>
      </c>
      <c r="AU169" s="18">
        <v>-1512</v>
      </c>
      <c r="AV169" s="18">
        <v>-2419</v>
      </c>
      <c r="AW169" s="18">
        <v>-2789</v>
      </c>
      <c r="AX169" s="18">
        <v>-2641</v>
      </c>
      <c r="AY169" s="18">
        <v>-1902</v>
      </c>
      <c r="AZ169" s="18">
        <v>-1350</v>
      </c>
      <c r="BA169" s="78">
        <v>-1365</v>
      </c>
      <c r="BB169" s="18"/>
      <c r="BC169" s="18"/>
      <c r="BD169" s="18"/>
      <c r="BE169" s="18"/>
      <c r="BF169" s="18"/>
      <c r="BG169" s="18"/>
      <c r="BH169" s="18"/>
      <c r="BI169" s="18"/>
      <c r="BJ169" s="18"/>
      <c r="BK169" s="18"/>
      <c r="BL169" s="18"/>
      <c r="BM169" s="18"/>
      <c r="BN169" s="18"/>
      <c r="BO169" s="18"/>
      <c r="BP169" s="18"/>
      <c r="BQ169" s="37"/>
      <c r="BR169" s="38"/>
      <c r="BS169" s="17"/>
      <c r="BT169" s="37"/>
      <c r="BU169" s="38"/>
      <c r="BV169" s="18"/>
      <c r="BW169" s="37"/>
      <c r="BX169" s="38"/>
      <c r="BY169" s="18"/>
      <c r="BZ169" s="39" t="s">
        <v>829</v>
      </c>
      <c r="CA169" s="40" t="s">
        <v>829</v>
      </c>
      <c r="CB169" s="17"/>
      <c r="CC169" s="39" t="s">
        <v>829</v>
      </c>
      <c r="CD169" s="40" t="s">
        <v>829</v>
      </c>
      <c r="CE169" s="18"/>
      <c r="CF169" s="18"/>
      <c r="CG169" s="18"/>
      <c r="CH169" s="18"/>
      <c r="CI169" s="18"/>
      <c r="CJ169" s="18"/>
      <c r="CK169" s="18"/>
      <c r="CL169" s="18"/>
      <c r="CM169" s="18"/>
      <c r="CN169" s="18"/>
      <c r="CO169" s="18"/>
      <c r="CP169" s="18"/>
      <c r="CQ169" s="18"/>
      <c r="CR169" s="18"/>
      <c r="CS169" s="18"/>
      <c r="CT169" s="18"/>
      <c r="CU169" s="18"/>
      <c r="CV169" s="18"/>
      <c r="CW169" s="18"/>
      <c r="CX169" s="18"/>
      <c r="CY169" s="37"/>
      <c r="CZ169" s="38"/>
      <c r="DA169" s="18"/>
      <c r="DB169" s="37">
        <v>44091</v>
      </c>
      <c r="DC169" s="38">
        <v>17.789300000000001</v>
      </c>
      <c r="DD169" s="18"/>
      <c r="DE169" s="37">
        <v>44091</v>
      </c>
      <c r="DF169" s="38">
        <v>16.158799999999999</v>
      </c>
      <c r="DG169" s="18"/>
      <c r="DH169" s="37">
        <v>44091</v>
      </c>
      <c r="DI169" s="38">
        <v>20.962800000000001</v>
      </c>
      <c r="DJ169" s="18"/>
      <c r="DK169" s="37">
        <v>44091</v>
      </c>
      <c r="DL169" s="38">
        <v>0.15429999999999999</v>
      </c>
      <c r="DM169" s="18"/>
      <c r="DN169" s="18"/>
      <c r="DO169" s="18"/>
      <c r="DP169" s="18"/>
      <c r="DQ169" s="18"/>
      <c r="DR169" s="18"/>
      <c r="DS169" s="18"/>
      <c r="DT169" s="18"/>
      <c r="DU169" s="18"/>
      <c r="DV169" s="18"/>
      <c r="DW169" s="18"/>
      <c r="DX169" s="18"/>
      <c r="DY169" s="18"/>
      <c r="DZ169" s="18"/>
    </row>
    <row r="170" spans="1:130" ht="15" customHeight="1" x14ac:dyDescent="0.3">
      <c r="A170" s="30" t="s">
        <v>394</v>
      </c>
      <c r="B170" s="73" t="s">
        <v>248</v>
      </c>
      <c r="C170" s="74" t="s">
        <v>615</v>
      </c>
      <c r="D170" s="74" t="s">
        <v>615</v>
      </c>
      <c r="E170" s="74" t="s">
        <v>615</v>
      </c>
      <c r="F170" s="74" t="s">
        <v>615</v>
      </c>
      <c r="G170" s="74" t="s">
        <v>615</v>
      </c>
      <c r="H170" s="74" t="s">
        <v>615</v>
      </c>
      <c r="I170" s="74" t="s">
        <v>615</v>
      </c>
      <c r="J170" s="74" t="s">
        <v>615</v>
      </c>
      <c r="K170" s="74" t="s">
        <v>615</v>
      </c>
      <c r="L170" s="74" t="s">
        <v>615</v>
      </c>
      <c r="M170" s="75" t="s">
        <v>615</v>
      </c>
      <c r="N170" s="17"/>
      <c r="O170" s="17"/>
      <c r="P170" s="17"/>
      <c r="Q170" s="17"/>
      <c r="R170" s="17"/>
      <c r="S170" s="17"/>
      <c r="T170" s="17"/>
      <c r="U170" s="18"/>
      <c r="V170" s="18"/>
      <c r="W170" s="18"/>
      <c r="X170" s="18"/>
      <c r="Y170" s="18"/>
      <c r="Z170" s="18"/>
      <c r="AA170" s="18"/>
      <c r="AB170" s="18"/>
      <c r="AC170" s="18"/>
      <c r="AD170" s="18"/>
      <c r="AE170" s="18" t="s">
        <v>248</v>
      </c>
      <c r="AF170" s="85" t="e">
        <v>#VALUE!</v>
      </c>
      <c r="AG170" s="85" t="e">
        <v>#VALUE!</v>
      </c>
      <c r="AH170" s="85" t="e">
        <v>#VALUE!</v>
      </c>
      <c r="AI170" s="85" t="e">
        <v>#VALUE!</v>
      </c>
      <c r="AJ170" s="85" t="e">
        <v>#VALUE!</v>
      </c>
      <c r="AK170" s="85" t="e">
        <v>#VALUE!</v>
      </c>
      <c r="AL170" s="85" t="e">
        <v>#VALUE!</v>
      </c>
      <c r="AM170" s="85" t="e">
        <v>#VALUE!</v>
      </c>
      <c r="AN170" s="18"/>
      <c r="AO170" s="18"/>
      <c r="AP170" s="77" t="s">
        <v>248</v>
      </c>
      <c r="AQ170" s="18">
        <v>0</v>
      </c>
      <c r="AR170" s="18">
        <v>0</v>
      </c>
      <c r="AS170" s="18">
        <v>0</v>
      </c>
      <c r="AT170" s="18">
        <v>0</v>
      </c>
      <c r="AU170" s="18">
        <v>0</v>
      </c>
      <c r="AV170" s="18">
        <v>0</v>
      </c>
      <c r="AW170" s="18">
        <v>0</v>
      </c>
      <c r="AX170" s="18">
        <v>0</v>
      </c>
      <c r="AY170" s="18">
        <v>0</v>
      </c>
      <c r="AZ170" s="18">
        <v>0</v>
      </c>
      <c r="BA170" s="78">
        <v>0</v>
      </c>
      <c r="BB170" s="18"/>
      <c r="BC170" s="18"/>
      <c r="BD170" s="18"/>
      <c r="BE170" s="18"/>
      <c r="BF170" s="18"/>
      <c r="BG170" s="18"/>
      <c r="BH170" s="18"/>
      <c r="BI170" s="18"/>
      <c r="BJ170" s="18"/>
      <c r="BK170" s="18"/>
      <c r="BL170" s="18"/>
      <c r="BM170" s="18"/>
      <c r="BN170" s="18"/>
      <c r="BO170" s="18"/>
      <c r="BP170" s="18"/>
      <c r="BQ170" s="37"/>
      <c r="BR170" s="38"/>
      <c r="BS170" s="17"/>
      <c r="BT170" s="37"/>
      <c r="BU170" s="38"/>
      <c r="BV170" s="18"/>
      <c r="BW170" s="37"/>
      <c r="BX170" s="38"/>
      <c r="BY170" s="18"/>
      <c r="BZ170" s="39" t="s">
        <v>829</v>
      </c>
      <c r="CA170" s="40" t="s">
        <v>829</v>
      </c>
      <c r="CB170" s="17"/>
      <c r="CC170" s="39" t="s">
        <v>829</v>
      </c>
      <c r="CD170" s="40" t="s">
        <v>829</v>
      </c>
      <c r="CE170" s="18"/>
      <c r="CF170" s="18"/>
      <c r="CG170" s="18"/>
      <c r="CH170" s="18"/>
      <c r="CI170" s="18"/>
      <c r="CJ170" s="18"/>
      <c r="CK170" s="18"/>
      <c r="CL170" s="18"/>
      <c r="CM170" s="18"/>
      <c r="CN170" s="18"/>
      <c r="CO170" s="18"/>
      <c r="CP170" s="18"/>
      <c r="CQ170" s="18"/>
      <c r="CR170" s="18"/>
      <c r="CS170" s="18"/>
      <c r="CT170" s="18"/>
      <c r="CU170" s="18"/>
      <c r="CV170" s="18"/>
      <c r="CW170" s="18"/>
      <c r="CX170" s="18"/>
      <c r="CY170" s="37"/>
      <c r="CZ170" s="38"/>
      <c r="DA170" s="18"/>
      <c r="DB170" s="37">
        <v>44092</v>
      </c>
      <c r="DC170" s="38">
        <v>17.9117</v>
      </c>
      <c r="DD170" s="18"/>
      <c r="DE170" s="37">
        <v>44092</v>
      </c>
      <c r="DF170" s="38">
        <v>16.327400000000001</v>
      </c>
      <c r="DG170" s="18"/>
      <c r="DH170" s="37">
        <v>44092</v>
      </c>
      <c r="DI170" s="38">
        <v>21.090499999999999</v>
      </c>
      <c r="DJ170" s="18"/>
      <c r="DK170" s="37">
        <v>44092</v>
      </c>
      <c r="DL170" s="38">
        <v>0.15620000000000001</v>
      </c>
      <c r="DM170" s="18"/>
      <c r="DN170" s="18"/>
      <c r="DO170" s="18"/>
      <c r="DP170" s="18"/>
      <c r="DQ170" s="18"/>
      <c r="DR170" s="18"/>
      <c r="DS170" s="18"/>
      <c r="DT170" s="18"/>
      <c r="DU170" s="18"/>
      <c r="DV170" s="18"/>
      <c r="DW170" s="18"/>
      <c r="DX170" s="18"/>
      <c r="DY170" s="18"/>
      <c r="DZ170" s="18"/>
    </row>
    <row r="171" spans="1:130" ht="15" customHeight="1" x14ac:dyDescent="0.3">
      <c r="A171" s="30" t="s">
        <v>395</v>
      </c>
      <c r="B171" s="73" t="s">
        <v>249</v>
      </c>
      <c r="C171" s="74" t="s">
        <v>615</v>
      </c>
      <c r="D171" s="74" t="s">
        <v>615</v>
      </c>
      <c r="E171" s="74" t="s">
        <v>615</v>
      </c>
      <c r="F171" s="74" t="s">
        <v>615</v>
      </c>
      <c r="G171" s="74" t="s">
        <v>615</v>
      </c>
      <c r="H171" s="74" t="s">
        <v>615</v>
      </c>
      <c r="I171" s="74" t="s">
        <v>615</v>
      </c>
      <c r="J171" s="74" t="s">
        <v>615</v>
      </c>
      <c r="K171" s="74" t="s">
        <v>615</v>
      </c>
      <c r="L171" s="74">
        <v>5</v>
      </c>
      <c r="M171" s="75" t="s">
        <v>615</v>
      </c>
      <c r="N171" s="17"/>
      <c r="O171" s="17"/>
      <c r="P171" s="17"/>
      <c r="Q171" s="17"/>
      <c r="R171" s="17"/>
      <c r="S171" s="17"/>
      <c r="T171" s="17"/>
      <c r="U171" s="18"/>
      <c r="V171" s="18"/>
      <c r="W171" s="18"/>
      <c r="X171" s="18"/>
      <c r="Y171" s="18"/>
      <c r="Z171" s="18"/>
      <c r="AA171" s="18"/>
      <c r="AB171" s="18"/>
      <c r="AC171" s="18"/>
      <c r="AD171" s="18"/>
      <c r="AE171" s="18" t="s">
        <v>249</v>
      </c>
      <c r="AF171" s="85" t="e">
        <v>#VALUE!</v>
      </c>
      <c r="AG171" s="85" t="e">
        <v>#VALUE!</v>
      </c>
      <c r="AH171" s="85" t="e">
        <v>#VALUE!</v>
      </c>
      <c r="AI171" s="85" t="e">
        <v>#VALUE!</v>
      </c>
      <c r="AJ171" s="85" t="e">
        <v>#VALUE!</v>
      </c>
      <c r="AK171" s="85" t="e">
        <v>#VALUE!</v>
      </c>
      <c r="AL171" s="85" t="e">
        <v>#VALUE!</v>
      </c>
      <c r="AM171" s="85" t="e">
        <v>#VALUE!</v>
      </c>
      <c r="AN171" s="18"/>
      <c r="AO171" s="18"/>
      <c r="AP171" s="77" t="s">
        <v>249</v>
      </c>
      <c r="AQ171" s="18">
        <v>0</v>
      </c>
      <c r="AR171" s="18">
        <v>0</v>
      </c>
      <c r="AS171" s="18">
        <v>0</v>
      </c>
      <c r="AT171" s="18">
        <v>0</v>
      </c>
      <c r="AU171" s="18">
        <v>0</v>
      </c>
      <c r="AV171" s="18">
        <v>0</v>
      </c>
      <c r="AW171" s="18">
        <v>0</v>
      </c>
      <c r="AX171" s="18">
        <v>0</v>
      </c>
      <c r="AY171" s="18">
        <v>0</v>
      </c>
      <c r="AZ171" s="18">
        <v>5</v>
      </c>
      <c r="BA171" s="78">
        <v>0</v>
      </c>
      <c r="BB171" s="18"/>
      <c r="BC171" s="18"/>
      <c r="BD171" s="18"/>
      <c r="BE171" s="18"/>
      <c r="BF171" s="18"/>
      <c r="BG171" s="18"/>
      <c r="BH171" s="18"/>
      <c r="BI171" s="18"/>
      <c r="BJ171" s="18"/>
      <c r="BK171" s="18"/>
      <c r="BL171" s="18"/>
      <c r="BM171" s="18"/>
      <c r="BN171" s="18"/>
      <c r="BO171" s="18"/>
      <c r="BP171" s="18"/>
      <c r="BQ171" s="37"/>
      <c r="BR171" s="38"/>
      <c r="BS171" s="17"/>
      <c r="BT171" s="37"/>
      <c r="BU171" s="38"/>
      <c r="BV171" s="18"/>
      <c r="BW171" s="37"/>
      <c r="BX171" s="38"/>
      <c r="BY171" s="18"/>
      <c r="BZ171" s="39" t="s">
        <v>829</v>
      </c>
      <c r="CA171" s="40" t="s">
        <v>829</v>
      </c>
      <c r="CB171" s="17"/>
      <c r="CC171" s="39" t="s">
        <v>829</v>
      </c>
      <c r="CD171" s="40" t="s">
        <v>829</v>
      </c>
      <c r="CE171" s="18"/>
      <c r="CF171" s="18"/>
      <c r="CG171" s="18"/>
      <c r="CH171" s="18"/>
      <c r="CI171" s="18"/>
      <c r="CJ171" s="18"/>
      <c r="CK171" s="18"/>
      <c r="CL171" s="18"/>
      <c r="CM171" s="18"/>
      <c r="CN171" s="18"/>
      <c r="CO171" s="18"/>
      <c r="CP171" s="18"/>
      <c r="CQ171" s="18"/>
      <c r="CR171" s="18"/>
      <c r="CS171" s="18"/>
      <c r="CT171" s="18"/>
      <c r="CU171" s="18"/>
      <c r="CV171" s="18"/>
      <c r="CW171" s="18"/>
      <c r="CX171" s="18"/>
      <c r="CY171" s="37"/>
      <c r="CZ171" s="38"/>
      <c r="DA171" s="18"/>
      <c r="DB171" s="37">
        <v>44095</v>
      </c>
      <c r="DC171" s="38">
        <v>18.3505</v>
      </c>
      <c r="DD171" s="18"/>
      <c r="DE171" s="37">
        <v>44095</v>
      </c>
      <c r="DF171" s="38">
        <v>16.7822</v>
      </c>
      <c r="DG171" s="18"/>
      <c r="DH171" s="37">
        <v>44095</v>
      </c>
      <c r="DI171" s="38">
        <v>21.5063</v>
      </c>
      <c r="DJ171" s="18"/>
      <c r="DK171" s="37">
        <v>44095</v>
      </c>
      <c r="DL171" s="38">
        <v>0.16039999999999999</v>
      </c>
      <c r="DM171" s="18"/>
      <c r="DN171" s="18"/>
      <c r="DO171" s="18"/>
      <c r="DP171" s="18"/>
      <c r="DQ171" s="18"/>
      <c r="DR171" s="18"/>
      <c r="DS171" s="18"/>
      <c r="DT171" s="18"/>
      <c r="DU171" s="18"/>
      <c r="DV171" s="18"/>
      <c r="DW171" s="18"/>
      <c r="DX171" s="18"/>
      <c r="DY171" s="18"/>
      <c r="DZ171" s="18"/>
    </row>
    <row r="172" spans="1:130" ht="15" customHeight="1" x14ac:dyDescent="0.3">
      <c r="A172" s="30" t="s">
        <v>396</v>
      </c>
      <c r="B172" s="73" t="s">
        <v>250</v>
      </c>
      <c r="C172" s="74">
        <v>-35</v>
      </c>
      <c r="D172" s="74">
        <v>-138</v>
      </c>
      <c r="E172" s="74">
        <v>736</v>
      </c>
      <c r="F172" s="74">
        <v>-120</v>
      </c>
      <c r="G172" s="74">
        <v>-2055</v>
      </c>
      <c r="H172" s="74">
        <v>-114</v>
      </c>
      <c r="I172" s="74">
        <v>21</v>
      </c>
      <c r="J172" s="74">
        <v>-238</v>
      </c>
      <c r="K172" s="74">
        <v>-119</v>
      </c>
      <c r="L172" s="74">
        <v>107</v>
      </c>
      <c r="M172" s="75">
        <v>-275</v>
      </c>
      <c r="N172" s="17"/>
      <c r="O172" s="17"/>
      <c r="P172" s="17"/>
      <c r="Q172" s="17"/>
      <c r="R172" s="17"/>
      <c r="S172" s="17"/>
      <c r="T172" s="17"/>
      <c r="U172" s="18"/>
      <c r="V172" s="18"/>
      <c r="W172" s="18"/>
      <c r="X172" s="18"/>
      <c r="Y172" s="18"/>
      <c r="Z172" s="18"/>
      <c r="AA172" s="18"/>
      <c r="AB172" s="18"/>
      <c r="AC172" s="18"/>
      <c r="AD172" s="18"/>
      <c r="AE172" s="18" t="s">
        <v>250</v>
      </c>
      <c r="AF172" s="85">
        <v>0</v>
      </c>
      <c r="AG172" s="85">
        <v>0</v>
      </c>
      <c r="AH172" s="85">
        <v>0</v>
      </c>
      <c r="AI172" s="85">
        <v>0</v>
      </c>
      <c r="AJ172" s="85">
        <v>0</v>
      </c>
      <c r="AK172" s="85">
        <v>0</v>
      </c>
      <c r="AL172" s="85">
        <v>0</v>
      </c>
      <c r="AM172" s="85">
        <v>0</v>
      </c>
      <c r="AN172" s="18"/>
      <c r="AO172" s="18"/>
      <c r="AP172" s="77" t="s">
        <v>250</v>
      </c>
      <c r="AQ172" s="86">
        <v>-35</v>
      </c>
      <c r="AR172" s="86">
        <v>-138</v>
      </c>
      <c r="AS172" s="86">
        <v>736</v>
      </c>
      <c r="AT172" s="86">
        <v>-120</v>
      </c>
      <c r="AU172" s="86">
        <v>-2055</v>
      </c>
      <c r="AV172" s="86">
        <v>-114</v>
      </c>
      <c r="AW172" s="86">
        <v>21</v>
      </c>
      <c r="AX172" s="86">
        <v>-238</v>
      </c>
      <c r="AY172" s="86">
        <v>-119</v>
      </c>
      <c r="AZ172" s="86">
        <v>107</v>
      </c>
      <c r="BA172" s="87">
        <v>-275</v>
      </c>
      <c r="BB172" s="18"/>
      <c r="BC172" s="18"/>
      <c r="BD172" s="18"/>
      <c r="BE172" s="18"/>
      <c r="BF172" s="18"/>
      <c r="BG172" s="18"/>
      <c r="BH172" s="18"/>
      <c r="BI172" s="18"/>
      <c r="BJ172" s="18"/>
      <c r="BK172" s="18"/>
      <c r="BL172" s="18"/>
      <c r="BM172" s="18"/>
      <c r="BN172" s="18"/>
      <c r="BO172" s="18"/>
      <c r="BP172" s="18"/>
      <c r="BQ172" s="37"/>
      <c r="BR172" s="38"/>
      <c r="BS172" s="17"/>
      <c r="BT172" s="37"/>
      <c r="BU172" s="38"/>
      <c r="BV172" s="18"/>
      <c r="BW172" s="37"/>
      <c r="BX172" s="38"/>
      <c r="BY172" s="18"/>
      <c r="BZ172" s="39" t="s">
        <v>829</v>
      </c>
      <c r="CA172" s="40" t="s">
        <v>829</v>
      </c>
      <c r="CB172" s="17"/>
      <c r="CC172" s="39" t="s">
        <v>829</v>
      </c>
      <c r="CD172" s="40" t="s">
        <v>829</v>
      </c>
      <c r="CE172" s="18"/>
      <c r="CF172" s="18"/>
      <c r="CG172" s="18"/>
      <c r="CH172" s="18"/>
      <c r="CI172" s="18"/>
      <c r="CJ172" s="18"/>
      <c r="CK172" s="18"/>
      <c r="CL172" s="18"/>
      <c r="CM172" s="18"/>
      <c r="CN172" s="18"/>
      <c r="CO172" s="18"/>
      <c r="CP172" s="18"/>
      <c r="CQ172" s="18"/>
      <c r="CR172" s="18"/>
      <c r="CS172" s="18"/>
      <c r="CT172" s="18"/>
      <c r="CU172" s="18"/>
      <c r="CV172" s="18"/>
      <c r="CW172" s="18"/>
      <c r="CX172" s="18"/>
      <c r="CY172" s="37"/>
      <c r="CZ172" s="38"/>
      <c r="DA172" s="18"/>
      <c r="DB172" s="37">
        <v>44096</v>
      </c>
      <c r="DC172" s="38">
        <v>18.264500000000002</v>
      </c>
      <c r="DD172" s="18"/>
      <c r="DE172" s="37">
        <v>44096</v>
      </c>
      <c r="DF172" s="38">
        <v>16.800899999999999</v>
      </c>
      <c r="DG172" s="18"/>
      <c r="DH172" s="37">
        <v>44096</v>
      </c>
      <c r="DI172" s="38">
        <v>21.3828</v>
      </c>
      <c r="DJ172" s="18"/>
      <c r="DK172" s="37">
        <v>44096</v>
      </c>
      <c r="DL172" s="38">
        <v>0.16009999999999999</v>
      </c>
      <c r="DM172" s="18"/>
      <c r="DN172" s="18"/>
      <c r="DO172" s="18"/>
      <c r="DP172" s="18"/>
      <c r="DQ172" s="18"/>
      <c r="DR172" s="18"/>
      <c r="DS172" s="18"/>
      <c r="DT172" s="18"/>
      <c r="DU172" s="18"/>
      <c r="DV172" s="18"/>
      <c r="DW172" s="18"/>
      <c r="DX172" s="18"/>
      <c r="DY172" s="18"/>
      <c r="DZ172" s="18"/>
    </row>
    <row r="173" spans="1:130" ht="15" customHeight="1" x14ac:dyDescent="0.3">
      <c r="A173" s="30" t="s">
        <v>182</v>
      </c>
      <c r="B173" s="90" t="s">
        <v>455</v>
      </c>
      <c r="C173" s="91">
        <v>-1382</v>
      </c>
      <c r="D173" s="91">
        <v>-1234</v>
      </c>
      <c r="E173" s="91">
        <v>-187</v>
      </c>
      <c r="F173" s="91">
        <v>-1305</v>
      </c>
      <c r="G173" s="91">
        <v>-3523</v>
      </c>
      <c r="H173" s="91">
        <v>-2195</v>
      </c>
      <c r="I173" s="91">
        <v>-2708</v>
      </c>
      <c r="J173" s="91">
        <v>-2811</v>
      </c>
      <c r="K173" s="91">
        <v>-1941</v>
      </c>
      <c r="L173" s="91">
        <v>-1223</v>
      </c>
      <c r="M173" s="92">
        <v>-1588</v>
      </c>
      <c r="N173" s="17"/>
      <c r="O173" s="17"/>
      <c r="P173" s="17"/>
      <c r="Q173" s="17"/>
      <c r="R173" s="17"/>
      <c r="S173" s="17"/>
      <c r="T173" s="17"/>
      <c r="U173" s="18"/>
      <c r="V173" s="18"/>
      <c r="W173" s="18"/>
      <c r="X173" s="18"/>
      <c r="Y173" s="18"/>
      <c r="Z173" s="18"/>
      <c r="AA173" s="18"/>
      <c r="AB173" s="18"/>
      <c r="AC173" s="18"/>
      <c r="AD173" s="18"/>
      <c r="AE173" s="18" t="s">
        <v>455</v>
      </c>
      <c r="AF173" s="85">
        <v>0</v>
      </c>
      <c r="AG173" s="85">
        <v>0</v>
      </c>
      <c r="AH173" s="85">
        <v>0</v>
      </c>
      <c r="AI173" s="85">
        <v>0</v>
      </c>
      <c r="AJ173" s="85">
        <v>0</v>
      </c>
      <c r="AK173" s="85">
        <v>0</v>
      </c>
      <c r="AL173" s="85">
        <v>0</v>
      </c>
      <c r="AM173" s="85">
        <v>0</v>
      </c>
      <c r="AN173" s="18"/>
      <c r="AO173" s="18"/>
      <c r="AP173" s="102" t="s">
        <v>455</v>
      </c>
      <c r="AQ173" s="86">
        <v>-1382</v>
      </c>
      <c r="AR173" s="86">
        <v>-1234</v>
      </c>
      <c r="AS173" s="86">
        <v>-187</v>
      </c>
      <c r="AT173" s="86">
        <v>-1305</v>
      </c>
      <c r="AU173" s="86">
        <v>-3523</v>
      </c>
      <c r="AV173" s="86">
        <v>-2195</v>
      </c>
      <c r="AW173" s="86">
        <v>-2708</v>
      </c>
      <c r="AX173" s="86">
        <v>-2811</v>
      </c>
      <c r="AY173" s="86">
        <v>-1941</v>
      </c>
      <c r="AZ173" s="86">
        <v>-1223</v>
      </c>
      <c r="BA173" s="87">
        <v>-1588</v>
      </c>
      <c r="BB173" s="18"/>
      <c r="BC173" s="18"/>
      <c r="BD173" s="18"/>
      <c r="BE173" s="18"/>
      <c r="BF173" s="18"/>
      <c r="BG173" s="18"/>
      <c r="BH173" s="18"/>
      <c r="BI173" s="18"/>
      <c r="BJ173" s="18"/>
      <c r="BK173" s="18"/>
      <c r="BL173" s="18"/>
      <c r="BM173" s="18"/>
      <c r="BN173" s="18"/>
      <c r="BO173" s="18"/>
      <c r="BP173" s="18"/>
      <c r="BQ173" s="37"/>
      <c r="BR173" s="38"/>
      <c r="BS173" s="17"/>
      <c r="BT173" s="37"/>
      <c r="BU173" s="38"/>
      <c r="BV173" s="18"/>
      <c r="BW173" s="37"/>
      <c r="BX173" s="38"/>
      <c r="BY173" s="18"/>
      <c r="BZ173" s="39" t="s">
        <v>829</v>
      </c>
      <c r="CA173" s="40" t="s">
        <v>829</v>
      </c>
      <c r="CB173" s="17"/>
      <c r="CC173" s="39" t="s">
        <v>829</v>
      </c>
      <c r="CD173" s="40" t="s">
        <v>829</v>
      </c>
      <c r="CE173" s="18"/>
      <c r="CF173" s="18"/>
      <c r="CG173" s="18"/>
      <c r="CH173" s="18"/>
      <c r="CI173" s="18"/>
      <c r="CJ173" s="18"/>
      <c r="CK173" s="18"/>
      <c r="CL173" s="18"/>
      <c r="CM173" s="18"/>
      <c r="CN173" s="18"/>
      <c r="CO173" s="18"/>
      <c r="CP173" s="18"/>
      <c r="CQ173" s="18"/>
      <c r="CR173" s="18"/>
      <c r="CS173" s="18"/>
      <c r="CT173" s="18"/>
      <c r="CU173" s="18"/>
      <c r="CV173" s="18"/>
      <c r="CW173" s="18"/>
      <c r="CX173" s="18"/>
      <c r="CY173" s="37"/>
      <c r="CZ173" s="38"/>
      <c r="DA173" s="18"/>
      <c r="DB173" s="37">
        <v>44097</v>
      </c>
      <c r="DC173" s="38">
        <v>18.482900000000001</v>
      </c>
      <c r="DD173" s="18"/>
      <c r="DE173" s="37">
        <v>44097</v>
      </c>
      <c r="DF173" s="38">
        <v>17.0806</v>
      </c>
      <c r="DG173" s="18"/>
      <c r="DH173" s="37">
        <v>44097</v>
      </c>
      <c r="DI173" s="38">
        <v>21.7333</v>
      </c>
      <c r="DJ173" s="18"/>
      <c r="DK173" s="37">
        <v>44097</v>
      </c>
      <c r="DL173" s="38">
        <v>0.16209999999999999</v>
      </c>
      <c r="DM173" s="18"/>
      <c r="DN173" s="18"/>
      <c r="DO173" s="18"/>
      <c r="DP173" s="18"/>
      <c r="DQ173" s="18"/>
      <c r="DR173" s="18"/>
      <c r="DS173" s="18"/>
      <c r="DT173" s="18"/>
      <c r="DU173" s="18"/>
      <c r="DV173" s="18"/>
      <c r="DW173" s="18"/>
      <c r="DX173" s="18"/>
      <c r="DY173" s="18"/>
      <c r="DZ173" s="18"/>
    </row>
    <row r="174" spans="1:130" ht="15" customHeight="1" x14ac:dyDescent="0.3">
      <c r="A174" s="30" t="s">
        <v>178</v>
      </c>
      <c r="B174" s="90" t="s">
        <v>456</v>
      </c>
      <c r="C174" s="91" t="s">
        <v>615</v>
      </c>
      <c r="D174" s="91">
        <v>-58</v>
      </c>
      <c r="E174" s="91">
        <v>-925</v>
      </c>
      <c r="F174" s="91">
        <v>-2071</v>
      </c>
      <c r="G174" s="91">
        <v>-1466</v>
      </c>
      <c r="H174" s="91">
        <v>-1389</v>
      </c>
      <c r="I174" s="91">
        <v>-1311</v>
      </c>
      <c r="J174" s="91">
        <v>-1224</v>
      </c>
      <c r="K174" s="91">
        <v>-1022</v>
      </c>
      <c r="L174" s="91">
        <v>-838</v>
      </c>
      <c r="M174" s="92">
        <v>-740</v>
      </c>
      <c r="N174" s="17"/>
      <c r="O174" s="17"/>
      <c r="P174" s="17"/>
      <c r="Q174" s="17"/>
      <c r="R174" s="17"/>
      <c r="S174" s="17"/>
      <c r="T174" s="17"/>
      <c r="U174" s="18"/>
      <c r="V174" s="18"/>
      <c r="W174" s="18"/>
      <c r="X174" s="18"/>
      <c r="Y174" s="18"/>
      <c r="Z174" s="18"/>
      <c r="AA174" s="18"/>
      <c r="AB174" s="18"/>
      <c r="AC174" s="18"/>
      <c r="AD174" s="18"/>
      <c r="AE174" s="18" t="s">
        <v>456</v>
      </c>
      <c r="AF174" s="85" t="e">
        <v>#VALUE!</v>
      </c>
      <c r="AG174" s="85">
        <v>0</v>
      </c>
      <c r="AH174" s="85">
        <v>0</v>
      </c>
      <c r="AI174" s="85">
        <v>0</v>
      </c>
      <c r="AJ174" s="85">
        <v>0</v>
      </c>
      <c r="AK174" s="85">
        <v>0</v>
      </c>
      <c r="AL174" s="85">
        <v>0</v>
      </c>
      <c r="AM174" s="85">
        <v>0</v>
      </c>
      <c r="AN174" s="18"/>
      <c r="AO174" s="18"/>
      <c r="AP174" s="77" t="s">
        <v>456</v>
      </c>
      <c r="AQ174" s="18">
        <v>0</v>
      </c>
      <c r="AR174" s="18">
        <v>-58</v>
      </c>
      <c r="AS174" s="18">
        <v>-925</v>
      </c>
      <c r="AT174" s="18">
        <v>-2071</v>
      </c>
      <c r="AU174" s="18">
        <v>-1466</v>
      </c>
      <c r="AV174" s="18">
        <v>-1389</v>
      </c>
      <c r="AW174" s="18">
        <v>-1311</v>
      </c>
      <c r="AX174" s="18">
        <v>-1224</v>
      </c>
      <c r="AY174" s="18">
        <v>-1022</v>
      </c>
      <c r="AZ174" s="18">
        <v>-838</v>
      </c>
      <c r="BA174" s="78">
        <v>-740</v>
      </c>
      <c r="BB174" s="18"/>
      <c r="BC174" s="18"/>
      <c r="BD174" s="18"/>
      <c r="BE174" s="18"/>
      <c r="BF174" s="18"/>
      <c r="BG174" s="18"/>
      <c r="BH174" s="18"/>
      <c r="BI174" s="18"/>
      <c r="BJ174" s="18"/>
      <c r="BK174" s="18"/>
      <c r="BL174" s="18"/>
      <c r="BM174" s="18"/>
      <c r="BN174" s="18"/>
      <c r="BO174" s="18"/>
      <c r="BP174" s="18"/>
      <c r="BQ174" s="37"/>
      <c r="BR174" s="38"/>
      <c r="BS174" s="17"/>
      <c r="BT174" s="37"/>
      <c r="BU174" s="38"/>
      <c r="BV174" s="18"/>
      <c r="BW174" s="37"/>
      <c r="BX174" s="38"/>
      <c r="BY174" s="18"/>
      <c r="BZ174" s="39" t="s">
        <v>829</v>
      </c>
      <c r="CA174" s="40" t="s">
        <v>829</v>
      </c>
      <c r="CB174" s="17"/>
      <c r="CC174" s="39" t="s">
        <v>829</v>
      </c>
      <c r="CD174" s="40" t="s">
        <v>829</v>
      </c>
      <c r="CE174" s="18"/>
      <c r="CF174" s="18"/>
      <c r="CG174" s="18"/>
      <c r="CH174" s="18"/>
      <c r="CI174" s="18"/>
      <c r="CJ174" s="18"/>
      <c r="CK174" s="18"/>
      <c r="CL174" s="18"/>
      <c r="CM174" s="18"/>
      <c r="CN174" s="18"/>
      <c r="CO174" s="18"/>
      <c r="CP174" s="18"/>
      <c r="CQ174" s="18"/>
      <c r="CR174" s="18"/>
      <c r="CS174" s="18"/>
      <c r="CT174" s="18"/>
      <c r="CU174" s="18"/>
      <c r="CV174" s="18"/>
      <c r="CW174" s="18"/>
      <c r="CX174" s="18"/>
      <c r="CY174" s="37"/>
      <c r="CZ174" s="38"/>
      <c r="DA174" s="18"/>
      <c r="DB174" s="37">
        <v>44099</v>
      </c>
      <c r="DC174" s="38">
        <v>18.45</v>
      </c>
      <c r="DD174" s="18"/>
      <c r="DE174" s="37">
        <v>44099</v>
      </c>
      <c r="DF174" s="38">
        <v>17.1313</v>
      </c>
      <c r="DG174" s="18"/>
      <c r="DH174" s="37">
        <v>44099</v>
      </c>
      <c r="DI174" s="38">
        <v>21.836600000000001</v>
      </c>
      <c r="DJ174" s="18"/>
      <c r="DK174" s="37">
        <v>44099</v>
      </c>
      <c r="DL174" s="38">
        <v>0.1623</v>
      </c>
      <c r="DM174" s="18"/>
      <c r="DN174" s="18"/>
      <c r="DO174" s="18"/>
      <c r="DP174" s="18"/>
      <c r="DQ174" s="18"/>
      <c r="DR174" s="18"/>
      <c r="DS174" s="18"/>
      <c r="DT174" s="18"/>
      <c r="DU174" s="18"/>
      <c r="DV174" s="18"/>
      <c r="DW174" s="18"/>
      <c r="DX174" s="18"/>
      <c r="DY174" s="18"/>
      <c r="DZ174" s="18"/>
    </row>
    <row r="175" spans="1:130" ht="15" customHeight="1" x14ac:dyDescent="0.3">
      <c r="A175" s="30" t="s">
        <v>397</v>
      </c>
      <c r="B175" s="73" t="s">
        <v>251</v>
      </c>
      <c r="C175" s="74" t="s">
        <v>615</v>
      </c>
      <c r="D175" s="74" t="s">
        <v>615</v>
      </c>
      <c r="E175" s="74">
        <v>-2575</v>
      </c>
      <c r="F175" s="74">
        <v>-2050</v>
      </c>
      <c r="G175" s="74">
        <v>-1228</v>
      </c>
      <c r="H175" s="74">
        <v>287</v>
      </c>
      <c r="I175" s="74">
        <v>-572</v>
      </c>
      <c r="J175" s="74">
        <v>278</v>
      </c>
      <c r="K175" s="74">
        <v>535</v>
      </c>
      <c r="L175" s="74">
        <v>-1065</v>
      </c>
      <c r="M175" s="75">
        <v>-503</v>
      </c>
      <c r="N175" s="17"/>
      <c r="O175" s="17"/>
      <c r="P175" s="17"/>
      <c r="Q175" s="17"/>
      <c r="R175" s="17"/>
      <c r="S175" s="17"/>
      <c r="T175" s="17"/>
      <c r="U175" s="18"/>
      <c r="V175" s="18"/>
      <c r="W175" s="18"/>
      <c r="X175" s="18"/>
      <c r="Y175" s="18"/>
      <c r="Z175" s="18"/>
      <c r="AA175" s="18"/>
      <c r="AB175" s="18"/>
      <c r="AC175" s="18"/>
      <c r="AD175" s="18"/>
      <c r="AE175" s="18" t="s">
        <v>251</v>
      </c>
      <c r="AF175" s="85" t="e">
        <v>#VALUE!</v>
      </c>
      <c r="AG175" s="85" t="e">
        <v>#VALUE!</v>
      </c>
      <c r="AH175" s="85">
        <v>0</v>
      </c>
      <c r="AI175" s="85">
        <v>0</v>
      </c>
      <c r="AJ175" s="85">
        <v>0</v>
      </c>
      <c r="AK175" s="85">
        <v>0</v>
      </c>
      <c r="AL175" s="85">
        <v>0</v>
      </c>
      <c r="AM175" s="85">
        <v>0</v>
      </c>
      <c r="AN175" s="18"/>
      <c r="AO175" s="18"/>
      <c r="AP175" s="77" t="s">
        <v>251</v>
      </c>
      <c r="AQ175" s="18" t="s">
        <v>1811</v>
      </c>
      <c r="AR175" s="18" t="s">
        <v>1811</v>
      </c>
      <c r="AS175" s="18">
        <v>-2575</v>
      </c>
      <c r="AT175" s="18">
        <v>-2050</v>
      </c>
      <c r="AU175" s="18">
        <v>-1228</v>
      </c>
      <c r="AV175" s="18">
        <v>287</v>
      </c>
      <c r="AW175" s="18">
        <v>-572</v>
      </c>
      <c r="AX175" s="18">
        <v>278</v>
      </c>
      <c r="AY175" s="18">
        <v>535</v>
      </c>
      <c r="AZ175" s="18">
        <v>-1065</v>
      </c>
      <c r="BA175" s="78">
        <v>-503</v>
      </c>
      <c r="BB175" s="18"/>
      <c r="BC175" s="18"/>
      <c r="BD175" s="18"/>
      <c r="BE175" s="18"/>
      <c r="BF175" s="18"/>
      <c r="BG175" s="18"/>
      <c r="BH175" s="18"/>
      <c r="BI175" s="18"/>
      <c r="BJ175" s="18"/>
      <c r="BK175" s="18"/>
      <c r="BL175" s="18"/>
      <c r="BM175" s="18"/>
      <c r="BN175" s="18"/>
      <c r="BO175" s="18"/>
      <c r="BP175" s="18"/>
      <c r="BQ175" s="37"/>
      <c r="BR175" s="38"/>
      <c r="BS175" s="17"/>
      <c r="BT175" s="37"/>
      <c r="BU175" s="38"/>
      <c r="BV175" s="18"/>
      <c r="BW175" s="37"/>
      <c r="BX175" s="38"/>
      <c r="BY175" s="18"/>
      <c r="BZ175" s="39" t="s">
        <v>829</v>
      </c>
      <c r="CA175" s="40" t="s">
        <v>829</v>
      </c>
      <c r="CB175" s="17"/>
      <c r="CC175" s="39" t="s">
        <v>829</v>
      </c>
      <c r="CD175" s="40" t="s">
        <v>829</v>
      </c>
      <c r="CE175" s="18"/>
      <c r="CF175" s="18"/>
      <c r="CG175" s="18"/>
      <c r="CH175" s="18"/>
      <c r="CI175" s="18"/>
      <c r="CJ175" s="18"/>
      <c r="CK175" s="18"/>
      <c r="CL175" s="18"/>
      <c r="CM175" s="18"/>
      <c r="CN175" s="18"/>
      <c r="CO175" s="18"/>
      <c r="CP175" s="18"/>
      <c r="CQ175" s="18"/>
      <c r="CR175" s="18"/>
      <c r="CS175" s="18"/>
      <c r="CT175" s="18"/>
      <c r="CU175" s="18"/>
      <c r="CV175" s="18"/>
      <c r="CW175" s="18"/>
      <c r="CX175" s="18"/>
      <c r="CY175" s="37"/>
      <c r="CZ175" s="38"/>
      <c r="DA175" s="18"/>
      <c r="DB175" s="37">
        <v>44102</v>
      </c>
      <c r="DC175" s="38">
        <v>18.447399999999998</v>
      </c>
      <c r="DD175" s="18"/>
      <c r="DE175" s="37">
        <v>44102</v>
      </c>
      <c r="DF175" s="38">
        <v>17.0563</v>
      </c>
      <c r="DG175" s="18"/>
      <c r="DH175" s="37">
        <v>44102</v>
      </c>
      <c r="DI175" s="38">
        <v>21.886900000000001</v>
      </c>
      <c r="DJ175" s="18"/>
      <c r="DK175" s="37">
        <v>44102</v>
      </c>
      <c r="DL175" s="38">
        <v>0.16170000000000001</v>
      </c>
      <c r="DM175" s="18"/>
      <c r="DN175" s="18"/>
      <c r="DO175" s="18"/>
      <c r="DP175" s="18"/>
      <c r="DQ175" s="18"/>
      <c r="DR175" s="18"/>
      <c r="DS175" s="18"/>
      <c r="DT175" s="18"/>
      <c r="DU175" s="18"/>
      <c r="DV175" s="18"/>
      <c r="DW175" s="18"/>
      <c r="DX175" s="18"/>
      <c r="DY175" s="18"/>
      <c r="DZ175" s="18"/>
    </row>
    <row r="176" spans="1:130" ht="15" customHeight="1" x14ac:dyDescent="0.3">
      <c r="A176" s="30" t="s">
        <v>183</v>
      </c>
      <c r="B176" s="73" t="s">
        <v>457</v>
      </c>
      <c r="C176" s="74">
        <v>1903</v>
      </c>
      <c r="D176" s="74">
        <v>1000</v>
      </c>
      <c r="E176" s="74">
        <v>3621</v>
      </c>
      <c r="F176" s="74">
        <v>2748</v>
      </c>
      <c r="G176" s="74">
        <v>2293</v>
      </c>
      <c r="H176" s="74">
        <v>1018</v>
      </c>
      <c r="I176" s="74">
        <v>356</v>
      </c>
      <c r="J176" s="74">
        <v>828</v>
      </c>
      <c r="K176" s="74" t="s">
        <v>615</v>
      </c>
      <c r="L176" s="74" t="s">
        <v>615</v>
      </c>
      <c r="M176" s="75">
        <v>565</v>
      </c>
      <c r="N176" s="17"/>
      <c r="O176" s="17"/>
      <c r="P176" s="17"/>
      <c r="Q176" s="17"/>
      <c r="R176" s="17"/>
      <c r="S176" s="17"/>
      <c r="T176" s="17"/>
      <c r="U176" s="18"/>
      <c r="V176" s="18"/>
      <c r="W176" s="18"/>
      <c r="X176" s="18"/>
      <c r="Y176" s="18"/>
      <c r="Z176" s="18"/>
      <c r="AA176" s="18"/>
      <c r="AB176" s="18"/>
      <c r="AC176" s="18"/>
      <c r="AD176" s="18"/>
      <c r="AE176" s="18" t="s">
        <v>457</v>
      </c>
      <c r="AF176" s="85">
        <v>0</v>
      </c>
      <c r="AG176" s="85">
        <v>0</v>
      </c>
      <c r="AH176" s="85">
        <v>0</v>
      </c>
      <c r="AI176" s="85">
        <v>0</v>
      </c>
      <c r="AJ176" s="85">
        <v>0</v>
      </c>
      <c r="AK176" s="85">
        <v>0</v>
      </c>
      <c r="AL176" s="85">
        <v>0</v>
      </c>
      <c r="AM176" s="85">
        <v>0</v>
      </c>
      <c r="AN176" s="18"/>
      <c r="AO176" s="18"/>
      <c r="AP176" s="77" t="s">
        <v>457</v>
      </c>
      <c r="AQ176" s="18">
        <v>1903</v>
      </c>
      <c r="AR176" s="18">
        <v>1000</v>
      </c>
      <c r="AS176" s="18">
        <v>3621</v>
      </c>
      <c r="AT176" s="18">
        <v>2748</v>
      </c>
      <c r="AU176" s="18">
        <v>2293</v>
      </c>
      <c r="AV176" s="18">
        <v>1018</v>
      </c>
      <c r="AW176" s="18">
        <v>356</v>
      </c>
      <c r="AX176" s="18">
        <v>828</v>
      </c>
      <c r="AY176" s="18">
        <v>0</v>
      </c>
      <c r="AZ176" s="18">
        <v>0</v>
      </c>
      <c r="BA176" s="78">
        <v>565</v>
      </c>
      <c r="BB176" s="18"/>
      <c r="BC176" s="18"/>
      <c r="BD176" s="18"/>
      <c r="BE176" s="18"/>
      <c r="BF176" s="18"/>
      <c r="BG176" s="18"/>
      <c r="BH176" s="18"/>
      <c r="BI176" s="18"/>
      <c r="BJ176" s="18"/>
      <c r="BK176" s="18"/>
      <c r="BL176" s="18"/>
      <c r="BM176" s="18"/>
      <c r="BN176" s="18"/>
      <c r="BO176" s="18"/>
      <c r="BP176" s="18"/>
      <c r="BQ176" s="37"/>
      <c r="BR176" s="38"/>
      <c r="BS176" s="17"/>
      <c r="BT176" s="37"/>
      <c r="BU176" s="38"/>
      <c r="BV176" s="18"/>
      <c r="BW176" s="37"/>
      <c r="BX176" s="38"/>
      <c r="BY176" s="18"/>
      <c r="BZ176" s="39" t="s">
        <v>829</v>
      </c>
      <c r="CA176" s="40" t="s">
        <v>829</v>
      </c>
      <c r="CB176" s="17"/>
      <c r="CC176" s="39" t="s">
        <v>829</v>
      </c>
      <c r="CD176" s="40" t="s">
        <v>829</v>
      </c>
      <c r="CE176" s="18"/>
      <c r="CF176" s="18"/>
      <c r="CG176" s="18"/>
      <c r="CH176" s="18"/>
      <c r="CI176" s="18"/>
      <c r="CJ176" s="18"/>
      <c r="CK176" s="18"/>
      <c r="CL176" s="18"/>
      <c r="CM176" s="18"/>
      <c r="CN176" s="18"/>
      <c r="CO176" s="18"/>
      <c r="CP176" s="18"/>
      <c r="CQ176" s="18"/>
      <c r="CR176" s="18"/>
      <c r="CS176" s="18"/>
      <c r="CT176" s="18"/>
      <c r="CU176" s="18"/>
      <c r="CV176" s="18"/>
      <c r="CW176" s="18"/>
      <c r="CX176" s="18"/>
      <c r="CY176" s="37"/>
      <c r="CZ176" s="38"/>
      <c r="DA176" s="18"/>
      <c r="DB176" s="37">
        <v>44103</v>
      </c>
      <c r="DC176" s="38">
        <v>18.426600000000001</v>
      </c>
      <c r="DD176" s="18"/>
      <c r="DE176" s="37">
        <v>44103</v>
      </c>
      <c r="DF176" s="38">
        <v>16.934699999999999</v>
      </c>
      <c r="DG176" s="18"/>
      <c r="DH176" s="37">
        <v>44103</v>
      </c>
      <c r="DI176" s="38">
        <v>21.787299999999998</v>
      </c>
      <c r="DJ176" s="18"/>
      <c r="DK176" s="37">
        <v>44103</v>
      </c>
      <c r="DL176" s="38">
        <v>0.1603</v>
      </c>
      <c r="DM176" s="18"/>
      <c r="DN176" s="18"/>
      <c r="DO176" s="18"/>
      <c r="DP176" s="18"/>
      <c r="DQ176" s="18"/>
      <c r="DR176" s="18"/>
      <c r="DS176" s="18"/>
      <c r="DT176" s="18"/>
      <c r="DU176" s="18"/>
      <c r="DV176" s="18"/>
      <c r="DW176" s="18"/>
      <c r="DX176" s="18"/>
      <c r="DY176" s="18"/>
      <c r="DZ176" s="18"/>
    </row>
    <row r="177" spans="1:130" ht="15" customHeight="1" x14ac:dyDescent="0.3">
      <c r="A177" s="30" t="s">
        <v>398</v>
      </c>
      <c r="B177" s="73" t="s">
        <v>252</v>
      </c>
      <c r="C177" s="74">
        <v>-2502</v>
      </c>
      <c r="D177" s="74">
        <v>-2278</v>
      </c>
      <c r="E177" s="74">
        <v>-142</v>
      </c>
      <c r="F177" s="74" t="s">
        <v>615</v>
      </c>
      <c r="G177" s="74" t="s">
        <v>615</v>
      </c>
      <c r="H177" s="74" t="s">
        <v>615</v>
      </c>
      <c r="I177" s="74" t="s">
        <v>615</v>
      </c>
      <c r="J177" s="74" t="s">
        <v>615</v>
      </c>
      <c r="K177" s="74">
        <v>-614</v>
      </c>
      <c r="L177" s="74">
        <v>-297</v>
      </c>
      <c r="M177" s="75" t="s">
        <v>615</v>
      </c>
      <c r="N177" s="17"/>
      <c r="O177" s="17"/>
      <c r="P177" s="17"/>
      <c r="Q177" s="17"/>
      <c r="R177" s="17"/>
      <c r="S177" s="17"/>
      <c r="T177" s="17"/>
      <c r="U177" s="18"/>
      <c r="V177" s="18"/>
      <c r="W177" s="18"/>
      <c r="X177" s="18"/>
      <c r="Y177" s="18"/>
      <c r="Z177" s="18"/>
      <c r="AA177" s="18"/>
      <c r="AB177" s="18"/>
      <c r="AC177" s="18"/>
      <c r="AD177" s="18"/>
      <c r="AE177" s="18" t="s">
        <v>252</v>
      </c>
      <c r="AF177" s="85">
        <v>0</v>
      </c>
      <c r="AG177" s="85">
        <v>0</v>
      </c>
      <c r="AH177" s="85">
        <v>0</v>
      </c>
      <c r="AI177" s="85" t="e">
        <v>#VALUE!</v>
      </c>
      <c r="AJ177" s="85" t="e">
        <v>#VALUE!</v>
      </c>
      <c r="AK177" s="85" t="e">
        <v>#VALUE!</v>
      </c>
      <c r="AL177" s="85" t="e">
        <v>#VALUE!</v>
      </c>
      <c r="AM177" s="85" t="e">
        <v>#VALUE!</v>
      </c>
      <c r="AN177" s="18"/>
      <c r="AO177" s="18"/>
      <c r="AP177" s="77" t="s">
        <v>252</v>
      </c>
      <c r="AQ177" s="18">
        <v>-2502</v>
      </c>
      <c r="AR177" s="18">
        <v>-2278</v>
      </c>
      <c r="AS177" s="18">
        <v>-142</v>
      </c>
      <c r="AT177" s="18">
        <v>0</v>
      </c>
      <c r="AU177" s="18">
        <v>0</v>
      </c>
      <c r="AV177" s="18">
        <v>0</v>
      </c>
      <c r="AW177" s="18">
        <v>0</v>
      </c>
      <c r="AX177" s="18">
        <v>0</v>
      </c>
      <c r="AY177" s="18">
        <v>-614</v>
      </c>
      <c r="AZ177" s="18">
        <v>-297</v>
      </c>
      <c r="BA177" s="78">
        <v>0</v>
      </c>
      <c r="BB177" s="18"/>
      <c r="BC177" s="18"/>
      <c r="BD177" s="18"/>
      <c r="BE177" s="18"/>
      <c r="BF177" s="18"/>
      <c r="BG177" s="18"/>
      <c r="BH177" s="18"/>
      <c r="BI177" s="18"/>
      <c r="BJ177" s="18"/>
      <c r="BK177" s="18"/>
      <c r="BL177" s="18"/>
      <c r="BM177" s="18"/>
      <c r="BN177" s="18"/>
      <c r="BO177" s="18"/>
      <c r="BP177" s="18"/>
      <c r="BQ177" s="37"/>
      <c r="BR177" s="38"/>
      <c r="BS177" s="17"/>
      <c r="BT177" s="37"/>
      <c r="BU177" s="38"/>
      <c r="BV177" s="18"/>
      <c r="BW177" s="37"/>
      <c r="BX177" s="38"/>
      <c r="BY177" s="18"/>
      <c r="BZ177" s="39" t="s">
        <v>829</v>
      </c>
      <c r="CA177" s="40" t="s">
        <v>829</v>
      </c>
      <c r="CB177" s="17"/>
      <c r="CC177" s="39" t="s">
        <v>829</v>
      </c>
      <c r="CD177" s="40" t="s">
        <v>829</v>
      </c>
      <c r="CE177" s="18"/>
      <c r="CF177" s="18"/>
      <c r="CG177" s="18"/>
      <c r="CH177" s="18"/>
      <c r="CI177" s="18"/>
      <c r="CJ177" s="18"/>
      <c r="CK177" s="18"/>
      <c r="CL177" s="18"/>
      <c r="CM177" s="18"/>
      <c r="CN177" s="18"/>
      <c r="CO177" s="18"/>
      <c r="CP177" s="18"/>
      <c r="CQ177" s="18"/>
      <c r="CR177" s="18"/>
      <c r="CS177" s="18"/>
      <c r="CT177" s="18"/>
      <c r="CU177" s="18"/>
      <c r="CV177" s="18"/>
      <c r="CW177" s="18"/>
      <c r="CX177" s="18"/>
      <c r="CY177" s="37"/>
      <c r="CZ177" s="38"/>
      <c r="DA177" s="18"/>
      <c r="DB177" s="37">
        <v>44104</v>
      </c>
      <c r="DC177" s="38">
        <v>18.1873</v>
      </c>
      <c r="DD177" s="18"/>
      <c r="DE177" s="37">
        <v>44104</v>
      </c>
      <c r="DF177" s="38">
        <v>16.7484</v>
      </c>
      <c r="DG177" s="18"/>
      <c r="DH177" s="37">
        <v>44104</v>
      </c>
      <c r="DI177" s="38">
        <v>21.652899999999999</v>
      </c>
      <c r="DJ177" s="18"/>
      <c r="DK177" s="37">
        <v>44104</v>
      </c>
      <c r="DL177" s="38">
        <v>0.15890000000000001</v>
      </c>
      <c r="DM177" s="18"/>
      <c r="DN177" s="18"/>
      <c r="DO177" s="18"/>
      <c r="DP177" s="18"/>
      <c r="DQ177" s="18"/>
      <c r="DR177" s="18"/>
      <c r="DS177" s="18"/>
      <c r="DT177" s="18"/>
      <c r="DU177" s="18"/>
      <c r="DV177" s="18"/>
      <c r="DW177" s="18"/>
      <c r="DX177" s="18"/>
      <c r="DY177" s="18"/>
      <c r="DZ177" s="18"/>
    </row>
    <row r="178" spans="1:130" ht="15" customHeight="1" x14ac:dyDescent="0.3">
      <c r="A178" s="30" t="s">
        <v>179</v>
      </c>
      <c r="B178" s="73" t="s">
        <v>458</v>
      </c>
      <c r="C178" s="74">
        <v>29</v>
      </c>
      <c r="D178" s="74">
        <v>1</v>
      </c>
      <c r="E178" s="74">
        <v>2</v>
      </c>
      <c r="F178" s="74">
        <v>22</v>
      </c>
      <c r="G178" s="74">
        <v>51</v>
      </c>
      <c r="H178" s="74">
        <v>56</v>
      </c>
      <c r="I178" s="74">
        <v>124</v>
      </c>
      <c r="J178" s="74">
        <v>337</v>
      </c>
      <c r="K178" s="74">
        <v>149</v>
      </c>
      <c r="L178" s="74">
        <v>130</v>
      </c>
      <c r="M178" s="75">
        <v>234</v>
      </c>
      <c r="N178" s="17"/>
      <c r="O178" s="17"/>
      <c r="P178" s="17"/>
      <c r="Q178" s="17"/>
      <c r="R178" s="17"/>
      <c r="S178" s="17"/>
      <c r="T178" s="17"/>
      <c r="U178" s="18"/>
      <c r="V178" s="18"/>
      <c r="W178" s="18"/>
      <c r="X178" s="18"/>
      <c r="Y178" s="18"/>
      <c r="Z178" s="18"/>
      <c r="AA178" s="18"/>
      <c r="AB178" s="18"/>
      <c r="AC178" s="18"/>
      <c r="AD178" s="18"/>
      <c r="AE178" s="18" t="s">
        <v>458</v>
      </c>
      <c r="AF178" s="85">
        <v>0</v>
      </c>
      <c r="AG178" s="85">
        <v>0</v>
      </c>
      <c r="AH178" s="85">
        <v>0</v>
      </c>
      <c r="AI178" s="85">
        <v>0</v>
      </c>
      <c r="AJ178" s="85">
        <v>0</v>
      </c>
      <c r="AK178" s="85">
        <v>0</v>
      </c>
      <c r="AL178" s="85">
        <v>0</v>
      </c>
      <c r="AM178" s="85">
        <v>0</v>
      </c>
      <c r="AN178" s="18"/>
      <c r="AO178" s="18"/>
      <c r="AP178" s="77" t="s">
        <v>458</v>
      </c>
      <c r="AQ178" s="18">
        <v>29</v>
      </c>
      <c r="AR178" s="18">
        <v>1</v>
      </c>
      <c r="AS178" s="18">
        <v>2</v>
      </c>
      <c r="AT178" s="18">
        <v>22</v>
      </c>
      <c r="AU178" s="18">
        <v>51</v>
      </c>
      <c r="AV178" s="18">
        <v>56</v>
      </c>
      <c r="AW178" s="18">
        <v>124</v>
      </c>
      <c r="AX178" s="18">
        <v>337</v>
      </c>
      <c r="AY178" s="18">
        <v>149</v>
      </c>
      <c r="AZ178" s="18">
        <v>130</v>
      </c>
      <c r="BA178" s="78">
        <v>234</v>
      </c>
      <c r="BB178" s="18"/>
      <c r="BC178" s="18"/>
      <c r="BD178" s="18"/>
      <c r="BE178" s="18"/>
      <c r="BF178" s="18"/>
      <c r="BG178" s="18"/>
      <c r="BH178" s="18"/>
      <c r="BI178" s="18"/>
      <c r="BJ178" s="18"/>
      <c r="BK178" s="18"/>
      <c r="BL178" s="18"/>
      <c r="BM178" s="18"/>
      <c r="BN178" s="18"/>
      <c r="BO178" s="18"/>
      <c r="BP178" s="18"/>
      <c r="BQ178" s="37"/>
      <c r="BR178" s="38"/>
      <c r="BS178" s="17"/>
      <c r="BT178" s="37"/>
      <c r="BU178" s="38"/>
      <c r="BV178" s="18"/>
      <c r="BW178" s="37"/>
      <c r="BX178" s="38"/>
      <c r="BY178" s="18"/>
      <c r="BZ178" s="39" t="s">
        <v>829</v>
      </c>
      <c r="CA178" s="40" t="s">
        <v>829</v>
      </c>
      <c r="CB178" s="17"/>
      <c r="CC178" s="39" t="s">
        <v>829</v>
      </c>
      <c r="CD178" s="40" t="s">
        <v>829</v>
      </c>
      <c r="CE178" s="18"/>
      <c r="CF178" s="18"/>
      <c r="CG178" s="18"/>
      <c r="CH178" s="18"/>
      <c r="CI178" s="18"/>
      <c r="CJ178" s="18"/>
      <c r="CK178" s="18"/>
      <c r="CL178" s="18"/>
      <c r="CM178" s="18"/>
      <c r="CN178" s="18"/>
      <c r="CO178" s="18"/>
      <c r="CP178" s="18"/>
      <c r="CQ178" s="18"/>
      <c r="CR178" s="18"/>
      <c r="CS178" s="18"/>
      <c r="CT178" s="18"/>
      <c r="CU178" s="18"/>
      <c r="CV178" s="18"/>
      <c r="CW178" s="18"/>
      <c r="CX178" s="18"/>
      <c r="CY178" s="37"/>
      <c r="CZ178" s="38"/>
      <c r="DA178" s="18"/>
      <c r="DB178" s="37">
        <v>44105</v>
      </c>
      <c r="DC178" s="38">
        <v>18.072299999999998</v>
      </c>
      <c r="DD178" s="18"/>
      <c r="DE178" s="37">
        <v>44105</v>
      </c>
      <c r="DF178" s="38">
        <v>16.608699999999999</v>
      </c>
      <c r="DG178" s="18"/>
      <c r="DH178" s="37">
        <v>44105</v>
      </c>
      <c r="DI178" s="38">
        <v>21.3916</v>
      </c>
      <c r="DJ178" s="18"/>
      <c r="DK178" s="37">
        <v>44105</v>
      </c>
      <c r="DL178" s="38">
        <v>0.15740000000000001</v>
      </c>
      <c r="DM178" s="18"/>
      <c r="DN178" s="18"/>
      <c r="DO178" s="18"/>
      <c r="DP178" s="18"/>
      <c r="DQ178" s="18"/>
      <c r="DR178" s="18"/>
      <c r="DS178" s="18"/>
      <c r="DT178" s="18"/>
      <c r="DU178" s="18"/>
      <c r="DV178" s="18"/>
      <c r="DW178" s="18"/>
      <c r="DX178" s="18"/>
      <c r="DY178" s="18"/>
      <c r="DZ178" s="18"/>
    </row>
    <row r="179" spans="1:130" ht="15" customHeight="1" x14ac:dyDescent="0.3">
      <c r="A179" s="30" t="s">
        <v>180</v>
      </c>
      <c r="B179" s="73" t="s">
        <v>459</v>
      </c>
      <c r="C179" s="74" t="s">
        <v>615</v>
      </c>
      <c r="D179" s="74" t="s">
        <v>615</v>
      </c>
      <c r="E179" s="74">
        <v>-251</v>
      </c>
      <c r="F179" s="74">
        <v>-458</v>
      </c>
      <c r="G179" s="74" t="s">
        <v>615</v>
      </c>
      <c r="H179" s="74" t="s">
        <v>615</v>
      </c>
      <c r="I179" s="74" t="s">
        <v>615</v>
      </c>
      <c r="J179" s="74" t="s">
        <v>615</v>
      </c>
      <c r="K179" s="74" t="s">
        <v>615</v>
      </c>
      <c r="L179" s="74" t="s">
        <v>615</v>
      </c>
      <c r="M179" s="75" t="s">
        <v>615</v>
      </c>
      <c r="N179" s="17"/>
      <c r="O179" s="17"/>
      <c r="P179" s="17"/>
      <c r="Q179" s="17"/>
      <c r="R179" s="17"/>
      <c r="S179" s="17"/>
      <c r="T179" s="17"/>
      <c r="U179" s="18"/>
      <c r="V179" s="18"/>
      <c r="W179" s="18"/>
      <c r="X179" s="18"/>
      <c r="Y179" s="18"/>
      <c r="Z179" s="18"/>
      <c r="AA179" s="18"/>
      <c r="AB179" s="18"/>
      <c r="AC179" s="18"/>
      <c r="AD179" s="18"/>
      <c r="AE179" s="18" t="s">
        <v>459</v>
      </c>
      <c r="AF179" s="85" t="e">
        <v>#VALUE!</v>
      </c>
      <c r="AG179" s="85" t="e">
        <v>#VALUE!</v>
      </c>
      <c r="AH179" s="85">
        <v>0</v>
      </c>
      <c r="AI179" s="85">
        <v>0</v>
      </c>
      <c r="AJ179" s="85" t="e">
        <v>#VALUE!</v>
      </c>
      <c r="AK179" s="85" t="e">
        <v>#VALUE!</v>
      </c>
      <c r="AL179" s="85" t="e">
        <v>#VALUE!</v>
      </c>
      <c r="AM179" s="85" t="e">
        <v>#VALUE!</v>
      </c>
      <c r="AN179" s="18"/>
      <c r="AO179" s="18"/>
      <c r="AP179" s="77" t="s">
        <v>459</v>
      </c>
      <c r="AQ179" s="18">
        <v>0</v>
      </c>
      <c r="AR179" s="18">
        <v>0</v>
      </c>
      <c r="AS179" s="18">
        <v>-251</v>
      </c>
      <c r="AT179" s="18">
        <v>-458</v>
      </c>
      <c r="AU179" s="18">
        <v>0</v>
      </c>
      <c r="AV179" s="18">
        <v>0</v>
      </c>
      <c r="AW179" s="18">
        <v>0</v>
      </c>
      <c r="AX179" s="18">
        <v>0</v>
      </c>
      <c r="AY179" s="18">
        <v>0</v>
      </c>
      <c r="AZ179" s="18">
        <v>0</v>
      </c>
      <c r="BA179" s="78">
        <v>0</v>
      </c>
      <c r="BB179" s="18"/>
      <c r="BC179" s="18"/>
      <c r="BD179" s="18"/>
      <c r="BE179" s="18"/>
      <c r="BF179" s="18"/>
      <c r="BG179" s="18"/>
      <c r="BH179" s="18"/>
      <c r="BI179" s="18"/>
      <c r="BJ179" s="18"/>
      <c r="BK179" s="18"/>
      <c r="BL179" s="18"/>
      <c r="BM179" s="18"/>
      <c r="BN179" s="18"/>
      <c r="BO179" s="18"/>
      <c r="BP179" s="18"/>
      <c r="BQ179" s="37"/>
      <c r="BR179" s="38"/>
      <c r="BS179" s="17"/>
      <c r="BT179" s="37"/>
      <c r="BU179" s="38"/>
      <c r="BV179" s="18"/>
      <c r="BW179" s="37"/>
      <c r="BX179" s="38"/>
      <c r="BY179" s="18"/>
      <c r="BZ179" s="39" t="s">
        <v>829</v>
      </c>
      <c r="CA179" s="40" t="s">
        <v>829</v>
      </c>
      <c r="CB179" s="17"/>
      <c r="CC179" s="39" t="s">
        <v>829</v>
      </c>
      <c r="CD179" s="40" t="s">
        <v>829</v>
      </c>
      <c r="CE179" s="18"/>
      <c r="CF179" s="18"/>
      <c r="CG179" s="18"/>
      <c r="CH179" s="18"/>
      <c r="CI179" s="18"/>
      <c r="CJ179" s="18"/>
      <c r="CK179" s="18"/>
      <c r="CL179" s="18"/>
      <c r="CM179" s="18"/>
      <c r="CN179" s="18"/>
      <c r="CO179" s="18"/>
      <c r="CP179" s="18"/>
      <c r="CQ179" s="18"/>
      <c r="CR179" s="18"/>
      <c r="CS179" s="18"/>
      <c r="CT179" s="18"/>
      <c r="CU179" s="18"/>
      <c r="CV179" s="18"/>
      <c r="CW179" s="18"/>
      <c r="CX179" s="18"/>
      <c r="CY179" s="37"/>
      <c r="CZ179" s="38"/>
      <c r="DA179" s="18"/>
      <c r="DB179" s="37">
        <v>44106</v>
      </c>
      <c r="DC179" s="38">
        <v>17.956700000000001</v>
      </c>
      <c r="DD179" s="18"/>
      <c r="DE179" s="37">
        <v>44106</v>
      </c>
      <c r="DF179" s="38">
        <v>16.528300000000002</v>
      </c>
      <c r="DG179" s="18"/>
      <c r="DH179" s="37">
        <v>44106</v>
      </c>
      <c r="DI179" s="38">
        <v>21.397200000000002</v>
      </c>
      <c r="DJ179" s="18"/>
      <c r="DK179" s="37">
        <v>44106</v>
      </c>
      <c r="DL179" s="38">
        <v>0.157</v>
      </c>
      <c r="DM179" s="18"/>
      <c r="DN179" s="18"/>
      <c r="DO179" s="18"/>
      <c r="DP179" s="18"/>
      <c r="DQ179" s="18"/>
      <c r="DR179" s="18"/>
      <c r="DS179" s="18"/>
      <c r="DT179" s="18"/>
      <c r="DU179" s="18"/>
      <c r="DV179" s="18"/>
      <c r="DW179" s="18"/>
      <c r="DX179" s="18"/>
      <c r="DY179" s="18"/>
      <c r="DZ179" s="18"/>
    </row>
    <row r="180" spans="1:130" ht="15" customHeight="1" x14ac:dyDescent="0.3">
      <c r="A180" s="30" t="s">
        <v>399</v>
      </c>
      <c r="B180" s="73" t="s">
        <v>253</v>
      </c>
      <c r="C180" s="74">
        <v>-27</v>
      </c>
      <c r="D180" s="74">
        <v>8</v>
      </c>
      <c r="E180" s="74">
        <v>-13</v>
      </c>
      <c r="F180" s="74">
        <v>-23</v>
      </c>
      <c r="G180" s="74">
        <v>-96</v>
      </c>
      <c r="H180" s="74">
        <v>-29</v>
      </c>
      <c r="I180" s="74">
        <v>-235</v>
      </c>
      <c r="J180" s="74">
        <v>-54</v>
      </c>
      <c r="K180" s="74">
        <v>-33</v>
      </c>
      <c r="L180" s="74">
        <v>-136</v>
      </c>
      <c r="M180" s="75">
        <v>84</v>
      </c>
      <c r="N180" s="17"/>
      <c r="O180" s="17"/>
      <c r="P180" s="17"/>
      <c r="Q180" s="17"/>
      <c r="R180" s="17"/>
      <c r="S180" s="17"/>
      <c r="T180" s="17"/>
      <c r="U180" s="18"/>
      <c r="V180" s="18"/>
      <c r="W180" s="18"/>
      <c r="X180" s="18"/>
      <c r="Y180" s="18"/>
      <c r="Z180" s="18"/>
      <c r="AA180" s="18"/>
      <c r="AB180" s="18"/>
      <c r="AC180" s="18"/>
      <c r="AD180" s="18"/>
      <c r="AE180" s="18" t="s">
        <v>253</v>
      </c>
      <c r="AF180" s="85">
        <v>0</v>
      </c>
      <c r="AG180" s="85">
        <v>0</v>
      </c>
      <c r="AH180" s="85">
        <v>0</v>
      </c>
      <c r="AI180" s="85">
        <v>0</v>
      </c>
      <c r="AJ180" s="85">
        <v>0</v>
      </c>
      <c r="AK180" s="85">
        <v>0</v>
      </c>
      <c r="AL180" s="85">
        <v>0</v>
      </c>
      <c r="AM180" s="85">
        <v>0</v>
      </c>
      <c r="AN180" s="18"/>
      <c r="AO180" s="18"/>
      <c r="AP180" s="77" t="s">
        <v>253</v>
      </c>
      <c r="AQ180" s="86">
        <v>-27</v>
      </c>
      <c r="AR180" s="86">
        <v>8</v>
      </c>
      <c r="AS180" s="86">
        <v>-13</v>
      </c>
      <c r="AT180" s="86">
        <v>-23</v>
      </c>
      <c r="AU180" s="86">
        <v>-96</v>
      </c>
      <c r="AV180" s="86">
        <v>-29</v>
      </c>
      <c r="AW180" s="86">
        <v>-235</v>
      </c>
      <c r="AX180" s="86">
        <v>-54</v>
      </c>
      <c r="AY180" s="86">
        <v>-33</v>
      </c>
      <c r="AZ180" s="86">
        <v>-136</v>
      </c>
      <c r="BA180" s="87">
        <v>84</v>
      </c>
      <c r="BB180" s="18"/>
      <c r="BC180" s="18"/>
      <c r="BD180" s="18"/>
      <c r="BE180" s="18"/>
      <c r="BF180" s="18"/>
      <c r="BG180" s="18"/>
      <c r="BH180" s="18"/>
      <c r="BI180" s="18"/>
      <c r="BJ180" s="18"/>
      <c r="BK180" s="18"/>
      <c r="BL180" s="18"/>
      <c r="BM180" s="18"/>
      <c r="BN180" s="18"/>
      <c r="BO180" s="18"/>
      <c r="BP180" s="18"/>
      <c r="BQ180" s="37"/>
      <c r="BR180" s="38"/>
      <c r="BS180" s="17"/>
      <c r="BT180" s="37"/>
      <c r="BU180" s="38"/>
      <c r="BV180" s="18"/>
      <c r="BW180" s="37"/>
      <c r="BX180" s="38"/>
      <c r="BY180" s="18"/>
      <c r="BZ180" s="39" t="s">
        <v>829</v>
      </c>
      <c r="CA180" s="40" t="s">
        <v>829</v>
      </c>
      <c r="CB180" s="17"/>
      <c r="CC180" s="39" t="s">
        <v>829</v>
      </c>
      <c r="CD180" s="40" t="s">
        <v>829</v>
      </c>
      <c r="CE180" s="18"/>
      <c r="CF180" s="18"/>
      <c r="CG180" s="18"/>
      <c r="CH180" s="18"/>
      <c r="CI180" s="18"/>
      <c r="CJ180" s="18"/>
      <c r="CK180" s="18"/>
      <c r="CL180" s="18"/>
      <c r="CM180" s="18"/>
      <c r="CN180" s="18"/>
      <c r="CO180" s="18"/>
      <c r="CP180" s="18"/>
      <c r="CQ180" s="18"/>
      <c r="CR180" s="18"/>
      <c r="CS180" s="18"/>
      <c r="CT180" s="18"/>
      <c r="CU180" s="18"/>
      <c r="CV180" s="18"/>
      <c r="CW180" s="18"/>
      <c r="CX180" s="18"/>
      <c r="CY180" s="37"/>
      <c r="CZ180" s="38"/>
      <c r="DA180" s="18"/>
      <c r="DB180" s="37">
        <v>44109</v>
      </c>
      <c r="DC180" s="38">
        <v>18.116499999999998</v>
      </c>
      <c r="DD180" s="18"/>
      <c r="DE180" s="37">
        <v>44109</v>
      </c>
      <c r="DF180" s="38">
        <v>16.5837</v>
      </c>
      <c r="DG180" s="18"/>
      <c r="DH180" s="37">
        <v>44109</v>
      </c>
      <c r="DI180" s="38">
        <v>21.5228</v>
      </c>
      <c r="DJ180" s="18"/>
      <c r="DK180" s="37">
        <v>44109</v>
      </c>
      <c r="DL180" s="38">
        <v>0.15679999999999999</v>
      </c>
      <c r="DM180" s="18"/>
      <c r="DN180" s="18"/>
      <c r="DO180" s="18"/>
      <c r="DP180" s="18"/>
      <c r="DQ180" s="18"/>
      <c r="DR180" s="18"/>
      <c r="DS180" s="18"/>
      <c r="DT180" s="18"/>
      <c r="DU180" s="18"/>
      <c r="DV180" s="18"/>
      <c r="DW180" s="18"/>
      <c r="DX180" s="18"/>
      <c r="DY180" s="18"/>
      <c r="DZ180" s="18"/>
    </row>
    <row r="181" spans="1:130" ht="15" customHeight="1" x14ac:dyDescent="0.3">
      <c r="A181" s="30" t="s">
        <v>400</v>
      </c>
      <c r="B181" s="90" t="s">
        <v>254</v>
      </c>
      <c r="C181" s="91">
        <v>-597</v>
      </c>
      <c r="D181" s="91">
        <v>-1327</v>
      </c>
      <c r="E181" s="91">
        <v>-283</v>
      </c>
      <c r="F181" s="91">
        <v>-1832</v>
      </c>
      <c r="G181" s="91">
        <v>-446</v>
      </c>
      <c r="H181" s="91">
        <v>-57</v>
      </c>
      <c r="I181" s="91">
        <v>-1638</v>
      </c>
      <c r="J181" s="91">
        <v>165</v>
      </c>
      <c r="K181" s="91">
        <v>-985</v>
      </c>
      <c r="L181" s="91">
        <v>-2206</v>
      </c>
      <c r="M181" s="92">
        <v>-360</v>
      </c>
      <c r="N181" s="17"/>
      <c r="O181" s="17"/>
      <c r="P181" s="17"/>
      <c r="Q181" s="17"/>
      <c r="R181" s="17"/>
      <c r="S181" s="17"/>
      <c r="T181" s="17"/>
      <c r="U181" s="18"/>
      <c r="V181" s="18"/>
      <c r="W181" s="18"/>
      <c r="X181" s="18"/>
      <c r="Y181" s="18"/>
      <c r="Z181" s="18"/>
      <c r="AA181" s="18"/>
      <c r="AB181" s="18"/>
      <c r="AC181" s="18"/>
      <c r="AD181" s="18"/>
      <c r="AE181" s="18" t="s">
        <v>254</v>
      </c>
      <c r="AF181" s="85">
        <v>0</v>
      </c>
      <c r="AG181" s="85">
        <v>0</v>
      </c>
      <c r="AH181" s="85">
        <v>0</v>
      </c>
      <c r="AI181" s="85">
        <v>0</v>
      </c>
      <c r="AJ181" s="85">
        <v>0</v>
      </c>
      <c r="AK181" s="85">
        <v>0</v>
      </c>
      <c r="AL181" s="85">
        <v>0</v>
      </c>
      <c r="AM181" s="85">
        <v>0</v>
      </c>
      <c r="AN181" s="18"/>
      <c r="AO181" s="18"/>
      <c r="AP181" s="102" t="s">
        <v>254</v>
      </c>
      <c r="AQ181" s="86">
        <v>-597</v>
      </c>
      <c r="AR181" s="86">
        <v>-1327</v>
      </c>
      <c r="AS181" s="86">
        <v>-283</v>
      </c>
      <c r="AT181" s="86">
        <v>-1832</v>
      </c>
      <c r="AU181" s="86">
        <v>-446</v>
      </c>
      <c r="AV181" s="86">
        <v>-57</v>
      </c>
      <c r="AW181" s="86">
        <v>-1638</v>
      </c>
      <c r="AX181" s="86">
        <v>165</v>
      </c>
      <c r="AY181" s="86">
        <v>-985</v>
      </c>
      <c r="AZ181" s="86">
        <v>-2206</v>
      </c>
      <c r="BA181" s="87">
        <v>-360</v>
      </c>
      <c r="BB181" s="18"/>
      <c r="BC181" s="18"/>
      <c r="BD181" s="18"/>
      <c r="BE181" s="18"/>
      <c r="BF181" s="18"/>
      <c r="BG181" s="18"/>
      <c r="BH181" s="18"/>
      <c r="BI181" s="18"/>
      <c r="BJ181" s="18"/>
      <c r="BK181" s="18"/>
      <c r="BL181" s="18"/>
      <c r="BM181" s="18"/>
      <c r="BN181" s="18"/>
      <c r="BO181" s="18"/>
      <c r="BP181" s="18"/>
      <c r="BQ181" s="37"/>
      <c r="BR181" s="38"/>
      <c r="BS181" s="17"/>
      <c r="BT181" s="37"/>
      <c r="BU181" s="38"/>
      <c r="BV181" s="18"/>
      <c r="BW181" s="37"/>
      <c r="BX181" s="38"/>
      <c r="BY181" s="18"/>
      <c r="BZ181" s="39" t="s">
        <v>829</v>
      </c>
      <c r="CA181" s="40" t="s">
        <v>829</v>
      </c>
      <c r="CB181" s="17"/>
      <c r="CC181" s="39" t="s">
        <v>829</v>
      </c>
      <c r="CD181" s="40" t="s">
        <v>829</v>
      </c>
      <c r="CE181" s="18"/>
      <c r="CF181" s="18"/>
      <c r="CG181" s="18"/>
      <c r="CH181" s="18"/>
      <c r="CI181" s="18"/>
      <c r="CJ181" s="18"/>
      <c r="CK181" s="18"/>
      <c r="CL181" s="18"/>
      <c r="CM181" s="18"/>
      <c r="CN181" s="18"/>
      <c r="CO181" s="18"/>
      <c r="CP181" s="18"/>
      <c r="CQ181" s="18"/>
      <c r="CR181" s="18"/>
      <c r="CS181" s="18"/>
      <c r="CT181" s="18"/>
      <c r="CU181" s="18"/>
      <c r="CV181" s="18"/>
      <c r="CW181" s="18"/>
      <c r="CX181" s="18"/>
      <c r="CY181" s="37"/>
      <c r="CZ181" s="38"/>
      <c r="DA181" s="18"/>
      <c r="DB181" s="37">
        <v>44110</v>
      </c>
      <c r="DC181" s="38">
        <v>18.225300000000001</v>
      </c>
      <c r="DD181" s="18"/>
      <c r="DE181" s="37">
        <v>44110</v>
      </c>
      <c r="DF181" s="38">
        <v>16.732600000000001</v>
      </c>
      <c r="DG181" s="18"/>
      <c r="DH181" s="37">
        <v>44110</v>
      </c>
      <c r="DI181" s="38">
        <v>21.542100000000001</v>
      </c>
      <c r="DJ181" s="18"/>
      <c r="DK181" s="37">
        <v>44110</v>
      </c>
      <c r="DL181" s="38">
        <v>0.15840000000000001</v>
      </c>
      <c r="DM181" s="18"/>
      <c r="DN181" s="18"/>
      <c r="DO181" s="18"/>
      <c r="DP181" s="18"/>
      <c r="DQ181" s="18"/>
      <c r="DR181" s="18"/>
      <c r="DS181" s="18"/>
      <c r="DT181" s="18"/>
      <c r="DU181" s="18"/>
      <c r="DV181" s="18"/>
      <c r="DW181" s="18"/>
      <c r="DX181" s="18"/>
      <c r="DY181" s="18"/>
      <c r="DZ181" s="18"/>
    </row>
    <row r="182" spans="1:130" ht="15" customHeight="1" x14ac:dyDescent="0.3">
      <c r="A182" s="30" t="s">
        <v>184</v>
      </c>
      <c r="B182" s="90" t="s">
        <v>460</v>
      </c>
      <c r="C182" s="91">
        <v>39</v>
      </c>
      <c r="D182" s="91">
        <v>11</v>
      </c>
      <c r="E182" s="91">
        <v>-281</v>
      </c>
      <c r="F182" s="91">
        <v>362</v>
      </c>
      <c r="G182" s="91">
        <v>-1189</v>
      </c>
      <c r="H182" s="91">
        <v>577</v>
      </c>
      <c r="I182" s="91">
        <v>-497</v>
      </c>
      <c r="J182" s="91">
        <v>770</v>
      </c>
      <c r="K182" s="91">
        <v>203</v>
      </c>
      <c r="L182" s="91">
        <v>-908</v>
      </c>
      <c r="M182" s="92">
        <v>691</v>
      </c>
      <c r="N182" s="17"/>
      <c r="O182" s="17"/>
      <c r="P182" s="17"/>
      <c r="Q182" s="17"/>
      <c r="R182" s="17"/>
      <c r="S182" s="17"/>
      <c r="T182" s="17"/>
      <c r="U182" s="18"/>
      <c r="V182" s="18"/>
      <c r="W182" s="18"/>
      <c r="X182" s="18"/>
      <c r="Y182" s="18"/>
      <c r="Z182" s="18"/>
      <c r="AA182" s="18"/>
      <c r="AB182" s="18"/>
      <c r="AC182" s="18"/>
      <c r="AD182" s="18"/>
      <c r="AE182" s="18" t="s">
        <v>460</v>
      </c>
      <c r="AF182" s="85">
        <v>0</v>
      </c>
      <c r="AG182" s="85">
        <v>0</v>
      </c>
      <c r="AH182" s="85">
        <v>0</v>
      </c>
      <c r="AI182" s="85">
        <v>0</v>
      </c>
      <c r="AJ182" s="85">
        <v>0</v>
      </c>
      <c r="AK182" s="85">
        <v>0</v>
      </c>
      <c r="AL182" s="85">
        <v>0</v>
      </c>
      <c r="AM182" s="85">
        <v>0</v>
      </c>
      <c r="AN182" s="18"/>
      <c r="AO182" s="18"/>
      <c r="AP182" s="77" t="s">
        <v>460</v>
      </c>
      <c r="AQ182" s="18">
        <v>39</v>
      </c>
      <c r="AR182" s="18">
        <v>11</v>
      </c>
      <c r="AS182" s="18">
        <v>-281</v>
      </c>
      <c r="AT182" s="18">
        <v>362</v>
      </c>
      <c r="AU182" s="18">
        <v>-1189</v>
      </c>
      <c r="AV182" s="18">
        <v>577</v>
      </c>
      <c r="AW182" s="18">
        <v>-497</v>
      </c>
      <c r="AX182" s="18">
        <v>770</v>
      </c>
      <c r="AY182" s="18">
        <v>203</v>
      </c>
      <c r="AZ182" s="18">
        <v>-908</v>
      </c>
      <c r="BA182" s="78">
        <v>691</v>
      </c>
      <c r="BB182" s="18"/>
      <c r="BC182" s="18"/>
      <c r="BD182" s="18"/>
      <c r="BE182" s="18"/>
      <c r="BF182" s="18"/>
      <c r="BG182" s="18"/>
      <c r="BH182" s="18"/>
      <c r="BI182" s="18"/>
      <c r="BJ182" s="18"/>
      <c r="BK182" s="18"/>
      <c r="BL182" s="18"/>
      <c r="BM182" s="18"/>
      <c r="BN182" s="18"/>
      <c r="BO182" s="18"/>
      <c r="BP182" s="18"/>
      <c r="BQ182" s="37"/>
      <c r="BR182" s="38"/>
      <c r="BS182" s="17"/>
      <c r="BT182" s="37"/>
      <c r="BU182" s="38"/>
      <c r="BV182" s="18"/>
      <c r="BW182" s="37"/>
      <c r="BX182" s="38"/>
      <c r="BY182" s="18"/>
      <c r="BZ182" s="39" t="s">
        <v>829</v>
      </c>
      <c r="CA182" s="40" t="s">
        <v>829</v>
      </c>
      <c r="CB182" s="17"/>
      <c r="CC182" s="39" t="s">
        <v>829</v>
      </c>
      <c r="CD182" s="40" t="s">
        <v>829</v>
      </c>
      <c r="CE182" s="18"/>
      <c r="CF182" s="18"/>
      <c r="CG182" s="18"/>
      <c r="CH182" s="18"/>
      <c r="CI182" s="18"/>
      <c r="CJ182" s="18"/>
      <c r="CK182" s="18"/>
      <c r="CL182" s="18"/>
      <c r="CM182" s="18"/>
      <c r="CN182" s="18"/>
      <c r="CO182" s="18"/>
      <c r="CP182" s="18"/>
      <c r="CQ182" s="18"/>
      <c r="CR182" s="18"/>
      <c r="CS182" s="18"/>
      <c r="CT182" s="18"/>
      <c r="CU182" s="18"/>
      <c r="CV182" s="18"/>
      <c r="CW182" s="18"/>
      <c r="CX182" s="18"/>
      <c r="CY182" s="37"/>
      <c r="CZ182" s="38"/>
      <c r="DA182" s="18"/>
      <c r="DB182" s="37">
        <v>44111</v>
      </c>
      <c r="DC182" s="38">
        <v>18.125</v>
      </c>
      <c r="DD182" s="18"/>
      <c r="DE182" s="37">
        <v>44111</v>
      </c>
      <c r="DF182" s="38">
        <v>16.626300000000001</v>
      </c>
      <c r="DG182" s="18"/>
      <c r="DH182" s="37">
        <v>44111</v>
      </c>
      <c r="DI182" s="38">
        <v>21.480699999999999</v>
      </c>
      <c r="DJ182" s="18"/>
      <c r="DK182" s="37">
        <v>44111</v>
      </c>
      <c r="DL182" s="38">
        <v>0.15690000000000001</v>
      </c>
      <c r="DM182" s="18"/>
      <c r="DN182" s="18"/>
      <c r="DO182" s="18"/>
      <c r="DP182" s="18"/>
      <c r="DQ182" s="18"/>
      <c r="DR182" s="18"/>
      <c r="DS182" s="18"/>
      <c r="DT182" s="18"/>
      <c r="DU182" s="18"/>
      <c r="DV182" s="18"/>
      <c r="DW182" s="18"/>
      <c r="DX182" s="18"/>
      <c r="DY182" s="18"/>
      <c r="DZ182" s="18"/>
    </row>
    <row r="183" spans="1:130" ht="15" customHeight="1" x14ac:dyDescent="0.3">
      <c r="A183" s="30" t="s">
        <v>97</v>
      </c>
      <c r="B183" s="73" t="s">
        <v>97</v>
      </c>
      <c r="C183" s="74">
        <v>3485</v>
      </c>
      <c r="D183" s="74">
        <v>3244</v>
      </c>
      <c r="E183" s="74">
        <v>2732</v>
      </c>
      <c r="F183" s="74">
        <v>4388</v>
      </c>
      <c r="G183" s="74">
        <v>2904</v>
      </c>
      <c r="H183" s="74">
        <v>4833</v>
      </c>
      <c r="I183" s="74">
        <v>5539</v>
      </c>
      <c r="J183" s="74">
        <v>4981</v>
      </c>
      <c r="K183" s="74">
        <v>4404</v>
      </c>
      <c r="L183" s="74">
        <v>7343</v>
      </c>
      <c r="M183" s="75">
        <v>-5615</v>
      </c>
      <c r="N183" s="17"/>
      <c r="O183" s="17"/>
      <c r="P183" s="17"/>
      <c r="Q183" s="17"/>
      <c r="R183" s="17"/>
      <c r="S183" s="17"/>
      <c r="T183" s="17"/>
      <c r="U183" s="18"/>
      <c r="V183" s="18"/>
      <c r="W183" s="18"/>
      <c r="X183" s="18"/>
      <c r="Y183" s="18"/>
      <c r="Z183" s="18"/>
      <c r="AA183" s="18"/>
      <c r="AB183" s="18"/>
      <c r="AC183" s="18"/>
      <c r="AD183" s="18"/>
      <c r="AE183" s="18" t="s">
        <v>97</v>
      </c>
      <c r="AF183" s="85" t="s">
        <v>97</v>
      </c>
      <c r="AG183" s="85">
        <v>3485</v>
      </c>
      <c r="AH183" s="85">
        <v>3244</v>
      </c>
      <c r="AI183" s="85">
        <v>2732</v>
      </c>
      <c r="AJ183" s="85">
        <v>4388</v>
      </c>
      <c r="AK183" s="85">
        <v>2904</v>
      </c>
      <c r="AL183" s="85">
        <v>4833</v>
      </c>
      <c r="AM183" s="85">
        <v>5539</v>
      </c>
      <c r="AN183" s="18">
        <v>4981</v>
      </c>
      <c r="AO183" s="18">
        <v>4404</v>
      </c>
      <c r="AP183" s="77">
        <v>7343</v>
      </c>
      <c r="AQ183" s="18">
        <v>-5615</v>
      </c>
      <c r="AR183" s="18">
        <v>-5615</v>
      </c>
      <c r="AS183" s="18">
        <v>1416.6</v>
      </c>
      <c r="AT183" s="18"/>
      <c r="AU183" s="18"/>
      <c r="AV183" s="18"/>
      <c r="AW183" s="18"/>
      <c r="AX183" s="18"/>
      <c r="AY183" s="18"/>
      <c r="AZ183" s="18"/>
      <c r="BA183" s="78"/>
      <c r="BB183" s="18"/>
      <c r="BC183" s="18"/>
      <c r="BD183" s="18"/>
      <c r="BE183" s="18"/>
      <c r="BF183" s="18"/>
      <c r="BG183" s="18"/>
      <c r="BH183" s="18"/>
      <c r="BI183" s="18"/>
      <c r="BJ183" s="18"/>
      <c r="BK183" s="18"/>
      <c r="BL183" s="18"/>
      <c r="BM183" s="18"/>
      <c r="BN183" s="18"/>
      <c r="BO183" s="18"/>
      <c r="BP183" s="18"/>
      <c r="BQ183" s="37"/>
      <c r="BR183" s="38"/>
      <c r="BS183" s="17"/>
      <c r="BT183" s="37"/>
      <c r="BU183" s="38"/>
      <c r="BV183" s="18"/>
      <c r="BW183" s="37"/>
      <c r="BX183" s="38"/>
      <c r="BY183" s="18"/>
      <c r="BZ183" s="39" t="s">
        <v>829</v>
      </c>
      <c r="CA183" s="40" t="s">
        <v>829</v>
      </c>
      <c r="CB183" s="17"/>
      <c r="CC183" s="39" t="s">
        <v>829</v>
      </c>
      <c r="CD183" s="40" t="s">
        <v>829</v>
      </c>
      <c r="CE183" s="18"/>
      <c r="CF183" s="18"/>
      <c r="CG183" s="18"/>
      <c r="CH183" s="18"/>
      <c r="CI183" s="18"/>
      <c r="CJ183" s="18"/>
      <c r="CK183" s="18"/>
      <c r="CL183" s="18"/>
      <c r="CM183" s="18"/>
      <c r="CN183" s="18"/>
      <c r="CO183" s="18"/>
      <c r="CP183" s="18"/>
      <c r="CQ183" s="18"/>
      <c r="CR183" s="18"/>
      <c r="CS183" s="18"/>
      <c r="CT183" s="18"/>
      <c r="CU183" s="18"/>
      <c r="CV183" s="18"/>
      <c r="CW183" s="18"/>
      <c r="CX183" s="18"/>
      <c r="CY183" s="37"/>
      <c r="CZ183" s="38"/>
      <c r="DA183" s="18"/>
      <c r="DB183" s="37">
        <v>44112</v>
      </c>
      <c r="DC183" s="38">
        <v>18.091799999999999</v>
      </c>
      <c r="DD183" s="18"/>
      <c r="DE183" s="37">
        <v>44112</v>
      </c>
      <c r="DF183" s="38">
        <v>16.590399999999999</v>
      </c>
      <c r="DG183" s="18"/>
      <c r="DH183" s="37">
        <v>44112</v>
      </c>
      <c r="DI183" s="38">
        <v>21.464300000000001</v>
      </c>
      <c r="DJ183" s="18"/>
      <c r="DK183" s="37">
        <v>44112</v>
      </c>
      <c r="DL183" s="38">
        <v>0.1565</v>
      </c>
      <c r="DM183" s="18"/>
      <c r="DN183" s="18"/>
      <c r="DO183" s="18"/>
      <c r="DP183" s="18"/>
      <c r="DQ183" s="18"/>
      <c r="DR183" s="18"/>
      <c r="DS183" s="18"/>
      <c r="DT183" s="18"/>
      <c r="DU183" s="18"/>
      <c r="DV183" s="18"/>
      <c r="DW183" s="18"/>
      <c r="DX183" s="18"/>
      <c r="DY183" s="18"/>
      <c r="DZ183" s="18"/>
    </row>
    <row r="184" spans="1:130" ht="15" customHeight="1" x14ac:dyDescent="0.3">
      <c r="A184" s="30" t="s">
        <v>176</v>
      </c>
      <c r="B184" s="73" t="s">
        <v>461</v>
      </c>
      <c r="C184" s="74">
        <v>439</v>
      </c>
      <c r="D184" s="74">
        <v>618</v>
      </c>
      <c r="E184" s="74">
        <v>601</v>
      </c>
      <c r="F184" s="74">
        <v>967</v>
      </c>
      <c r="G184" s="74">
        <v>916</v>
      </c>
      <c r="H184" s="74">
        <v>874</v>
      </c>
      <c r="I184" s="74">
        <v>950</v>
      </c>
      <c r="J184" s="74">
        <v>1104</v>
      </c>
      <c r="K184" s="74">
        <v>822</v>
      </c>
      <c r="L184" s="74">
        <v>725</v>
      </c>
      <c r="M184" s="75">
        <v>740</v>
      </c>
      <c r="N184" s="17"/>
      <c r="O184" s="17"/>
      <c r="P184" s="17"/>
      <c r="Q184" s="17"/>
      <c r="R184" s="17"/>
      <c r="S184" s="17"/>
      <c r="T184" s="17"/>
      <c r="U184" s="18"/>
      <c r="V184" s="18"/>
      <c r="W184" s="18"/>
      <c r="X184" s="18"/>
      <c r="Y184" s="18"/>
      <c r="Z184" s="18"/>
      <c r="AA184" s="18"/>
      <c r="AB184" s="18"/>
      <c r="AC184" s="18"/>
      <c r="AD184" s="18"/>
      <c r="AE184" s="18" t="s">
        <v>461</v>
      </c>
      <c r="AF184" s="85">
        <v>0</v>
      </c>
      <c r="AG184" s="85">
        <v>0</v>
      </c>
      <c r="AH184" s="85">
        <v>0</v>
      </c>
      <c r="AI184" s="85">
        <v>0</v>
      </c>
      <c r="AJ184" s="85">
        <v>0</v>
      </c>
      <c r="AK184" s="85">
        <v>0</v>
      </c>
      <c r="AL184" s="85">
        <v>0</v>
      </c>
      <c r="AM184" s="85">
        <v>0</v>
      </c>
      <c r="AN184" s="18"/>
      <c r="AO184" s="18"/>
      <c r="AP184" s="77" t="s">
        <v>461</v>
      </c>
      <c r="AQ184" s="18">
        <v>439</v>
      </c>
      <c r="AR184" s="18">
        <v>618</v>
      </c>
      <c r="AS184" s="18">
        <v>601</v>
      </c>
      <c r="AT184" s="18">
        <v>967</v>
      </c>
      <c r="AU184" s="18">
        <v>916</v>
      </c>
      <c r="AV184" s="18">
        <v>874</v>
      </c>
      <c r="AW184" s="18">
        <v>950</v>
      </c>
      <c r="AX184" s="18">
        <v>1104</v>
      </c>
      <c r="AY184" s="18">
        <v>822</v>
      </c>
      <c r="AZ184" s="18">
        <v>725</v>
      </c>
      <c r="BA184" s="78">
        <v>740</v>
      </c>
      <c r="BB184" s="18"/>
      <c r="BC184" s="18"/>
      <c r="BD184" s="18"/>
      <c r="BE184" s="18"/>
      <c r="BF184" s="18"/>
      <c r="BG184" s="18"/>
      <c r="BH184" s="18"/>
      <c r="BI184" s="18"/>
      <c r="BJ184" s="18"/>
      <c r="BK184" s="18"/>
      <c r="BL184" s="18"/>
      <c r="BM184" s="18"/>
      <c r="BN184" s="18"/>
      <c r="BO184" s="18"/>
      <c r="BP184" s="18"/>
      <c r="BQ184" s="37"/>
      <c r="BR184" s="38"/>
      <c r="BS184" s="17"/>
      <c r="BT184" s="37"/>
      <c r="BU184" s="38"/>
      <c r="BV184" s="18"/>
      <c r="BW184" s="37"/>
      <c r="BX184" s="38"/>
      <c r="BY184" s="18"/>
      <c r="BZ184" s="39" t="s">
        <v>829</v>
      </c>
      <c r="CA184" s="40" t="s">
        <v>829</v>
      </c>
      <c r="CB184" s="17"/>
      <c r="CC184" s="39" t="s">
        <v>829</v>
      </c>
      <c r="CD184" s="40" t="s">
        <v>829</v>
      </c>
      <c r="CE184" s="18"/>
      <c r="CF184" s="18"/>
      <c r="CG184" s="18"/>
      <c r="CH184" s="18"/>
      <c r="CI184" s="18"/>
      <c r="CJ184" s="18"/>
      <c r="CK184" s="18"/>
      <c r="CL184" s="18"/>
      <c r="CM184" s="18"/>
      <c r="CN184" s="18"/>
      <c r="CO184" s="18"/>
      <c r="CP184" s="18"/>
      <c r="CQ184" s="18"/>
      <c r="CR184" s="18"/>
      <c r="CS184" s="18"/>
      <c r="CT184" s="18"/>
      <c r="CU184" s="18"/>
      <c r="CV184" s="18"/>
      <c r="CW184" s="18"/>
      <c r="CX184" s="18"/>
      <c r="CY184" s="37"/>
      <c r="CZ184" s="38"/>
      <c r="DA184" s="18"/>
      <c r="DB184" s="37">
        <v>44113</v>
      </c>
      <c r="DC184" s="38">
        <v>18.097799999999999</v>
      </c>
      <c r="DD184" s="18"/>
      <c r="DE184" s="37">
        <v>44113</v>
      </c>
      <c r="DF184" s="38">
        <v>16.467500000000001</v>
      </c>
      <c r="DG184" s="18"/>
      <c r="DH184" s="37">
        <v>44113</v>
      </c>
      <c r="DI184" s="38">
        <v>21.481400000000001</v>
      </c>
      <c r="DJ184" s="18"/>
      <c r="DK184" s="37">
        <v>44113</v>
      </c>
      <c r="DL184" s="38">
        <v>0.15590000000000001</v>
      </c>
      <c r="DM184" s="18"/>
      <c r="DN184" s="18"/>
      <c r="DO184" s="18"/>
      <c r="DP184" s="18"/>
      <c r="DQ184" s="18"/>
      <c r="DR184" s="18"/>
      <c r="DS184" s="18"/>
      <c r="DT184" s="18"/>
      <c r="DU184" s="18"/>
      <c r="DV184" s="18"/>
      <c r="DW184" s="18"/>
      <c r="DX184" s="18"/>
      <c r="DY184" s="18"/>
      <c r="DZ184" s="18"/>
    </row>
    <row r="185" spans="1:130" ht="15" customHeight="1" x14ac:dyDescent="0.3">
      <c r="A185" s="30" t="s">
        <v>401</v>
      </c>
      <c r="B185" s="73" t="s">
        <v>255</v>
      </c>
      <c r="C185" s="74">
        <v>828</v>
      </c>
      <c r="D185" s="74">
        <v>812</v>
      </c>
      <c r="E185" s="74">
        <v>947</v>
      </c>
      <c r="F185" s="74">
        <v>602</v>
      </c>
      <c r="G185" s="74">
        <v>729</v>
      </c>
      <c r="H185" s="74">
        <v>732</v>
      </c>
      <c r="I185" s="74">
        <v>678</v>
      </c>
      <c r="J185" s="74">
        <v>600</v>
      </c>
      <c r="K185" s="74">
        <v>545</v>
      </c>
      <c r="L185" s="74">
        <v>812</v>
      </c>
      <c r="M185" s="75">
        <v>1976</v>
      </c>
      <c r="N185" s="17"/>
      <c r="O185" s="17"/>
      <c r="P185" s="17"/>
      <c r="Q185" s="17"/>
      <c r="R185" s="17"/>
      <c r="S185" s="17"/>
      <c r="T185" s="17"/>
      <c r="U185" s="18"/>
      <c r="V185" s="18"/>
      <c r="W185" s="18"/>
      <c r="X185" s="18"/>
      <c r="Y185" s="18"/>
      <c r="Z185" s="18"/>
      <c r="AA185" s="18"/>
      <c r="AB185" s="18"/>
      <c r="AC185" s="18"/>
      <c r="AD185" s="18"/>
      <c r="AE185" s="18" t="s">
        <v>255</v>
      </c>
      <c r="AF185" s="85">
        <v>0</v>
      </c>
      <c r="AG185" s="85">
        <v>0</v>
      </c>
      <c r="AH185" s="85">
        <v>0</v>
      </c>
      <c r="AI185" s="85">
        <v>0</v>
      </c>
      <c r="AJ185" s="85">
        <v>0</v>
      </c>
      <c r="AK185" s="85">
        <v>0</v>
      </c>
      <c r="AL185" s="85">
        <v>0</v>
      </c>
      <c r="AM185" s="85">
        <v>0</v>
      </c>
      <c r="AN185" s="18"/>
      <c r="AO185" s="18"/>
      <c r="AP185" s="77" t="s">
        <v>255</v>
      </c>
      <c r="AQ185" s="18">
        <v>828</v>
      </c>
      <c r="AR185" s="18">
        <v>812</v>
      </c>
      <c r="AS185" s="18">
        <v>947</v>
      </c>
      <c r="AT185" s="18">
        <v>602</v>
      </c>
      <c r="AU185" s="18">
        <v>729</v>
      </c>
      <c r="AV185" s="18">
        <v>732</v>
      </c>
      <c r="AW185" s="18">
        <v>678</v>
      </c>
      <c r="AX185" s="18">
        <v>600</v>
      </c>
      <c r="AY185" s="18">
        <v>545</v>
      </c>
      <c r="AZ185" s="18">
        <v>812</v>
      </c>
      <c r="BA185" s="78">
        <v>1976</v>
      </c>
      <c r="BB185" s="18"/>
      <c r="BC185" s="18"/>
      <c r="BD185" s="18"/>
      <c r="BE185" s="18"/>
      <c r="BF185" s="18"/>
      <c r="BG185" s="18"/>
      <c r="BH185" s="18"/>
      <c r="BI185" s="18"/>
      <c r="BJ185" s="18"/>
      <c r="BK185" s="18"/>
      <c r="BL185" s="18"/>
      <c r="BM185" s="18"/>
      <c r="BN185" s="18"/>
      <c r="BO185" s="18"/>
      <c r="BP185" s="18"/>
      <c r="BQ185" s="37"/>
      <c r="BR185" s="38"/>
      <c r="BS185" s="17"/>
      <c r="BT185" s="37"/>
      <c r="BU185" s="38"/>
      <c r="BV185" s="18"/>
      <c r="BW185" s="37"/>
      <c r="BX185" s="38"/>
      <c r="BY185" s="18"/>
      <c r="BZ185" s="39" t="s">
        <v>829</v>
      </c>
      <c r="CA185" s="40" t="s">
        <v>829</v>
      </c>
      <c r="CB185" s="17"/>
      <c r="CC185" s="39" t="s">
        <v>829</v>
      </c>
      <c r="CD185" s="40" t="s">
        <v>829</v>
      </c>
      <c r="CE185" s="18"/>
      <c r="CF185" s="18"/>
      <c r="CG185" s="18"/>
      <c r="CH185" s="18"/>
      <c r="CI185" s="18"/>
      <c r="CJ185" s="18"/>
      <c r="CK185" s="18"/>
      <c r="CL185" s="18"/>
      <c r="CM185" s="18"/>
      <c r="CN185" s="18"/>
      <c r="CO185" s="18"/>
      <c r="CP185" s="18"/>
      <c r="CQ185" s="18"/>
      <c r="CR185" s="18"/>
      <c r="CS185" s="18"/>
      <c r="CT185" s="18"/>
      <c r="CU185" s="18"/>
      <c r="CV185" s="18"/>
      <c r="CW185" s="18"/>
      <c r="CX185" s="18"/>
      <c r="CY185" s="37"/>
      <c r="CZ185" s="38"/>
      <c r="DA185" s="18"/>
      <c r="DB185" s="37">
        <v>44116</v>
      </c>
      <c r="DC185" s="38">
        <v>18.159600000000001</v>
      </c>
      <c r="DD185" s="18"/>
      <c r="DE185" s="37">
        <v>44116</v>
      </c>
      <c r="DF185" s="38">
        <v>16.511700000000001</v>
      </c>
      <c r="DG185" s="18"/>
      <c r="DH185" s="37">
        <v>44116</v>
      </c>
      <c r="DI185" s="38">
        <v>21.573399999999999</v>
      </c>
      <c r="DJ185" s="18"/>
      <c r="DK185" s="37">
        <v>44116</v>
      </c>
      <c r="DL185" s="38">
        <v>0.15679999999999999</v>
      </c>
      <c r="DM185" s="18"/>
      <c r="DN185" s="18"/>
      <c r="DO185" s="18"/>
      <c r="DP185" s="18"/>
      <c r="DQ185" s="18"/>
      <c r="DR185" s="18"/>
      <c r="DS185" s="18"/>
      <c r="DT185" s="18"/>
      <c r="DU185" s="18"/>
      <c r="DV185" s="18"/>
      <c r="DW185" s="18"/>
      <c r="DX185" s="18"/>
      <c r="DY185" s="18"/>
      <c r="DZ185" s="18"/>
    </row>
    <row r="186" spans="1:130" ht="15" customHeight="1" x14ac:dyDescent="0.3">
      <c r="A186" s="30" t="s">
        <v>402</v>
      </c>
      <c r="B186" s="73" t="s">
        <v>256</v>
      </c>
      <c r="C186" s="74" t="s">
        <v>615</v>
      </c>
      <c r="D186" s="74" t="s">
        <v>615</v>
      </c>
      <c r="E186" s="74" t="s">
        <v>615</v>
      </c>
      <c r="F186" s="74" t="s">
        <v>615</v>
      </c>
      <c r="G186" s="74">
        <v>1234</v>
      </c>
      <c r="H186" s="74">
        <v>142</v>
      </c>
      <c r="I186" s="74">
        <v>80</v>
      </c>
      <c r="J186" s="74">
        <v>87</v>
      </c>
      <c r="K186" s="74">
        <v>65</v>
      </c>
      <c r="L186" s="74">
        <v>172</v>
      </c>
      <c r="M186" s="75">
        <v>32</v>
      </c>
      <c r="N186" s="17"/>
      <c r="O186" s="17"/>
      <c r="P186" s="17"/>
      <c r="Q186" s="17"/>
      <c r="R186" s="17"/>
      <c r="S186" s="17"/>
      <c r="T186" s="17"/>
      <c r="U186" s="18"/>
      <c r="V186" s="18"/>
      <c r="W186" s="18"/>
      <c r="X186" s="18"/>
      <c r="Y186" s="18"/>
      <c r="Z186" s="18"/>
      <c r="AA186" s="18"/>
      <c r="AB186" s="18"/>
      <c r="AC186" s="18"/>
      <c r="AD186" s="18"/>
      <c r="AE186" s="18" t="s">
        <v>256</v>
      </c>
      <c r="AF186" s="85" t="e">
        <v>#VALUE!</v>
      </c>
      <c r="AG186" s="85" t="e">
        <v>#VALUE!</v>
      </c>
      <c r="AH186" s="85" t="e">
        <v>#VALUE!</v>
      </c>
      <c r="AI186" s="85" t="e">
        <v>#VALUE!</v>
      </c>
      <c r="AJ186" s="85">
        <v>0</v>
      </c>
      <c r="AK186" s="85">
        <v>0</v>
      </c>
      <c r="AL186" s="85">
        <v>0</v>
      </c>
      <c r="AM186" s="85">
        <v>0</v>
      </c>
      <c r="AN186" s="18"/>
      <c r="AO186" s="18"/>
      <c r="AP186" s="77" t="s">
        <v>256</v>
      </c>
      <c r="AQ186" s="18" t="s">
        <v>1811</v>
      </c>
      <c r="AR186" s="18" t="s">
        <v>1811</v>
      </c>
      <c r="AS186" s="18" t="s">
        <v>1811</v>
      </c>
      <c r="AT186" s="18">
        <v>0</v>
      </c>
      <c r="AU186" s="18">
        <v>1234</v>
      </c>
      <c r="AV186" s="18">
        <v>142</v>
      </c>
      <c r="AW186" s="18">
        <v>80</v>
      </c>
      <c r="AX186" s="18">
        <v>87</v>
      </c>
      <c r="AY186" s="18">
        <v>65</v>
      </c>
      <c r="AZ186" s="18">
        <v>172</v>
      </c>
      <c r="BA186" s="78">
        <v>32</v>
      </c>
      <c r="BB186" s="18"/>
      <c r="BC186" s="18"/>
      <c r="BD186" s="18"/>
      <c r="BE186" s="18"/>
      <c r="BF186" s="18"/>
      <c r="BG186" s="18"/>
      <c r="BH186" s="18"/>
      <c r="BI186" s="18"/>
      <c r="BJ186" s="18"/>
      <c r="BK186" s="18"/>
      <c r="BL186" s="18"/>
      <c r="BM186" s="18"/>
      <c r="BN186" s="18"/>
      <c r="BO186" s="18"/>
      <c r="BP186" s="18"/>
      <c r="BQ186" s="37"/>
      <c r="BR186" s="38"/>
      <c r="BS186" s="17"/>
      <c r="BT186" s="37"/>
      <c r="BU186" s="38"/>
      <c r="BV186" s="18"/>
      <c r="BW186" s="37"/>
      <c r="BX186" s="38"/>
      <c r="BY186" s="18"/>
      <c r="BZ186" s="39" t="s">
        <v>829</v>
      </c>
      <c r="CA186" s="40" t="s">
        <v>829</v>
      </c>
      <c r="CB186" s="17"/>
      <c r="CC186" s="39" t="s">
        <v>829</v>
      </c>
      <c r="CD186" s="40" t="s">
        <v>829</v>
      </c>
      <c r="CE186" s="18"/>
      <c r="CF186" s="18"/>
      <c r="CG186" s="18"/>
      <c r="CH186" s="18"/>
      <c r="CI186" s="18"/>
      <c r="CJ186" s="18"/>
      <c r="CK186" s="18"/>
      <c r="CL186" s="18"/>
      <c r="CM186" s="18"/>
      <c r="CN186" s="18"/>
      <c r="CO186" s="18"/>
      <c r="CP186" s="18"/>
      <c r="CQ186" s="18"/>
      <c r="CR186" s="18"/>
      <c r="CS186" s="18"/>
      <c r="CT186" s="18"/>
      <c r="CU186" s="18"/>
      <c r="CV186" s="18"/>
      <c r="CW186" s="18"/>
      <c r="CX186" s="18"/>
      <c r="CY186" s="37"/>
      <c r="CZ186" s="38"/>
      <c r="DA186" s="18"/>
      <c r="DB186" s="37">
        <v>44117</v>
      </c>
      <c r="DC186" s="38">
        <v>18.015000000000001</v>
      </c>
      <c r="DD186" s="18"/>
      <c r="DE186" s="37">
        <v>44117</v>
      </c>
      <c r="DF186" s="38">
        <v>16.473099999999999</v>
      </c>
      <c r="DG186" s="18"/>
      <c r="DH186" s="37">
        <v>44117</v>
      </c>
      <c r="DI186" s="38">
        <v>21.321300000000001</v>
      </c>
      <c r="DJ186" s="18"/>
      <c r="DK186" s="37">
        <v>44117</v>
      </c>
      <c r="DL186" s="38">
        <v>0.15629999999999999</v>
      </c>
      <c r="DM186" s="18"/>
      <c r="DN186" s="18"/>
      <c r="DO186" s="18"/>
      <c r="DP186" s="18"/>
      <c r="DQ186" s="18"/>
      <c r="DR186" s="18"/>
      <c r="DS186" s="18"/>
      <c r="DT186" s="18"/>
      <c r="DU186" s="18"/>
      <c r="DV186" s="18"/>
      <c r="DW186" s="18"/>
      <c r="DX186" s="18"/>
      <c r="DY186" s="18"/>
      <c r="DZ186" s="18"/>
    </row>
    <row r="187" spans="1:130" ht="15" customHeight="1" x14ac:dyDescent="0.3">
      <c r="A187" s="30" t="s">
        <v>403</v>
      </c>
      <c r="B187" s="73" t="s">
        <v>257</v>
      </c>
      <c r="C187" s="74">
        <v>636</v>
      </c>
      <c r="D187" s="74">
        <v>1440</v>
      </c>
      <c r="E187" s="74">
        <v>-772</v>
      </c>
      <c r="F187" s="74">
        <v>2121</v>
      </c>
      <c r="G187" s="74">
        <v>1268</v>
      </c>
      <c r="H187" s="74">
        <v>410</v>
      </c>
      <c r="I187" s="74">
        <v>1060</v>
      </c>
      <c r="J187" s="74">
        <v>775</v>
      </c>
      <c r="K187" s="74">
        <v>1227</v>
      </c>
      <c r="L187" s="74">
        <v>1171</v>
      </c>
      <c r="M187" s="75">
        <v>1274</v>
      </c>
      <c r="N187" s="17"/>
      <c r="O187" s="17"/>
      <c r="P187" s="17"/>
      <c r="Q187" s="17"/>
      <c r="R187" s="17"/>
      <c r="S187" s="17"/>
      <c r="T187" s="17"/>
      <c r="U187" s="18"/>
      <c r="V187" s="18"/>
      <c r="W187" s="18"/>
      <c r="X187" s="18"/>
      <c r="Y187" s="18"/>
      <c r="Z187" s="18"/>
      <c r="AA187" s="18"/>
      <c r="AB187" s="18"/>
      <c r="AC187" s="18"/>
      <c r="AD187" s="18"/>
      <c r="AE187" s="18" t="s">
        <v>257</v>
      </c>
      <c r="AF187" s="85">
        <v>0</v>
      </c>
      <c r="AG187" s="85">
        <v>0</v>
      </c>
      <c r="AH187" s="85">
        <v>0</v>
      </c>
      <c r="AI187" s="85">
        <v>0</v>
      </c>
      <c r="AJ187" s="85">
        <v>0</v>
      </c>
      <c r="AK187" s="85">
        <v>0</v>
      </c>
      <c r="AL187" s="85">
        <v>0</v>
      </c>
      <c r="AM187" s="85">
        <v>0</v>
      </c>
      <c r="AN187" s="18"/>
      <c r="AO187" s="18"/>
      <c r="AP187" s="77" t="s">
        <v>257</v>
      </c>
      <c r="AQ187" s="18">
        <v>636</v>
      </c>
      <c r="AR187" s="18">
        <v>1440</v>
      </c>
      <c r="AS187" s="18">
        <v>-772</v>
      </c>
      <c r="AT187" s="18">
        <v>2121</v>
      </c>
      <c r="AU187" s="18">
        <v>1268</v>
      </c>
      <c r="AV187" s="18">
        <v>410</v>
      </c>
      <c r="AW187" s="18">
        <v>1060</v>
      </c>
      <c r="AX187" s="18">
        <v>775</v>
      </c>
      <c r="AY187" s="18">
        <v>1227</v>
      </c>
      <c r="AZ187" s="18">
        <v>1171</v>
      </c>
      <c r="BA187" s="78">
        <v>1274</v>
      </c>
      <c r="BB187" s="18"/>
      <c r="BC187" s="18"/>
      <c r="BD187" s="18"/>
      <c r="BE187" s="18"/>
      <c r="BF187" s="18"/>
      <c r="BG187" s="18"/>
      <c r="BH187" s="18"/>
      <c r="BI187" s="18"/>
      <c r="BJ187" s="18"/>
      <c r="BK187" s="18"/>
      <c r="BL187" s="18"/>
      <c r="BM187" s="18"/>
      <c r="BN187" s="18"/>
      <c r="BO187" s="18"/>
      <c r="BP187" s="18"/>
      <c r="BQ187" s="37"/>
      <c r="BR187" s="38"/>
      <c r="BS187" s="17"/>
      <c r="BT187" s="37"/>
      <c r="BU187" s="38"/>
      <c r="BV187" s="18"/>
      <c r="BW187" s="37"/>
      <c r="BX187" s="38"/>
      <c r="BY187" s="18"/>
      <c r="BZ187" s="39" t="s">
        <v>829</v>
      </c>
      <c r="CA187" s="40" t="s">
        <v>829</v>
      </c>
      <c r="CB187" s="17"/>
      <c r="CC187" s="39" t="s">
        <v>829</v>
      </c>
      <c r="CD187" s="40" t="s">
        <v>829</v>
      </c>
      <c r="CE187" s="18"/>
      <c r="CF187" s="18"/>
      <c r="CG187" s="18"/>
      <c r="CH187" s="18"/>
      <c r="CI187" s="18"/>
      <c r="CJ187" s="18"/>
      <c r="CK187" s="18"/>
      <c r="CL187" s="18"/>
      <c r="CM187" s="18"/>
      <c r="CN187" s="18"/>
      <c r="CO187" s="18"/>
      <c r="CP187" s="18"/>
      <c r="CQ187" s="18"/>
      <c r="CR187" s="18"/>
      <c r="CS187" s="18"/>
      <c r="CT187" s="18"/>
      <c r="CU187" s="18"/>
      <c r="CV187" s="18"/>
      <c r="CW187" s="18"/>
      <c r="CX187" s="18"/>
      <c r="CY187" s="37"/>
      <c r="CZ187" s="38"/>
      <c r="DA187" s="18"/>
      <c r="DB187" s="37">
        <v>44118</v>
      </c>
      <c r="DC187" s="38">
        <v>18.094999999999999</v>
      </c>
      <c r="DD187" s="18"/>
      <c r="DE187" s="37">
        <v>44118</v>
      </c>
      <c r="DF187" s="38">
        <v>16.532800000000002</v>
      </c>
      <c r="DG187" s="18"/>
      <c r="DH187" s="37">
        <v>44118</v>
      </c>
      <c r="DI187" s="38">
        <v>21.515000000000001</v>
      </c>
      <c r="DJ187" s="18"/>
      <c r="DK187" s="37">
        <v>44118</v>
      </c>
      <c r="DL187" s="38">
        <v>0.15720000000000001</v>
      </c>
      <c r="DM187" s="18"/>
      <c r="DN187" s="18"/>
      <c r="DO187" s="18"/>
      <c r="DP187" s="18"/>
      <c r="DQ187" s="18"/>
      <c r="DR187" s="18"/>
      <c r="DS187" s="18"/>
      <c r="DT187" s="18"/>
      <c r="DU187" s="18"/>
      <c r="DV187" s="18"/>
      <c r="DW187" s="18"/>
      <c r="DX187" s="18"/>
      <c r="DY187" s="18"/>
      <c r="DZ187" s="18"/>
    </row>
    <row r="188" spans="1:130" ht="15" customHeight="1" x14ac:dyDescent="0.3">
      <c r="A188" s="30" t="s">
        <v>404</v>
      </c>
      <c r="B188" s="73" t="s">
        <v>258</v>
      </c>
      <c r="C188" s="74">
        <v>1202.07</v>
      </c>
      <c r="D188" s="74">
        <v>1985.44</v>
      </c>
      <c r="E188" s="74">
        <v>-183.26</v>
      </c>
      <c r="F188" s="74">
        <v>2565.37</v>
      </c>
      <c r="G188" s="74">
        <v>1594.59</v>
      </c>
      <c r="H188" s="74">
        <v>738.19</v>
      </c>
      <c r="I188" s="74">
        <v>1437.15</v>
      </c>
      <c r="J188" s="74">
        <v>1207.8800000000001</v>
      </c>
      <c r="K188" s="74">
        <v>1635.06</v>
      </c>
      <c r="L188" s="74">
        <v>1840.19</v>
      </c>
      <c r="M188" s="75" t="s">
        <v>615</v>
      </c>
      <c r="N188" s="17"/>
      <c r="O188" s="17"/>
      <c r="P188" s="17"/>
      <c r="Q188" s="17"/>
      <c r="R188" s="17"/>
      <c r="S188" s="17"/>
      <c r="T188" s="17"/>
      <c r="U188" s="18"/>
      <c r="V188" s="18"/>
      <c r="W188" s="18"/>
      <c r="X188" s="18"/>
      <c r="Y188" s="18"/>
      <c r="Z188" s="18"/>
      <c r="AA188" s="18"/>
      <c r="AB188" s="18"/>
      <c r="AC188" s="18"/>
      <c r="AD188" s="18"/>
      <c r="AE188" s="18" t="s">
        <v>258</v>
      </c>
      <c r="AF188" s="85">
        <v>9.0000000000145519E-4</v>
      </c>
      <c r="AG188" s="85">
        <v>-2.1999999999025022E-3</v>
      </c>
      <c r="AH188" s="85">
        <v>-1.0999999999796728E-3</v>
      </c>
      <c r="AI188" s="85">
        <v>-1.8000000000029104E-3</v>
      </c>
      <c r="AJ188" s="85">
        <v>-2.4000000000796717E-3</v>
      </c>
      <c r="AK188" s="85">
        <v>3.0000000003838068E-4</v>
      </c>
      <c r="AL188" s="85">
        <v>3.5000000000309228E-3</v>
      </c>
      <c r="AM188" s="85">
        <v>2.7000000000043656E-3</v>
      </c>
      <c r="AN188" s="18"/>
      <c r="AO188" s="18"/>
      <c r="AP188" s="77" t="s">
        <v>258</v>
      </c>
      <c r="AQ188" s="18">
        <v>1202.0690999999999</v>
      </c>
      <c r="AR188" s="18">
        <v>1985.4422</v>
      </c>
      <c r="AS188" s="18">
        <v>-183.25890000000001</v>
      </c>
      <c r="AT188" s="18">
        <v>2565.3717999999999</v>
      </c>
      <c r="AU188" s="18">
        <v>1594.5924</v>
      </c>
      <c r="AV188" s="18">
        <v>738.18970000000002</v>
      </c>
      <c r="AW188" s="18">
        <v>1437.1465000000001</v>
      </c>
      <c r="AX188" s="18">
        <v>1207.8773000000001</v>
      </c>
      <c r="AY188" s="18">
        <v>1635.058</v>
      </c>
      <c r="AZ188" s="18">
        <v>1840.1916000000001</v>
      </c>
      <c r="BA188" s="78" t="s">
        <v>1811</v>
      </c>
      <c r="BB188" s="18"/>
      <c r="BC188" s="18"/>
      <c r="BD188" s="18"/>
      <c r="BE188" s="18"/>
      <c r="BF188" s="18"/>
      <c r="BG188" s="18"/>
      <c r="BH188" s="18"/>
      <c r="BI188" s="18"/>
      <c r="BJ188" s="18"/>
      <c r="BK188" s="18"/>
      <c r="BL188" s="18"/>
      <c r="BM188" s="18"/>
      <c r="BN188" s="18"/>
      <c r="BO188" s="18"/>
      <c r="BP188" s="18"/>
      <c r="BQ188" s="37"/>
      <c r="BR188" s="38"/>
      <c r="BS188" s="17"/>
      <c r="BT188" s="37"/>
      <c r="BU188" s="38"/>
      <c r="BV188" s="18"/>
      <c r="BW188" s="37"/>
      <c r="BX188" s="38"/>
      <c r="BY188" s="18"/>
      <c r="BZ188" s="39" t="s">
        <v>829</v>
      </c>
      <c r="CA188" s="40" t="s">
        <v>829</v>
      </c>
      <c r="CB188" s="17"/>
      <c r="CC188" s="39" t="s">
        <v>829</v>
      </c>
      <c r="CD188" s="40" t="s">
        <v>829</v>
      </c>
      <c r="CE188" s="18"/>
      <c r="CF188" s="18"/>
      <c r="CG188" s="18"/>
      <c r="CH188" s="18"/>
      <c r="CI188" s="18"/>
      <c r="CJ188" s="18"/>
      <c r="CK188" s="18"/>
      <c r="CL188" s="18"/>
      <c r="CM188" s="18"/>
      <c r="CN188" s="18"/>
      <c r="CO188" s="18"/>
      <c r="CP188" s="18"/>
      <c r="CQ188" s="18"/>
      <c r="CR188" s="18"/>
      <c r="CS188" s="18"/>
      <c r="CT188" s="18"/>
      <c r="CU188" s="18"/>
      <c r="CV188" s="18"/>
      <c r="CW188" s="18"/>
      <c r="CX188" s="18"/>
      <c r="CY188" s="37"/>
      <c r="CZ188" s="38"/>
      <c r="DA188" s="18"/>
      <c r="DB188" s="37">
        <v>44119</v>
      </c>
      <c r="DC188" s="38">
        <v>18.196100000000001</v>
      </c>
      <c r="DD188" s="18"/>
      <c r="DE188" s="37">
        <v>44119</v>
      </c>
      <c r="DF188" s="38">
        <v>16.644300000000001</v>
      </c>
      <c r="DG188" s="18"/>
      <c r="DH188" s="37">
        <v>44119</v>
      </c>
      <c r="DI188" s="38">
        <v>21.479199999999999</v>
      </c>
      <c r="DJ188" s="18"/>
      <c r="DK188" s="37">
        <v>44119</v>
      </c>
      <c r="DL188" s="38">
        <v>0.1578</v>
      </c>
      <c r="DM188" s="18"/>
      <c r="DN188" s="18"/>
      <c r="DO188" s="18"/>
      <c r="DP188" s="18"/>
      <c r="DQ188" s="18"/>
      <c r="DR188" s="18"/>
      <c r="DS188" s="18"/>
      <c r="DT188" s="18"/>
      <c r="DU188" s="18"/>
      <c r="DV188" s="18"/>
      <c r="DW188" s="18"/>
      <c r="DX188" s="18"/>
      <c r="DY188" s="18"/>
      <c r="DZ188" s="18"/>
    </row>
    <row r="189" spans="1:130" ht="15" customHeight="1" x14ac:dyDescent="0.3">
      <c r="A189" s="100" t="s">
        <v>422</v>
      </c>
      <c r="B189" s="73" t="s">
        <v>259</v>
      </c>
      <c r="C189" s="74">
        <v>34</v>
      </c>
      <c r="D189" s="74">
        <v>159</v>
      </c>
      <c r="E189" s="74">
        <v>116</v>
      </c>
      <c r="F189" s="74">
        <v>2958</v>
      </c>
      <c r="G189" s="74">
        <v>2322</v>
      </c>
      <c r="H189" s="74">
        <v>1997</v>
      </c>
      <c r="I189" s="74">
        <v>852</v>
      </c>
      <c r="J189" s="74">
        <v>1900</v>
      </c>
      <c r="K189" s="74">
        <v>1182</v>
      </c>
      <c r="L189" s="74">
        <v>-223</v>
      </c>
      <c r="M189" s="75">
        <v>1342</v>
      </c>
      <c r="N189" s="17"/>
      <c r="O189" s="17"/>
      <c r="P189" s="17"/>
      <c r="Q189" s="17"/>
      <c r="R189" s="17"/>
      <c r="S189" s="17"/>
      <c r="T189" s="17"/>
      <c r="U189" s="18"/>
      <c r="V189" s="18"/>
      <c r="W189" s="18"/>
      <c r="X189" s="18"/>
      <c r="Y189" s="18"/>
      <c r="Z189" s="18"/>
      <c r="AA189" s="18"/>
      <c r="AB189" s="18"/>
      <c r="AC189" s="18"/>
      <c r="AD189" s="18"/>
      <c r="AE189" s="18" t="s">
        <v>259</v>
      </c>
      <c r="AF189" s="85">
        <v>0</v>
      </c>
      <c r="AG189" s="85">
        <v>0</v>
      </c>
      <c r="AH189" s="85">
        <v>0</v>
      </c>
      <c r="AI189" s="85">
        <v>0</v>
      </c>
      <c r="AJ189" s="85">
        <v>0</v>
      </c>
      <c r="AK189" s="85">
        <v>0</v>
      </c>
      <c r="AL189" s="85">
        <v>0</v>
      </c>
      <c r="AM189" s="85">
        <v>0</v>
      </c>
      <c r="AN189" s="18"/>
      <c r="AO189" s="18"/>
      <c r="AP189" s="77" t="s">
        <v>259</v>
      </c>
      <c r="AQ189" s="18">
        <v>34</v>
      </c>
      <c r="AR189" s="18">
        <v>159</v>
      </c>
      <c r="AS189" s="18">
        <v>116</v>
      </c>
      <c r="AT189" s="18">
        <v>2958</v>
      </c>
      <c r="AU189" s="18">
        <v>2322</v>
      </c>
      <c r="AV189" s="18">
        <v>1997</v>
      </c>
      <c r="AW189" s="18">
        <v>852</v>
      </c>
      <c r="AX189" s="18">
        <v>1900</v>
      </c>
      <c r="AY189" s="18">
        <v>1182</v>
      </c>
      <c r="AZ189" s="18">
        <v>-223</v>
      </c>
      <c r="BA189" s="78">
        <v>1342</v>
      </c>
      <c r="BB189" s="18"/>
      <c r="BC189" s="18"/>
      <c r="BD189" s="18"/>
      <c r="BE189" s="18"/>
      <c r="BF189" s="18"/>
      <c r="BG189" s="18"/>
      <c r="BH189" s="18"/>
      <c r="BI189" s="18"/>
      <c r="BJ189" s="18"/>
      <c r="BK189" s="18"/>
      <c r="BL189" s="18"/>
      <c r="BM189" s="18"/>
      <c r="BN189" s="18"/>
      <c r="BO189" s="18"/>
      <c r="BP189" s="18"/>
      <c r="BQ189" s="37"/>
      <c r="BR189" s="38"/>
      <c r="BS189" s="17"/>
      <c r="BT189" s="37"/>
      <c r="BU189" s="38"/>
      <c r="BV189" s="18"/>
      <c r="BW189" s="37"/>
      <c r="BX189" s="38"/>
      <c r="BY189" s="18"/>
      <c r="BZ189" s="39" t="s">
        <v>829</v>
      </c>
      <c r="CA189" s="40" t="s">
        <v>829</v>
      </c>
      <c r="CB189" s="17"/>
      <c r="CC189" s="39" t="s">
        <v>829</v>
      </c>
      <c r="CD189" s="40" t="s">
        <v>829</v>
      </c>
      <c r="CE189" s="18"/>
      <c r="CF189" s="18"/>
      <c r="CG189" s="18"/>
      <c r="CH189" s="18"/>
      <c r="CI189" s="18"/>
      <c r="CJ189" s="18"/>
      <c r="CK189" s="18"/>
      <c r="CL189" s="18"/>
      <c r="CM189" s="18"/>
      <c r="CN189" s="18"/>
      <c r="CO189" s="18"/>
      <c r="CP189" s="18"/>
      <c r="CQ189" s="18"/>
      <c r="CR189" s="18"/>
      <c r="CS189" s="18"/>
      <c r="CT189" s="18"/>
      <c r="CU189" s="18"/>
      <c r="CV189" s="18"/>
      <c r="CW189" s="18"/>
      <c r="CX189" s="18"/>
      <c r="CY189" s="37"/>
      <c r="CZ189" s="38"/>
      <c r="DA189" s="18"/>
      <c r="DB189" s="37">
        <v>44120</v>
      </c>
      <c r="DC189" s="38">
        <v>18.102</v>
      </c>
      <c r="DD189" s="18"/>
      <c r="DE189" s="37">
        <v>44120</v>
      </c>
      <c r="DF189" s="38">
        <v>16.561299999999999</v>
      </c>
      <c r="DG189" s="18"/>
      <c r="DH189" s="37">
        <v>44120</v>
      </c>
      <c r="DI189" s="38">
        <v>21.384</v>
      </c>
      <c r="DJ189" s="18"/>
      <c r="DK189" s="37">
        <v>44120</v>
      </c>
      <c r="DL189" s="38">
        <v>0.15709999999999999</v>
      </c>
      <c r="DM189" s="18"/>
      <c r="DN189" s="18"/>
      <c r="DO189" s="18"/>
      <c r="DP189" s="18"/>
      <c r="DQ189" s="18"/>
      <c r="DR189" s="18"/>
      <c r="DS189" s="18"/>
      <c r="DT189" s="18"/>
      <c r="DU189" s="18"/>
      <c r="DV189" s="18"/>
      <c r="DW189" s="18"/>
      <c r="DX189" s="18"/>
      <c r="DY189" s="18"/>
      <c r="DZ189" s="18"/>
    </row>
    <row r="190" spans="1:130" ht="15" customHeight="1" x14ac:dyDescent="0.3">
      <c r="A190" s="30" t="s">
        <v>405</v>
      </c>
      <c r="B190" s="73" t="s">
        <v>260</v>
      </c>
      <c r="C190" s="74">
        <v>0.48</v>
      </c>
      <c r="D190" s="74">
        <v>1.08</v>
      </c>
      <c r="E190" s="74">
        <v>-0.57999999999999996</v>
      </c>
      <c r="F190" s="74">
        <v>1.58</v>
      </c>
      <c r="G190" s="74">
        <v>0.93</v>
      </c>
      <c r="H190" s="74">
        <v>0.3</v>
      </c>
      <c r="I190" s="74">
        <v>0.78</v>
      </c>
      <c r="J190" s="74">
        <v>0.57999999999999996</v>
      </c>
      <c r="K190" s="74">
        <v>0.92</v>
      </c>
      <c r="L190" s="74">
        <v>0.89</v>
      </c>
      <c r="M190" s="75">
        <v>0.97</v>
      </c>
      <c r="N190" s="17"/>
      <c r="O190" s="17"/>
      <c r="P190" s="17"/>
      <c r="Q190" s="17"/>
      <c r="R190" s="17"/>
      <c r="S190" s="17"/>
      <c r="T190" s="17"/>
      <c r="U190" s="18"/>
      <c r="V190" s="18"/>
      <c r="W190" s="18"/>
      <c r="X190" s="18"/>
      <c r="Y190" s="18"/>
      <c r="Z190" s="18"/>
      <c r="AA190" s="18"/>
      <c r="AB190" s="18"/>
      <c r="AC190" s="18"/>
      <c r="AD190" s="18"/>
      <c r="AE190" s="18" t="s">
        <v>260</v>
      </c>
      <c r="AF190" s="85">
        <v>4.699999999999982E-3</v>
      </c>
      <c r="AG190" s="85">
        <v>3.0000000000001137E-3</v>
      </c>
      <c r="AH190" s="85">
        <v>-2.1999999999999797E-3</v>
      </c>
      <c r="AI190" s="85">
        <v>3.0000000000001137E-3</v>
      </c>
      <c r="AJ190" s="85">
        <v>-1.0000000000000009E-3</v>
      </c>
      <c r="AK190" s="85">
        <v>-1.7000000000000348E-3</v>
      </c>
      <c r="AL190" s="85">
        <v>-2.9000000000000137E-3</v>
      </c>
      <c r="AM190" s="85">
        <v>3.7999999999999146E-3</v>
      </c>
      <c r="AN190" s="18"/>
      <c r="AO190" s="18"/>
      <c r="AP190" s="77" t="s">
        <v>260</v>
      </c>
      <c r="AQ190" s="18">
        <v>0.4753</v>
      </c>
      <c r="AR190" s="18">
        <v>1.077</v>
      </c>
      <c r="AS190" s="18">
        <v>-0.57779999999999998</v>
      </c>
      <c r="AT190" s="18">
        <v>1.577</v>
      </c>
      <c r="AU190" s="18">
        <v>0.93100000000000005</v>
      </c>
      <c r="AV190" s="18">
        <v>0.30170000000000002</v>
      </c>
      <c r="AW190" s="18">
        <v>0.78290000000000004</v>
      </c>
      <c r="AX190" s="18">
        <v>0.57620000000000005</v>
      </c>
      <c r="AY190" s="18">
        <v>0.91979999999999995</v>
      </c>
      <c r="AZ190" s="18">
        <v>0.88580000000000003</v>
      </c>
      <c r="BA190" s="78">
        <v>0.97399999999999998</v>
      </c>
      <c r="BB190" s="18"/>
      <c r="BC190" s="18"/>
      <c r="BD190" s="18"/>
      <c r="BE190" s="18"/>
      <c r="BF190" s="18"/>
      <c r="BG190" s="18"/>
      <c r="BH190" s="18"/>
      <c r="BI190" s="18"/>
      <c r="BJ190" s="18"/>
      <c r="BK190" s="18"/>
      <c r="BL190" s="18"/>
      <c r="BM190" s="18"/>
      <c r="BN190" s="18"/>
      <c r="BO190" s="18"/>
      <c r="BP190" s="18"/>
      <c r="BQ190" s="37"/>
      <c r="BR190" s="38"/>
      <c r="BS190" s="17"/>
      <c r="BT190" s="37"/>
      <c r="BU190" s="38"/>
      <c r="BV190" s="18"/>
      <c r="BW190" s="37"/>
      <c r="BX190" s="38"/>
      <c r="BY190" s="18"/>
      <c r="BZ190" s="39" t="s">
        <v>829</v>
      </c>
      <c r="CA190" s="40" t="s">
        <v>829</v>
      </c>
      <c r="CB190" s="17"/>
      <c r="CC190" s="39" t="s">
        <v>829</v>
      </c>
      <c r="CD190" s="40" t="s">
        <v>829</v>
      </c>
      <c r="CE190" s="18"/>
      <c r="CF190" s="18"/>
      <c r="CG190" s="18"/>
      <c r="CH190" s="18"/>
      <c r="CI190" s="18"/>
      <c r="CJ190" s="18"/>
      <c r="CK190" s="18"/>
      <c r="CL190" s="18"/>
      <c r="CM190" s="18"/>
      <c r="CN190" s="18"/>
      <c r="CO190" s="18"/>
      <c r="CP190" s="18"/>
      <c r="CQ190" s="18"/>
      <c r="CR190" s="18"/>
      <c r="CS190" s="18"/>
      <c r="CT190" s="18"/>
      <c r="CU190" s="18"/>
      <c r="CV190" s="18"/>
      <c r="CW190" s="18"/>
      <c r="CX190" s="18"/>
      <c r="CY190" s="37"/>
      <c r="CZ190" s="38"/>
      <c r="DA190" s="18"/>
      <c r="DB190" s="37">
        <v>44123</v>
      </c>
      <c r="DC190" s="38">
        <v>18.149899999999999</v>
      </c>
      <c r="DD190" s="18"/>
      <c r="DE190" s="37">
        <v>44123</v>
      </c>
      <c r="DF190" s="38">
        <v>16.519500000000001</v>
      </c>
      <c r="DG190" s="18"/>
      <c r="DH190" s="37">
        <v>44123</v>
      </c>
      <c r="DI190" s="38">
        <v>21.3871</v>
      </c>
      <c r="DJ190" s="18"/>
      <c r="DK190" s="37">
        <v>44123</v>
      </c>
      <c r="DL190" s="38">
        <v>0.15670000000000001</v>
      </c>
      <c r="DM190" s="18"/>
      <c r="DN190" s="18"/>
      <c r="DO190" s="18"/>
      <c r="DP190" s="18"/>
      <c r="DQ190" s="18"/>
      <c r="DR190" s="18"/>
      <c r="DS190" s="18"/>
      <c r="DT190" s="18"/>
      <c r="DU190" s="18"/>
      <c r="DV190" s="18"/>
      <c r="DW190" s="18"/>
      <c r="DX190" s="18"/>
      <c r="DY190" s="18"/>
      <c r="DZ190" s="18"/>
    </row>
    <row r="191" spans="1:130" ht="15" customHeight="1" x14ac:dyDescent="0.3">
      <c r="A191" s="30" t="s">
        <v>406</v>
      </c>
      <c r="B191" s="73" t="s">
        <v>261</v>
      </c>
      <c r="C191" s="74">
        <v>28.86</v>
      </c>
      <c r="D191" s="74">
        <v>15.04</v>
      </c>
      <c r="E191" s="74" t="s">
        <v>615</v>
      </c>
      <c r="F191" s="74">
        <v>11.13</v>
      </c>
      <c r="G191" s="74">
        <v>26</v>
      </c>
      <c r="H191" s="74">
        <v>78.89</v>
      </c>
      <c r="I191" s="74">
        <v>42.96</v>
      </c>
      <c r="J191" s="74">
        <v>63</v>
      </c>
      <c r="K191" s="74">
        <v>34.369999999999997</v>
      </c>
      <c r="L191" s="74">
        <v>27.09</v>
      </c>
      <c r="M191" s="75">
        <v>18.38</v>
      </c>
      <c r="N191" s="17"/>
      <c r="O191" s="17"/>
      <c r="P191" s="17"/>
      <c r="Q191" s="17"/>
      <c r="R191" s="17"/>
      <c r="S191" s="17"/>
      <c r="T191" s="17"/>
      <c r="U191" s="18"/>
      <c r="V191" s="18"/>
      <c r="W191" s="18"/>
      <c r="X191" s="18"/>
      <c r="Y191" s="18"/>
      <c r="Z191" s="18"/>
      <c r="AA191" s="18"/>
      <c r="AB191" s="18"/>
      <c r="AC191" s="18"/>
      <c r="AD191" s="18"/>
      <c r="AE191" s="18" t="s">
        <v>261</v>
      </c>
      <c r="AF191" s="85">
        <v>-3.8000000000018019E-3</v>
      </c>
      <c r="AG191" s="85">
        <v>-1.200000000000756E-3</v>
      </c>
      <c r="AH191" s="85" t="e">
        <v>#VALUE!</v>
      </c>
      <c r="AI191" s="85">
        <v>9.0000000000145519E-4</v>
      </c>
      <c r="AJ191" s="85">
        <v>-4.6999999999997044E-3</v>
      </c>
      <c r="AK191" s="85">
        <v>1.6999999999995907E-3</v>
      </c>
      <c r="AL191" s="85">
        <v>2.400000000001512E-3</v>
      </c>
      <c r="AM191" s="85">
        <v>1.8999999999991246E-3</v>
      </c>
      <c r="AN191" s="18"/>
      <c r="AO191" s="18"/>
      <c r="AP191" s="77" t="s">
        <v>261</v>
      </c>
      <c r="AQ191" s="18">
        <v>28.863800000000001</v>
      </c>
      <c r="AR191" s="18">
        <v>15.0412</v>
      </c>
      <c r="AS191" s="18" t="s">
        <v>1811</v>
      </c>
      <c r="AT191" s="18">
        <v>11.129099999999999</v>
      </c>
      <c r="AU191" s="18">
        <v>26.0047</v>
      </c>
      <c r="AV191" s="18">
        <v>78.888300000000001</v>
      </c>
      <c r="AW191" s="18">
        <v>42.957599999999999</v>
      </c>
      <c r="AX191" s="18">
        <v>62.998100000000001</v>
      </c>
      <c r="AY191" s="18">
        <v>34.366500000000002</v>
      </c>
      <c r="AZ191" s="18">
        <v>27.094799999999999</v>
      </c>
      <c r="BA191" s="78">
        <v>18.377700000000001</v>
      </c>
      <c r="BB191" s="18"/>
      <c r="BC191" s="18"/>
      <c r="BD191" s="18"/>
      <c r="BE191" s="18"/>
      <c r="BF191" s="18"/>
      <c r="BG191" s="18"/>
      <c r="BH191" s="18"/>
      <c r="BI191" s="18"/>
      <c r="BJ191" s="18"/>
      <c r="BK191" s="18"/>
      <c r="BL191" s="18"/>
      <c r="BM191" s="18"/>
      <c r="BN191" s="18"/>
      <c r="BO191" s="18"/>
      <c r="BP191" s="18"/>
      <c r="BQ191" s="37"/>
      <c r="BR191" s="38"/>
      <c r="BS191" s="17"/>
      <c r="BT191" s="37"/>
      <c r="BU191" s="38"/>
      <c r="BV191" s="18"/>
      <c r="BW191" s="37"/>
      <c r="BX191" s="38"/>
      <c r="BY191" s="18"/>
      <c r="BZ191" s="39" t="s">
        <v>829</v>
      </c>
      <c r="CA191" s="40" t="s">
        <v>829</v>
      </c>
      <c r="CB191" s="17"/>
      <c r="CC191" s="39" t="s">
        <v>829</v>
      </c>
      <c r="CD191" s="40" t="s">
        <v>829</v>
      </c>
      <c r="CE191" s="18"/>
      <c r="CF191" s="18"/>
      <c r="CG191" s="18"/>
      <c r="CH191" s="18"/>
      <c r="CI191" s="18"/>
      <c r="CJ191" s="18"/>
      <c r="CK191" s="18"/>
      <c r="CL191" s="18"/>
      <c r="CM191" s="18"/>
      <c r="CN191" s="18"/>
      <c r="CO191" s="18"/>
      <c r="CP191" s="18"/>
      <c r="CQ191" s="18"/>
      <c r="CR191" s="18"/>
      <c r="CS191" s="18"/>
      <c r="CT191" s="18"/>
      <c r="CU191" s="18"/>
      <c r="CV191" s="18"/>
      <c r="CW191" s="18"/>
      <c r="CX191" s="18"/>
      <c r="CY191" s="37"/>
      <c r="CZ191" s="38"/>
      <c r="DA191" s="18"/>
      <c r="DB191" s="37">
        <v>44124</v>
      </c>
      <c r="DC191" s="38">
        <v>18.1691</v>
      </c>
      <c r="DD191" s="18"/>
      <c r="DE191" s="37">
        <v>44124</v>
      </c>
      <c r="DF191" s="38">
        <v>16.482700000000001</v>
      </c>
      <c r="DG191" s="18"/>
      <c r="DH191" s="37">
        <v>44124</v>
      </c>
      <c r="DI191" s="38">
        <v>21.338899999999999</v>
      </c>
      <c r="DJ191" s="18"/>
      <c r="DK191" s="37">
        <v>44124</v>
      </c>
      <c r="DL191" s="38">
        <v>0.15620000000000001</v>
      </c>
      <c r="DM191" s="18"/>
      <c r="DN191" s="18"/>
      <c r="DO191" s="18"/>
      <c r="DP191" s="18"/>
      <c r="DQ191" s="18"/>
      <c r="DR191" s="18"/>
      <c r="DS191" s="18"/>
      <c r="DT191" s="18"/>
      <c r="DU191" s="18"/>
      <c r="DV191" s="18"/>
      <c r="DW191" s="18"/>
      <c r="DX191" s="18"/>
      <c r="DY191" s="18"/>
      <c r="DZ191" s="18"/>
    </row>
    <row r="192" spans="1:130" ht="15" customHeight="1" thickBot="1" x14ac:dyDescent="0.35">
      <c r="A192" s="30" t="s">
        <v>407</v>
      </c>
      <c r="B192" s="73" t="s">
        <v>262</v>
      </c>
      <c r="C192" s="74">
        <v>1.99</v>
      </c>
      <c r="D192" s="74">
        <v>3.34</v>
      </c>
      <c r="E192" s="74">
        <v>0.42</v>
      </c>
      <c r="F192" s="74">
        <v>1.43</v>
      </c>
      <c r="G192" s="74">
        <v>0.56000000000000005</v>
      </c>
      <c r="H192" s="74" t="s">
        <v>615</v>
      </c>
      <c r="I192" s="74">
        <v>2.2400000000000002</v>
      </c>
      <c r="J192" s="74">
        <v>1.39</v>
      </c>
      <c r="K192" s="74">
        <v>1.45</v>
      </c>
      <c r="L192" s="74">
        <v>0.5</v>
      </c>
      <c r="M192" s="75" t="s">
        <v>615</v>
      </c>
      <c r="N192" s="17"/>
      <c r="O192" s="17"/>
      <c r="P192" s="17"/>
      <c r="Q192" s="17"/>
      <c r="R192" s="17"/>
      <c r="S192" s="17"/>
      <c r="T192" s="17"/>
      <c r="U192" s="18"/>
      <c r="V192" s="18"/>
      <c r="W192" s="18"/>
      <c r="X192" s="18"/>
      <c r="Y192" s="18"/>
      <c r="Z192" s="18"/>
      <c r="AA192" s="18"/>
      <c r="AB192" s="18"/>
      <c r="AC192" s="18"/>
      <c r="AD192" s="18"/>
      <c r="AE192" s="18" t="s">
        <v>262</v>
      </c>
      <c r="AF192" s="85">
        <v>-2.0999999999999908E-3</v>
      </c>
      <c r="AG192" s="85">
        <v>-4.5999999999999375E-3</v>
      </c>
      <c r="AH192" s="85">
        <v>-3.8000000000000256E-3</v>
      </c>
      <c r="AI192" s="85">
        <v>9.9999999999988987E-5</v>
      </c>
      <c r="AJ192" s="85">
        <v>-2.7999999999999137E-3</v>
      </c>
      <c r="AK192" s="85" t="e">
        <v>#VALUE!</v>
      </c>
      <c r="AL192" s="85">
        <v>9.0000000000012292E-4</v>
      </c>
      <c r="AM192" s="85">
        <v>1.9000000000000128E-3</v>
      </c>
      <c r="AN192" s="18"/>
      <c r="AO192" s="18"/>
      <c r="AP192" s="104" t="s">
        <v>262</v>
      </c>
      <c r="AQ192" s="113">
        <v>1.9921</v>
      </c>
      <c r="AR192" s="113">
        <v>3.3445999999999998</v>
      </c>
      <c r="AS192" s="113">
        <v>0.42380000000000001</v>
      </c>
      <c r="AT192" s="113">
        <v>1.4298999999999999</v>
      </c>
      <c r="AU192" s="113">
        <v>0.56279999999999997</v>
      </c>
      <c r="AV192" s="113" t="s">
        <v>1811</v>
      </c>
      <c r="AW192" s="113">
        <v>2.2391000000000001</v>
      </c>
      <c r="AX192" s="113">
        <v>1.3880999999999999</v>
      </c>
      <c r="AY192" s="113">
        <v>1.4533</v>
      </c>
      <c r="AZ192" s="113">
        <v>0.49519999999999997</v>
      </c>
      <c r="BA192" s="114" t="s">
        <v>1811</v>
      </c>
      <c r="BB192" s="18"/>
      <c r="BC192" s="18"/>
      <c r="BD192" s="18"/>
      <c r="BE192" s="18"/>
      <c r="BF192" s="18"/>
      <c r="BG192" s="18"/>
      <c r="BH192" s="18"/>
      <c r="BI192" s="18"/>
      <c r="BJ192" s="18"/>
      <c r="BK192" s="18"/>
      <c r="BL192" s="18"/>
      <c r="BM192" s="18"/>
      <c r="BN192" s="18"/>
      <c r="BO192" s="18"/>
      <c r="BP192" s="18"/>
      <c r="BQ192" s="37"/>
      <c r="BR192" s="38"/>
      <c r="BS192" s="17"/>
      <c r="BT192" s="37"/>
      <c r="BU192" s="38"/>
      <c r="BV192" s="18"/>
      <c r="BW192" s="37"/>
      <c r="BX192" s="38"/>
      <c r="BY192" s="18"/>
      <c r="BZ192" s="39" t="s">
        <v>829</v>
      </c>
      <c r="CA192" s="40" t="s">
        <v>829</v>
      </c>
      <c r="CB192" s="17"/>
      <c r="CC192" s="39" t="s">
        <v>829</v>
      </c>
      <c r="CD192" s="40" t="s">
        <v>829</v>
      </c>
      <c r="CE192" s="18"/>
      <c r="CF192" s="18"/>
      <c r="CG192" s="18"/>
      <c r="CH192" s="18"/>
      <c r="CI192" s="18"/>
      <c r="CJ192" s="18"/>
      <c r="CK192" s="18"/>
      <c r="CL192" s="18"/>
      <c r="CM192" s="18"/>
      <c r="CN192" s="18"/>
      <c r="CO192" s="18"/>
      <c r="CP192" s="18"/>
      <c r="CQ192" s="18"/>
      <c r="CR192" s="18"/>
      <c r="CS192" s="18"/>
      <c r="CT192" s="18"/>
      <c r="CU192" s="18"/>
      <c r="CV192" s="18"/>
      <c r="CW192" s="18"/>
      <c r="CX192" s="18"/>
      <c r="CY192" s="37"/>
      <c r="CZ192" s="38"/>
      <c r="DA192" s="18"/>
      <c r="DB192" s="37">
        <v>44125</v>
      </c>
      <c r="DC192" s="38">
        <v>18.0304</v>
      </c>
      <c r="DD192" s="18"/>
      <c r="DE192" s="37">
        <v>44125</v>
      </c>
      <c r="DF192" s="38">
        <v>16.325800000000001</v>
      </c>
      <c r="DG192" s="18"/>
      <c r="DH192" s="37">
        <v>44125</v>
      </c>
      <c r="DI192" s="38">
        <v>21.462700000000002</v>
      </c>
      <c r="DJ192" s="18"/>
      <c r="DK192" s="37">
        <v>44125</v>
      </c>
      <c r="DL192" s="38">
        <v>0.15609999999999999</v>
      </c>
      <c r="DM192" s="18"/>
      <c r="DN192" s="18"/>
      <c r="DO192" s="18"/>
      <c r="DP192" s="18"/>
      <c r="DQ192" s="18"/>
      <c r="DR192" s="18"/>
      <c r="DS192" s="18"/>
      <c r="DT192" s="18"/>
      <c r="DU192" s="18"/>
      <c r="DV192" s="18"/>
      <c r="DW192" s="18"/>
      <c r="DX192" s="18"/>
      <c r="DY192" s="18"/>
      <c r="DZ192" s="18"/>
    </row>
    <row r="193" spans="1:130" ht="15" customHeight="1" x14ac:dyDescent="0.3">
      <c r="A193" s="30"/>
      <c r="B193" s="73"/>
      <c r="C193" s="74"/>
      <c r="D193" s="74"/>
      <c r="E193" s="74"/>
      <c r="F193" s="74"/>
      <c r="G193" s="74"/>
      <c r="H193" s="74"/>
      <c r="I193" s="74"/>
      <c r="J193" s="74"/>
      <c r="K193" s="74"/>
      <c r="L193" s="74"/>
      <c r="M193" s="75"/>
      <c r="N193" s="17"/>
      <c r="O193" s="17"/>
      <c r="P193" s="17"/>
      <c r="Q193" s="17"/>
      <c r="R193" s="17"/>
      <c r="S193" s="17"/>
      <c r="T193" s="17"/>
      <c r="U193" s="18"/>
      <c r="V193" s="18"/>
      <c r="W193" s="18"/>
      <c r="X193" s="18"/>
      <c r="Y193" s="18"/>
      <c r="Z193" s="18"/>
      <c r="AA193" s="18"/>
      <c r="AB193" s="18"/>
      <c r="AC193" s="18"/>
      <c r="AD193" s="18"/>
      <c r="AE193" s="18"/>
      <c r="AF193" s="85"/>
      <c r="AG193" s="85"/>
      <c r="AH193" s="85"/>
      <c r="AI193" s="85"/>
      <c r="AJ193" s="85"/>
      <c r="AK193" s="85"/>
      <c r="AL193" s="85"/>
      <c r="AM193" s="85"/>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37"/>
      <c r="BR193" s="38"/>
      <c r="BS193" s="17"/>
      <c r="BT193" s="37"/>
      <c r="BU193" s="38"/>
      <c r="BV193" s="18"/>
      <c r="BW193" s="37"/>
      <c r="BX193" s="38"/>
      <c r="BY193" s="18"/>
      <c r="BZ193" s="39" t="s">
        <v>829</v>
      </c>
      <c r="CA193" s="40" t="s">
        <v>829</v>
      </c>
      <c r="CB193" s="17"/>
      <c r="CC193" s="39" t="s">
        <v>829</v>
      </c>
      <c r="CD193" s="40" t="s">
        <v>829</v>
      </c>
      <c r="CE193" s="18"/>
      <c r="CF193" s="18"/>
      <c r="CG193" s="18"/>
      <c r="CH193" s="18"/>
      <c r="CI193" s="18"/>
      <c r="CJ193" s="18"/>
      <c r="CK193" s="18"/>
      <c r="CL193" s="18"/>
      <c r="CM193" s="18"/>
      <c r="CN193" s="18"/>
      <c r="CO193" s="18"/>
      <c r="CP193" s="18"/>
      <c r="CQ193" s="18"/>
      <c r="CR193" s="18"/>
      <c r="CS193" s="18"/>
      <c r="CT193" s="18"/>
      <c r="CU193" s="18"/>
      <c r="CV193" s="18"/>
      <c r="CW193" s="18"/>
      <c r="CX193" s="18"/>
      <c r="CY193" s="37"/>
      <c r="CZ193" s="38"/>
      <c r="DA193" s="18"/>
      <c r="DB193" s="37">
        <v>44126</v>
      </c>
      <c r="DC193" s="38">
        <v>17.8719</v>
      </c>
      <c r="DD193" s="18"/>
      <c r="DE193" s="37">
        <v>44126</v>
      </c>
      <c r="DF193" s="38">
        <v>16.2102</v>
      </c>
      <c r="DG193" s="18"/>
      <c r="DH193" s="37">
        <v>44126</v>
      </c>
      <c r="DI193" s="38">
        <v>21.207000000000001</v>
      </c>
      <c r="DJ193" s="18"/>
      <c r="DK193" s="37">
        <v>44126</v>
      </c>
      <c r="DL193" s="38">
        <v>0.15459999999999999</v>
      </c>
      <c r="DM193" s="18"/>
      <c r="DN193" s="18"/>
      <c r="DO193" s="18"/>
      <c r="DP193" s="18"/>
      <c r="DQ193" s="18"/>
      <c r="DR193" s="18"/>
      <c r="DS193" s="18"/>
      <c r="DT193" s="18"/>
      <c r="DU193" s="18"/>
      <c r="DV193" s="18"/>
      <c r="DW193" s="18"/>
      <c r="DX193" s="18"/>
      <c r="DY193" s="18"/>
      <c r="DZ193" s="18"/>
    </row>
    <row r="194" spans="1:130" ht="15" customHeight="1" x14ac:dyDescent="0.3">
      <c r="A194" s="30"/>
      <c r="B194" s="73"/>
      <c r="C194" s="74"/>
      <c r="D194" s="74"/>
      <c r="E194" s="74"/>
      <c r="F194" s="74"/>
      <c r="G194" s="74"/>
      <c r="H194" s="74"/>
      <c r="I194" s="74"/>
      <c r="J194" s="74"/>
      <c r="K194" s="74"/>
      <c r="L194" s="74"/>
      <c r="M194" s="75"/>
      <c r="N194" s="17"/>
      <c r="O194" s="17"/>
      <c r="P194" s="17"/>
      <c r="Q194" s="17"/>
      <c r="R194" s="17"/>
      <c r="S194" s="17"/>
      <c r="T194" s="17"/>
      <c r="U194" s="18"/>
      <c r="V194" s="18"/>
      <c r="W194" s="18"/>
      <c r="X194" s="18"/>
      <c r="Y194" s="18"/>
      <c r="Z194" s="18"/>
      <c r="AA194" s="18"/>
      <c r="AB194" s="18"/>
      <c r="AC194" s="18"/>
      <c r="AD194" s="18"/>
      <c r="AE194" s="18"/>
      <c r="AF194" s="85"/>
      <c r="AG194" s="85"/>
      <c r="AH194" s="85"/>
      <c r="AI194" s="85"/>
      <c r="AJ194" s="85"/>
      <c r="AK194" s="85"/>
      <c r="AL194" s="85"/>
      <c r="AM194" s="85"/>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37"/>
      <c r="BR194" s="38"/>
      <c r="BS194" s="17"/>
      <c r="BT194" s="37"/>
      <c r="BU194" s="38"/>
      <c r="BV194" s="18"/>
      <c r="BW194" s="37"/>
      <c r="BX194" s="38"/>
      <c r="BY194" s="18"/>
      <c r="BZ194" s="39" t="s">
        <v>829</v>
      </c>
      <c r="CA194" s="40" t="s">
        <v>829</v>
      </c>
      <c r="CB194" s="17"/>
      <c r="CC194" s="39" t="s">
        <v>829</v>
      </c>
      <c r="CD194" s="40" t="s">
        <v>829</v>
      </c>
      <c r="CE194" s="18"/>
      <c r="CF194" s="18"/>
      <c r="CG194" s="18"/>
      <c r="CH194" s="18"/>
      <c r="CI194" s="18"/>
      <c r="CJ194" s="18"/>
      <c r="CK194" s="18"/>
      <c r="CL194" s="18"/>
      <c r="CM194" s="18"/>
      <c r="CN194" s="18"/>
      <c r="CO194" s="18"/>
      <c r="CP194" s="18"/>
      <c r="CQ194" s="18"/>
      <c r="CR194" s="18"/>
      <c r="CS194" s="18"/>
      <c r="CT194" s="18"/>
      <c r="CU194" s="18"/>
      <c r="CV194" s="18"/>
      <c r="CW194" s="18"/>
      <c r="CX194" s="18"/>
      <c r="CY194" s="37"/>
      <c r="CZ194" s="38"/>
      <c r="DA194" s="18"/>
      <c r="DB194" s="37">
        <v>44127</v>
      </c>
      <c r="DC194" s="38">
        <v>17.913799999999998</v>
      </c>
      <c r="DD194" s="18"/>
      <c r="DE194" s="37">
        <v>44127</v>
      </c>
      <c r="DF194" s="38">
        <v>16.1816</v>
      </c>
      <c r="DG194" s="18"/>
      <c r="DH194" s="37">
        <v>44127</v>
      </c>
      <c r="DI194" s="38">
        <v>21.128599999999999</v>
      </c>
      <c r="DJ194" s="18"/>
      <c r="DK194" s="37">
        <v>44127</v>
      </c>
      <c r="DL194" s="38">
        <v>0.15479999999999999</v>
      </c>
      <c r="DM194" s="18"/>
      <c r="DN194" s="18"/>
      <c r="DO194" s="18"/>
      <c r="DP194" s="18"/>
      <c r="DQ194" s="18"/>
      <c r="DR194" s="18"/>
      <c r="DS194" s="18"/>
      <c r="DT194" s="18"/>
      <c r="DU194" s="18"/>
      <c r="DV194" s="18"/>
      <c r="DW194" s="18"/>
      <c r="DX194" s="18"/>
      <c r="DY194" s="18"/>
      <c r="DZ194" s="18"/>
    </row>
    <row r="195" spans="1:130" ht="15" customHeight="1" x14ac:dyDescent="0.3">
      <c r="A195" s="30"/>
      <c r="B195" s="73"/>
      <c r="C195" s="74"/>
      <c r="D195" s="74"/>
      <c r="E195" s="74"/>
      <c r="F195" s="74"/>
      <c r="G195" s="74"/>
      <c r="H195" s="74"/>
      <c r="I195" s="74"/>
      <c r="J195" s="74"/>
      <c r="K195" s="74"/>
      <c r="L195" s="74"/>
      <c r="M195" s="75"/>
      <c r="N195" s="17"/>
      <c r="O195" s="17"/>
      <c r="P195" s="17"/>
      <c r="Q195" s="17"/>
      <c r="R195" s="17"/>
      <c r="S195" s="17"/>
      <c r="T195" s="17"/>
      <c r="U195" s="18"/>
      <c r="V195" s="18"/>
      <c r="W195" s="18"/>
      <c r="X195" s="18"/>
      <c r="Y195" s="18"/>
      <c r="Z195" s="18"/>
      <c r="AA195" s="18"/>
      <c r="AB195" s="18"/>
      <c r="AC195" s="18"/>
      <c r="AD195" s="18"/>
      <c r="AE195" s="18"/>
      <c r="AF195" s="85"/>
      <c r="AG195" s="85"/>
      <c r="AH195" s="85"/>
      <c r="AI195" s="85"/>
      <c r="AJ195" s="85"/>
      <c r="AK195" s="85"/>
      <c r="AL195" s="85"/>
      <c r="AM195" s="85"/>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37"/>
      <c r="BR195" s="38"/>
      <c r="BS195" s="17"/>
      <c r="BT195" s="37"/>
      <c r="BU195" s="38"/>
      <c r="BV195" s="18"/>
      <c r="BW195" s="37"/>
      <c r="BX195" s="38"/>
      <c r="BY195" s="18"/>
      <c r="BZ195" s="39" t="s">
        <v>829</v>
      </c>
      <c r="CA195" s="40" t="s">
        <v>829</v>
      </c>
      <c r="CB195" s="17"/>
      <c r="CC195" s="39" t="s">
        <v>829</v>
      </c>
      <c r="CD195" s="40" t="s">
        <v>829</v>
      </c>
      <c r="CE195" s="18"/>
      <c r="CF195" s="18"/>
      <c r="CG195" s="18"/>
      <c r="CH195" s="18"/>
      <c r="CI195" s="18"/>
      <c r="CJ195" s="18"/>
      <c r="CK195" s="18"/>
      <c r="CL195" s="18"/>
      <c r="CM195" s="18"/>
      <c r="CN195" s="18"/>
      <c r="CO195" s="18"/>
      <c r="CP195" s="18"/>
      <c r="CQ195" s="18"/>
      <c r="CR195" s="18"/>
      <c r="CS195" s="18"/>
      <c r="CT195" s="18"/>
      <c r="CU195" s="18"/>
      <c r="CV195" s="18"/>
      <c r="CW195" s="18"/>
      <c r="CX195" s="18"/>
      <c r="CY195" s="37"/>
      <c r="CZ195" s="38"/>
      <c r="DA195" s="18"/>
      <c r="DB195" s="37">
        <v>44130</v>
      </c>
      <c r="DC195" s="38">
        <v>17.867999999999999</v>
      </c>
      <c r="DD195" s="18"/>
      <c r="DE195" s="37">
        <v>44130</v>
      </c>
      <c r="DF195" s="38">
        <v>16.225999999999999</v>
      </c>
      <c r="DG195" s="18"/>
      <c r="DH195" s="37">
        <v>44130</v>
      </c>
      <c r="DI195" s="38">
        <v>21.119199999999999</v>
      </c>
      <c r="DJ195" s="18"/>
      <c r="DK195" s="37">
        <v>44130</v>
      </c>
      <c r="DL195" s="38">
        <v>0.1547</v>
      </c>
      <c r="DM195" s="18"/>
      <c r="DN195" s="18"/>
      <c r="DO195" s="18"/>
      <c r="DP195" s="18"/>
      <c r="DQ195" s="18"/>
      <c r="DR195" s="18"/>
      <c r="DS195" s="18"/>
      <c r="DT195" s="18"/>
      <c r="DU195" s="18"/>
      <c r="DV195" s="18"/>
      <c r="DW195" s="18"/>
      <c r="DX195" s="18"/>
      <c r="DY195" s="18"/>
      <c r="DZ195" s="18"/>
    </row>
    <row r="196" spans="1:130" ht="15" customHeight="1" x14ac:dyDescent="0.3">
      <c r="A196" s="30"/>
      <c r="B196" s="73"/>
      <c r="C196" s="74"/>
      <c r="D196" s="74"/>
      <c r="E196" s="74"/>
      <c r="F196" s="74"/>
      <c r="G196" s="74"/>
      <c r="H196" s="74"/>
      <c r="I196" s="74"/>
      <c r="J196" s="74"/>
      <c r="K196" s="74"/>
      <c r="L196" s="74"/>
      <c r="M196" s="75"/>
      <c r="N196" s="17"/>
      <c r="O196" s="17"/>
      <c r="P196" s="17"/>
      <c r="Q196" s="17"/>
      <c r="R196" s="17"/>
      <c r="S196" s="17"/>
      <c r="T196" s="17"/>
      <c r="U196" s="18"/>
      <c r="V196" s="18"/>
      <c r="W196" s="18"/>
      <c r="X196" s="18"/>
      <c r="Y196" s="18"/>
      <c r="Z196" s="18"/>
      <c r="AA196" s="18"/>
      <c r="AB196" s="18"/>
      <c r="AC196" s="18"/>
      <c r="AD196" s="18"/>
      <c r="AE196" s="18"/>
      <c r="AF196" s="85"/>
      <c r="AG196" s="85"/>
      <c r="AH196" s="85"/>
      <c r="AI196" s="85"/>
      <c r="AJ196" s="85"/>
      <c r="AK196" s="85"/>
      <c r="AL196" s="85"/>
      <c r="AM196" s="85"/>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37"/>
      <c r="BR196" s="38"/>
      <c r="BS196" s="17"/>
      <c r="BT196" s="37"/>
      <c r="BU196" s="38"/>
      <c r="BV196" s="18"/>
      <c r="BW196" s="37"/>
      <c r="BX196" s="38"/>
      <c r="BY196" s="18"/>
      <c r="BZ196" s="39" t="s">
        <v>829</v>
      </c>
      <c r="CA196" s="40" t="s">
        <v>829</v>
      </c>
      <c r="CB196" s="17"/>
      <c r="CC196" s="39" t="s">
        <v>829</v>
      </c>
      <c r="CD196" s="40" t="s">
        <v>829</v>
      </c>
      <c r="CE196" s="18"/>
      <c r="CF196" s="18"/>
      <c r="CG196" s="18"/>
      <c r="CH196" s="18"/>
      <c r="CI196" s="18"/>
      <c r="CJ196" s="18"/>
      <c r="CK196" s="18"/>
      <c r="CL196" s="18"/>
      <c r="CM196" s="18"/>
      <c r="CN196" s="18"/>
      <c r="CO196" s="18"/>
      <c r="CP196" s="18"/>
      <c r="CQ196" s="18"/>
      <c r="CR196" s="18"/>
      <c r="CS196" s="18"/>
      <c r="CT196" s="18"/>
      <c r="CU196" s="18"/>
      <c r="CV196" s="18"/>
      <c r="CW196" s="18"/>
      <c r="CX196" s="18"/>
      <c r="CY196" s="37"/>
      <c r="CZ196" s="38"/>
      <c r="DA196" s="18"/>
      <c r="DB196" s="37">
        <v>44131</v>
      </c>
      <c r="DC196" s="38">
        <v>17.828600000000002</v>
      </c>
      <c r="DD196" s="18"/>
      <c r="DE196" s="37">
        <v>44131</v>
      </c>
      <c r="DF196" s="38">
        <v>16.2028</v>
      </c>
      <c r="DG196" s="18"/>
      <c r="DH196" s="37">
        <v>44131</v>
      </c>
      <c r="DI196" s="38">
        <v>21.133900000000001</v>
      </c>
      <c r="DJ196" s="18"/>
      <c r="DK196" s="37">
        <v>44131</v>
      </c>
      <c r="DL196" s="38">
        <v>0.1552</v>
      </c>
      <c r="DM196" s="18"/>
      <c r="DN196" s="18"/>
      <c r="DO196" s="18"/>
      <c r="DP196" s="18"/>
      <c r="DQ196" s="18"/>
      <c r="DR196" s="18"/>
      <c r="DS196" s="18"/>
      <c r="DT196" s="18"/>
      <c r="DU196" s="18"/>
      <c r="DV196" s="18"/>
      <c r="DW196" s="18"/>
      <c r="DX196" s="18"/>
      <c r="DY196" s="18"/>
      <c r="DZ196" s="18"/>
    </row>
    <row r="197" spans="1:130" ht="15" customHeight="1" x14ac:dyDescent="0.3">
      <c r="A197" s="115"/>
      <c r="B197" s="121"/>
      <c r="C197" s="117"/>
      <c r="D197" s="117"/>
      <c r="E197" s="117"/>
      <c r="F197" s="117"/>
      <c r="G197" s="117"/>
      <c r="H197" s="117"/>
      <c r="I197" s="117"/>
      <c r="J197" s="117"/>
      <c r="K197" s="117"/>
      <c r="L197" s="117"/>
      <c r="M197" s="118"/>
      <c r="N197" s="17"/>
      <c r="O197" s="17"/>
      <c r="P197" s="17"/>
      <c r="Q197" s="17"/>
      <c r="R197" s="17"/>
      <c r="S197" s="17"/>
      <c r="T197" s="17"/>
      <c r="U197" s="18"/>
      <c r="V197" s="18"/>
      <c r="W197" s="18"/>
      <c r="X197" s="18"/>
      <c r="Y197" s="18"/>
      <c r="Z197" s="18"/>
      <c r="AA197" s="18"/>
      <c r="AB197" s="18"/>
      <c r="AC197" s="18"/>
      <c r="AD197" s="18"/>
      <c r="AE197" s="18"/>
      <c r="AF197" s="85"/>
      <c r="AG197" s="85"/>
      <c r="AH197" s="85"/>
      <c r="AI197" s="85"/>
      <c r="AJ197" s="85"/>
      <c r="AK197" s="85"/>
      <c r="AL197" s="85"/>
      <c r="AM197" s="85"/>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37"/>
      <c r="BR197" s="38"/>
      <c r="BS197" s="17"/>
      <c r="BT197" s="37"/>
      <c r="BU197" s="38"/>
      <c r="BV197" s="18"/>
      <c r="BW197" s="37"/>
      <c r="BX197" s="38"/>
      <c r="BY197" s="18"/>
      <c r="BZ197" s="39" t="s">
        <v>829</v>
      </c>
      <c r="CA197" s="40" t="s">
        <v>829</v>
      </c>
      <c r="CB197" s="17"/>
      <c r="CC197" s="39" t="s">
        <v>829</v>
      </c>
      <c r="CD197" s="40" t="s">
        <v>829</v>
      </c>
      <c r="CE197" s="18"/>
      <c r="CF197" s="18"/>
      <c r="CG197" s="18"/>
      <c r="CH197" s="18"/>
      <c r="CI197" s="18"/>
      <c r="CJ197" s="18"/>
      <c r="CK197" s="18"/>
      <c r="CL197" s="18"/>
      <c r="CM197" s="18"/>
      <c r="CN197" s="18"/>
      <c r="CO197" s="18"/>
      <c r="CP197" s="18"/>
      <c r="CQ197" s="18"/>
      <c r="CR197" s="18"/>
      <c r="CS197" s="18"/>
      <c r="CT197" s="18"/>
      <c r="CU197" s="18"/>
      <c r="CV197" s="18"/>
      <c r="CW197" s="18"/>
      <c r="CX197" s="18"/>
      <c r="CY197" s="37"/>
      <c r="CZ197" s="38"/>
      <c r="DA197" s="18"/>
      <c r="DB197" s="37">
        <v>44132</v>
      </c>
      <c r="DC197" s="38">
        <v>18.0046</v>
      </c>
      <c r="DD197" s="18"/>
      <c r="DE197" s="37">
        <v>44132</v>
      </c>
      <c r="DF197" s="38">
        <v>16.377800000000001</v>
      </c>
      <c r="DG197" s="18"/>
      <c r="DH197" s="37">
        <v>44132</v>
      </c>
      <c r="DI197" s="38">
        <v>21.285699999999999</v>
      </c>
      <c r="DJ197" s="18"/>
      <c r="DK197" s="37">
        <v>44132</v>
      </c>
      <c r="DL197" s="38">
        <v>0.15720000000000001</v>
      </c>
      <c r="DM197" s="18"/>
      <c r="DN197" s="18"/>
      <c r="DO197" s="18"/>
      <c r="DP197" s="18"/>
      <c r="DQ197" s="18"/>
      <c r="DR197" s="18"/>
      <c r="DS197" s="18"/>
      <c r="DT197" s="18"/>
      <c r="DU197" s="18"/>
      <c r="DV197" s="18"/>
      <c r="DW197" s="18"/>
      <c r="DX197" s="18"/>
      <c r="DY197" s="18"/>
      <c r="DZ197" s="18"/>
    </row>
    <row r="198" spans="1:130" ht="15" customHeight="1" x14ac:dyDescent="0.3">
      <c r="A198" s="16"/>
      <c r="B198" s="16"/>
      <c r="C198" s="62"/>
      <c r="D198" s="62"/>
      <c r="E198" s="62"/>
      <c r="F198" s="62"/>
      <c r="G198" s="62"/>
      <c r="H198" s="62"/>
      <c r="I198" s="62"/>
      <c r="J198" s="62"/>
      <c r="K198" s="62"/>
      <c r="L198" s="62"/>
      <c r="M198" s="62"/>
      <c r="N198" s="17"/>
      <c r="O198" s="17"/>
      <c r="P198" s="17"/>
      <c r="Q198" s="17"/>
      <c r="R198" s="17"/>
      <c r="S198" s="17"/>
      <c r="T198" s="17"/>
      <c r="U198" s="18"/>
      <c r="V198" s="18"/>
      <c r="W198" s="18"/>
      <c r="X198" s="18"/>
      <c r="Y198" s="18"/>
      <c r="Z198" s="18"/>
      <c r="AA198" s="18"/>
      <c r="AB198" s="18"/>
      <c r="AC198" s="18"/>
      <c r="AD198" s="18"/>
      <c r="AE198" s="18"/>
      <c r="AF198" s="85"/>
      <c r="AG198" s="85"/>
      <c r="AH198" s="85"/>
      <c r="AI198" s="85"/>
      <c r="AJ198" s="85"/>
      <c r="AK198" s="85"/>
      <c r="AL198" s="85"/>
      <c r="AM198" s="85"/>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37"/>
      <c r="BR198" s="38"/>
      <c r="BS198" s="17"/>
      <c r="BT198" s="37"/>
      <c r="BU198" s="38"/>
      <c r="BV198" s="18"/>
      <c r="BW198" s="37"/>
      <c r="BX198" s="38"/>
      <c r="BY198" s="18"/>
      <c r="BZ198" s="39" t="s">
        <v>829</v>
      </c>
      <c r="CA198" s="40" t="s">
        <v>829</v>
      </c>
      <c r="CB198" s="17"/>
      <c r="CC198" s="39" t="s">
        <v>829</v>
      </c>
      <c r="CD198" s="40" t="s">
        <v>829</v>
      </c>
      <c r="CE198" s="18"/>
      <c r="CF198" s="18"/>
      <c r="CG198" s="18"/>
      <c r="CH198" s="18"/>
      <c r="CI198" s="18"/>
      <c r="CJ198" s="18"/>
      <c r="CK198" s="18"/>
      <c r="CL198" s="18"/>
      <c r="CM198" s="18"/>
      <c r="CN198" s="18"/>
      <c r="CO198" s="18"/>
      <c r="CP198" s="18"/>
      <c r="CQ198" s="18"/>
      <c r="CR198" s="18"/>
      <c r="CS198" s="18"/>
      <c r="CT198" s="18"/>
      <c r="CU198" s="18"/>
      <c r="CV198" s="18"/>
      <c r="CW198" s="18"/>
      <c r="CX198" s="18"/>
      <c r="CY198" s="37"/>
      <c r="CZ198" s="38"/>
      <c r="DA198" s="18"/>
      <c r="DB198" s="37">
        <v>44133</v>
      </c>
      <c r="DC198" s="38">
        <v>17.901800000000001</v>
      </c>
      <c r="DD198" s="18"/>
      <c r="DE198" s="37">
        <v>44133</v>
      </c>
      <c r="DF198" s="38">
        <v>16.397600000000001</v>
      </c>
      <c r="DG198" s="18"/>
      <c r="DH198" s="37">
        <v>44133</v>
      </c>
      <c r="DI198" s="38">
        <v>21.201799999999999</v>
      </c>
      <c r="DJ198" s="18"/>
      <c r="DK198" s="37">
        <v>44133</v>
      </c>
      <c r="DL198" s="38">
        <v>0.15679999999999999</v>
      </c>
      <c r="DM198" s="18"/>
      <c r="DN198" s="18"/>
      <c r="DO198" s="18"/>
      <c r="DP198" s="18"/>
      <c r="DQ198" s="18"/>
      <c r="DR198" s="18"/>
      <c r="DS198" s="18"/>
      <c r="DT198" s="18"/>
      <c r="DU198" s="18"/>
      <c r="DV198" s="18"/>
      <c r="DW198" s="18"/>
      <c r="DX198" s="18"/>
      <c r="DY198" s="18"/>
      <c r="DZ198" s="18"/>
    </row>
    <row r="199" spans="1:130" ht="15" customHeight="1" x14ac:dyDescent="0.3">
      <c r="A199" s="16"/>
      <c r="B199" s="16"/>
      <c r="C199" s="62"/>
      <c r="D199" s="62"/>
      <c r="E199" s="62"/>
      <c r="F199" s="62"/>
      <c r="G199" s="62"/>
      <c r="H199" s="62"/>
      <c r="I199" s="62"/>
      <c r="J199" s="62"/>
      <c r="K199" s="62"/>
      <c r="L199" s="62"/>
      <c r="M199" s="62"/>
      <c r="N199" s="17"/>
      <c r="O199" s="17"/>
      <c r="P199" s="17"/>
      <c r="Q199" s="17"/>
      <c r="R199" s="17"/>
      <c r="S199" s="17"/>
      <c r="T199" s="17"/>
      <c r="U199" s="18"/>
      <c r="V199" s="18"/>
      <c r="W199" s="18"/>
      <c r="X199" s="18"/>
      <c r="Y199" s="18"/>
      <c r="Z199" s="18"/>
      <c r="AA199" s="18"/>
      <c r="AB199" s="18"/>
      <c r="AC199" s="18"/>
      <c r="AD199" s="18"/>
      <c r="AE199" s="18"/>
      <c r="AF199" s="85"/>
      <c r="AG199" s="85"/>
      <c r="AH199" s="85"/>
      <c r="AI199" s="85"/>
      <c r="AJ199" s="85"/>
      <c r="AK199" s="85"/>
      <c r="AL199" s="85"/>
      <c r="AM199" s="85"/>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37"/>
      <c r="BR199" s="38"/>
      <c r="BS199" s="17"/>
      <c r="BT199" s="37"/>
      <c r="BU199" s="38"/>
      <c r="BV199" s="18"/>
      <c r="BW199" s="37"/>
      <c r="BX199" s="38"/>
      <c r="BY199" s="18"/>
      <c r="BZ199" s="39" t="s">
        <v>829</v>
      </c>
      <c r="CA199" s="40" t="s">
        <v>829</v>
      </c>
      <c r="CB199" s="17"/>
      <c r="CC199" s="39" t="s">
        <v>829</v>
      </c>
      <c r="CD199" s="40" t="s">
        <v>829</v>
      </c>
      <c r="CE199" s="18"/>
      <c r="CF199" s="18"/>
      <c r="CG199" s="18"/>
      <c r="CH199" s="18"/>
      <c r="CI199" s="18"/>
      <c r="CJ199" s="18"/>
      <c r="CK199" s="18"/>
      <c r="CL199" s="18"/>
      <c r="CM199" s="18"/>
      <c r="CN199" s="18"/>
      <c r="CO199" s="18"/>
      <c r="CP199" s="18"/>
      <c r="CQ199" s="18"/>
      <c r="CR199" s="18"/>
      <c r="CS199" s="18"/>
      <c r="CT199" s="18"/>
      <c r="CU199" s="18"/>
      <c r="CV199" s="18"/>
      <c r="CW199" s="18"/>
      <c r="CX199" s="18"/>
      <c r="CY199" s="37"/>
      <c r="CZ199" s="38"/>
      <c r="DA199" s="18"/>
      <c r="DB199" s="37">
        <v>44134</v>
      </c>
      <c r="DC199" s="38">
        <v>17.714200000000002</v>
      </c>
      <c r="DD199" s="18"/>
      <c r="DE199" s="37">
        <v>44134</v>
      </c>
      <c r="DF199" s="38">
        <v>16.2439</v>
      </c>
      <c r="DG199" s="18"/>
      <c r="DH199" s="37">
        <v>44134</v>
      </c>
      <c r="DI199" s="38">
        <v>21.043399999999998</v>
      </c>
      <c r="DJ199" s="18"/>
      <c r="DK199" s="37">
        <v>44134</v>
      </c>
      <c r="DL199" s="38">
        <v>0.15529999999999999</v>
      </c>
      <c r="DM199" s="18"/>
      <c r="DN199" s="18"/>
      <c r="DO199" s="18"/>
      <c r="DP199" s="18"/>
      <c r="DQ199" s="18"/>
      <c r="DR199" s="18"/>
      <c r="DS199" s="18"/>
      <c r="DT199" s="18"/>
      <c r="DU199" s="18"/>
      <c r="DV199" s="18"/>
      <c r="DW199" s="18"/>
      <c r="DX199" s="18"/>
      <c r="DY199" s="18"/>
      <c r="DZ199" s="18"/>
    </row>
    <row r="200" spans="1:130" ht="15" customHeight="1" x14ac:dyDescent="0.3">
      <c r="A200" s="16"/>
      <c r="B200" s="16"/>
      <c r="C200" s="62"/>
      <c r="D200" s="62"/>
      <c r="E200" s="62"/>
      <c r="F200" s="62"/>
      <c r="G200" s="62"/>
      <c r="H200" s="62"/>
      <c r="I200" s="62"/>
      <c r="J200" s="62"/>
      <c r="K200" s="62"/>
      <c r="L200" s="62"/>
      <c r="M200" s="62"/>
      <c r="N200" s="17"/>
      <c r="O200" s="17"/>
      <c r="P200" s="17"/>
      <c r="Q200" s="17"/>
      <c r="R200" s="17"/>
      <c r="S200" s="17"/>
      <c r="T200" s="17"/>
      <c r="U200" s="18"/>
      <c r="V200" s="18"/>
      <c r="W200" s="18"/>
      <c r="X200" s="18"/>
      <c r="Y200" s="18"/>
      <c r="Z200" s="18"/>
      <c r="AA200" s="18"/>
      <c r="AB200" s="18"/>
      <c r="AC200" s="18"/>
      <c r="AD200" s="18"/>
      <c r="AE200" s="18"/>
      <c r="AF200" s="85"/>
      <c r="AG200" s="85"/>
      <c r="AH200" s="85"/>
      <c r="AI200" s="85"/>
      <c r="AJ200" s="85"/>
      <c r="AK200" s="85"/>
      <c r="AL200" s="85"/>
      <c r="AM200" s="85"/>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37"/>
      <c r="BR200" s="38"/>
      <c r="BS200" s="17"/>
      <c r="BT200" s="37"/>
      <c r="BU200" s="38"/>
      <c r="BV200" s="18"/>
      <c r="BW200" s="37"/>
      <c r="BX200" s="38"/>
      <c r="BY200" s="18"/>
      <c r="BZ200" s="39" t="s">
        <v>829</v>
      </c>
      <c r="CA200" s="40" t="s">
        <v>829</v>
      </c>
      <c r="CB200" s="17"/>
      <c r="CC200" s="39" t="s">
        <v>829</v>
      </c>
      <c r="CD200" s="40" t="s">
        <v>829</v>
      </c>
      <c r="CE200" s="18"/>
      <c r="CF200" s="18"/>
      <c r="CG200" s="18"/>
      <c r="CH200" s="18"/>
      <c r="CI200" s="18"/>
      <c r="CJ200" s="18"/>
      <c r="CK200" s="18"/>
      <c r="CL200" s="18"/>
      <c r="CM200" s="18"/>
      <c r="CN200" s="18"/>
      <c r="CO200" s="18"/>
      <c r="CP200" s="18"/>
      <c r="CQ200" s="18"/>
      <c r="CR200" s="18"/>
      <c r="CS200" s="18"/>
      <c r="CT200" s="18"/>
      <c r="CU200" s="18"/>
      <c r="CV200" s="18"/>
      <c r="CW200" s="18"/>
      <c r="CX200" s="18"/>
      <c r="CY200" s="37"/>
      <c r="CZ200" s="38"/>
      <c r="DA200" s="18"/>
      <c r="DB200" s="37">
        <v>44137</v>
      </c>
      <c r="DC200" s="38">
        <v>17.633500000000002</v>
      </c>
      <c r="DD200" s="18"/>
      <c r="DE200" s="37">
        <v>44137</v>
      </c>
      <c r="DF200" s="38">
        <v>16.226400000000002</v>
      </c>
      <c r="DG200" s="18"/>
      <c r="DH200" s="37">
        <v>44137</v>
      </c>
      <c r="DI200" s="38">
        <v>20.9329</v>
      </c>
      <c r="DJ200" s="18"/>
      <c r="DK200" s="37">
        <v>44137</v>
      </c>
      <c r="DL200" s="38">
        <v>0.1547</v>
      </c>
      <c r="DM200" s="18"/>
      <c r="DN200" s="18"/>
      <c r="DO200" s="18"/>
      <c r="DP200" s="18"/>
      <c r="DQ200" s="18"/>
      <c r="DR200" s="18"/>
      <c r="DS200" s="18"/>
      <c r="DT200" s="18"/>
      <c r="DU200" s="18"/>
      <c r="DV200" s="18"/>
      <c r="DW200" s="18"/>
      <c r="DX200" s="18"/>
      <c r="DY200" s="18"/>
      <c r="DZ200" s="18"/>
    </row>
    <row r="201" spans="1:130" ht="15" customHeight="1" x14ac:dyDescent="0.3">
      <c r="A201" s="16"/>
      <c r="B201" s="16"/>
      <c r="C201" s="62"/>
      <c r="D201" s="62"/>
      <c r="E201" s="62"/>
      <c r="F201" s="62"/>
      <c r="G201" s="62"/>
      <c r="H201" s="62"/>
      <c r="I201" s="62"/>
      <c r="J201" s="62"/>
      <c r="K201" s="62"/>
      <c r="L201" s="62"/>
      <c r="M201" s="62"/>
      <c r="N201" s="17"/>
      <c r="O201" s="17"/>
      <c r="P201" s="17"/>
      <c r="Q201" s="17"/>
      <c r="R201" s="17"/>
      <c r="S201" s="17"/>
      <c r="T201" s="17"/>
      <c r="U201" s="18"/>
      <c r="V201" s="18"/>
      <c r="W201" s="18"/>
      <c r="X201" s="18"/>
      <c r="Y201" s="18"/>
      <c r="Z201" s="18"/>
      <c r="AA201" s="18"/>
      <c r="AB201" s="18"/>
      <c r="AC201" s="18"/>
      <c r="AD201" s="18"/>
      <c r="AE201" s="18"/>
      <c r="AF201" s="85"/>
      <c r="AG201" s="85"/>
      <c r="AH201" s="85"/>
      <c r="AI201" s="85"/>
      <c r="AJ201" s="85"/>
      <c r="AK201" s="85"/>
      <c r="AL201" s="85"/>
      <c r="AM201" s="85"/>
      <c r="AN201" s="18"/>
      <c r="AO201" s="18"/>
      <c r="AP201" s="18"/>
      <c r="AQ201" s="122"/>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37"/>
      <c r="BR201" s="38"/>
      <c r="BS201" s="17"/>
      <c r="BT201" s="37"/>
      <c r="BU201" s="38"/>
      <c r="BV201" s="18"/>
      <c r="BW201" s="37"/>
      <c r="BX201" s="38"/>
      <c r="BY201" s="18"/>
      <c r="BZ201" s="39" t="s">
        <v>829</v>
      </c>
      <c r="CA201" s="40" t="s">
        <v>829</v>
      </c>
      <c r="CB201" s="17"/>
      <c r="CC201" s="39" t="s">
        <v>829</v>
      </c>
      <c r="CD201" s="40" t="s">
        <v>829</v>
      </c>
      <c r="CE201" s="18"/>
      <c r="CF201" s="18"/>
      <c r="CG201" s="18"/>
      <c r="CH201" s="18"/>
      <c r="CI201" s="18"/>
      <c r="CJ201" s="18"/>
      <c r="CK201" s="18"/>
      <c r="CL201" s="18"/>
      <c r="CM201" s="18"/>
      <c r="CN201" s="18"/>
      <c r="CO201" s="18"/>
      <c r="CP201" s="18"/>
      <c r="CQ201" s="18"/>
      <c r="CR201" s="18"/>
      <c r="CS201" s="18"/>
      <c r="CT201" s="18"/>
      <c r="CU201" s="18"/>
      <c r="CV201" s="18"/>
      <c r="CW201" s="18"/>
      <c r="CX201" s="18"/>
      <c r="CY201" s="37"/>
      <c r="CZ201" s="38"/>
      <c r="DA201" s="18"/>
      <c r="DB201" s="37">
        <v>44138</v>
      </c>
      <c r="DC201" s="38">
        <v>17.604700000000001</v>
      </c>
      <c r="DD201" s="18"/>
      <c r="DE201" s="37">
        <v>44138</v>
      </c>
      <c r="DF201" s="38">
        <v>16.0625</v>
      </c>
      <c r="DG201" s="18"/>
      <c r="DH201" s="37">
        <v>44138</v>
      </c>
      <c r="DI201" s="38">
        <v>20.9651</v>
      </c>
      <c r="DJ201" s="18"/>
      <c r="DK201" s="37">
        <v>44138</v>
      </c>
      <c r="DL201" s="38">
        <v>0.1537</v>
      </c>
      <c r="DM201" s="18"/>
      <c r="DN201" s="18"/>
      <c r="DO201" s="18"/>
      <c r="DP201" s="18"/>
      <c r="DQ201" s="18"/>
      <c r="DR201" s="18"/>
      <c r="DS201" s="18"/>
      <c r="DT201" s="18"/>
      <c r="DU201" s="18"/>
      <c r="DV201" s="18"/>
      <c r="DW201" s="18"/>
      <c r="DX201" s="18"/>
      <c r="DY201" s="18"/>
      <c r="DZ201" s="18"/>
    </row>
    <row r="202" spans="1:130" ht="15" customHeight="1" thickBot="1" x14ac:dyDescent="0.35">
      <c r="A202" s="16"/>
      <c r="B202" s="16"/>
      <c r="C202" s="62"/>
      <c r="D202" s="62"/>
      <c r="E202" s="62"/>
      <c r="F202" s="62"/>
      <c r="G202" s="62"/>
      <c r="H202" s="62"/>
      <c r="I202" s="62"/>
      <c r="J202" s="62"/>
      <c r="K202" s="62"/>
      <c r="L202" s="62"/>
      <c r="M202" s="62"/>
      <c r="N202" s="17"/>
      <c r="O202" s="17"/>
      <c r="P202" s="17"/>
      <c r="Q202" s="17"/>
      <c r="R202" s="17"/>
      <c r="S202" s="17"/>
      <c r="T202" s="17"/>
      <c r="U202" s="18"/>
      <c r="V202" s="18"/>
      <c r="W202" s="18"/>
      <c r="X202" s="18"/>
      <c r="Y202" s="18"/>
      <c r="Z202" s="18"/>
      <c r="AA202" s="18"/>
      <c r="AB202" s="18"/>
      <c r="AC202" s="18"/>
      <c r="AD202" s="18"/>
      <c r="AE202" s="18"/>
      <c r="AF202" s="85"/>
      <c r="AG202" s="85"/>
      <c r="AH202" s="85"/>
      <c r="AI202" s="85"/>
      <c r="AJ202" s="85"/>
      <c r="AK202" s="85"/>
      <c r="AL202" s="85"/>
      <c r="AM202" s="85"/>
      <c r="AN202" s="18"/>
      <c r="AO202" s="18"/>
      <c r="AP202" s="18"/>
      <c r="AQ202" s="122"/>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37"/>
      <c r="BR202" s="38"/>
      <c r="BS202" s="17"/>
      <c r="BT202" s="37"/>
      <c r="BU202" s="38"/>
      <c r="BV202" s="18"/>
      <c r="BW202" s="37"/>
      <c r="BX202" s="38"/>
      <c r="BY202" s="18"/>
      <c r="BZ202" s="39" t="s">
        <v>829</v>
      </c>
      <c r="CA202" s="40" t="s">
        <v>829</v>
      </c>
      <c r="CB202" s="17"/>
      <c r="CC202" s="39" t="s">
        <v>829</v>
      </c>
      <c r="CD202" s="40" t="s">
        <v>829</v>
      </c>
      <c r="CE202" s="18"/>
      <c r="CF202" s="18"/>
      <c r="CG202" s="18"/>
      <c r="CH202" s="18"/>
      <c r="CI202" s="18"/>
      <c r="CJ202" s="18"/>
      <c r="CK202" s="18"/>
      <c r="CL202" s="18"/>
      <c r="CM202" s="18"/>
      <c r="CN202" s="18"/>
      <c r="CO202" s="18"/>
      <c r="CP202" s="18"/>
      <c r="CQ202" s="18"/>
      <c r="CR202" s="18"/>
      <c r="CS202" s="18"/>
      <c r="CT202" s="18"/>
      <c r="CU202" s="18"/>
      <c r="CV202" s="18"/>
      <c r="CW202" s="18"/>
      <c r="CX202" s="18"/>
      <c r="CY202" s="37"/>
      <c r="CZ202" s="38"/>
      <c r="DA202" s="18"/>
      <c r="DB202" s="37">
        <v>44139</v>
      </c>
      <c r="DC202" s="38">
        <v>17.4026</v>
      </c>
      <c r="DD202" s="18"/>
      <c r="DE202" s="37">
        <v>44139</v>
      </c>
      <c r="DF202" s="38">
        <v>15.874000000000001</v>
      </c>
      <c r="DG202" s="18"/>
      <c r="DH202" s="37">
        <v>44139</v>
      </c>
      <c r="DI202" s="38">
        <v>20.614699999999999</v>
      </c>
      <c r="DJ202" s="18"/>
      <c r="DK202" s="37">
        <v>44139</v>
      </c>
      <c r="DL202" s="38">
        <v>0.15179999999999999</v>
      </c>
      <c r="DM202" s="18"/>
      <c r="DN202" s="18"/>
      <c r="DO202" s="18"/>
      <c r="DP202" s="18"/>
      <c r="DQ202" s="18"/>
      <c r="DR202" s="18"/>
      <c r="DS202" s="18"/>
      <c r="DT202" s="18"/>
      <c r="DU202" s="18"/>
      <c r="DV202" s="18"/>
      <c r="DW202" s="18"/>
      <c r="DX202" s="18"/>
      <c r="DY202" s="18"/>
      <c r="DZ202" s="18"/>
    </row>
    <row r="203" spans="1:130" ht="15" customHeight="1" x14ac:dyDescent="0.3">
      <c r="A203" s="24"/>
      <c r="B203" s="125" t="s">
        <v>319</v>
      </c>
      <c r="C203" s="65"/>
      <c r="D203" s="65"/>
      <c r="E203" s="65"/>
      <c r="F203" s="65"/>
      <c r="G203" s="65"/>
      <c r="H203" s="65"/>
      <c r="I203" s="65"/>
      <c r="J203" s="65"/>
      <c r="K203" s="65"/>
      <c r="L203" s="65"/>
      <c r="M203" s="66"/>
      <c r="N203" s="17"/>
      <c r="O203" s="17"/>
      <c r="P203" s="17"/>
      <c r="Q203" s="17"/>
      <c r="R203" s="17"/>
      <c r="S203" s="17"/>
      <c r="T203" s="17"/>
      <c r="U203" s="18"/>
      <c r="V203" s="18"/>
      <c r="W203" s="18"/>
      <c r="X203" s="18"/>
      <c r="Y203" s="18"/>
      <c r="Z203" s="18"/>
      <c r="AA203" s="18"/>
      <c r="AB203" s="18"/>
      <c r="AC203" s="18"/>
      <c r="AD203" s="18"/>
      <c r="AE203" s="18"/>
      <c r="AF203" s="85"/>
      <c r="AG203" s="85"/>
      <c r="AH203" s="85"/>
      <c r="AI203" s="85"/>
      <c r="AJ203" s="85"/>
      <c r="AK203" s="85"/>
      <c r="AL203" s="85"/>
      <c r="AM203" s="85"/>
      <c r="AN203" s="18"/>
      <c r="AO203" s="18"/>
      <c r="AP203" s="126" t="s">
        <v>319</v>
      </c>
      <c r="AQ203" s="127"/>
      <c r="AR203" s="127"/>
      <c r="AS203" s="127"/>
      <c r="AT203" s="127"/>
      <c r="AU203" s="127"/>
      <c r="AV203" s="127"/>
      <c r="AW203" s="127"/>
      <c r="AX203" s="127"/>
      <c r="AY203" s="127"/>
      <c r="AZ203" s="127"/>
      <c r="BA203" s="128"/>
      <c r="BB203" s="18"/>
      <c r="BC203" s="18"/>
      <c r="BD203" s="18"/>
      <c r="BE203" s="18"/>
      <c r="BF203" s="18"/>
      <c r="BG203" s="18"/>
      <c r="BH203" s="18"/>
      <c r="BI203" s="18"/>
      <c r="BJ203" s="18"/>
      <c r="BK203" s="18"/>
      <c r="BL203" s="18"/>
      <c r="BM203" s="18"/>
      <c r="BN203" s="18"/>
      <c r="BO203" s="18"/>
      <c r="BP203" s="18"/>
      <c r="BQ203" s="37"/>
      <c r="BR203" s="38"/>
      <c r="BS203" s="17"/>
      <c r="BT203" s="37"/>
      <c r="BU203" s="38"/>
      <c r="BV203" s="18"/>
      <c r="BW203" s="37"/>
      <c r="BX203" s="38"/>
      <c r="BY203" s="18"/>
      <c r="BZ203" s="39" t="s">
        <v>829</v>
      </c>
      <c r="CA203" s="40" t="s">
        <v>829</v>
      </c>
      <c r="CB203" s="17"/>
      <c r="CC203" s="39" t="s">
        <v>829</v>
      </c>
      <c r="CD203" s="40" t="s">
        <v>829</v>
      </c>
      <c r="CE203" s="18"/>
      <c r="CF203" s="18"/>
      <c r="CG203" s="18"/>
      <c r="CH203" s="18"/>
      <c r="CI203" s="18"/>
      <c r="CJ203" s="18"/>
      <c r="CK203" s="18"/>
      <c r="CL203" s="18"/>
      <c r="CM203" s="18"/>
      <c r="CN203" s="18"/>
      <c r="CO203" s="18"/>
      <c r="CP203" s="18"/>
      <c r="CQ203" s="18"/>
      <c r="CR203" s="18"/>
      <c r="CS203" s="18"/>
      <c r="CT203" s="18"/>
      <c r="CU203" s="18"/>
      <c r="CV203" s="18"/>
      <c r="CW203" s="18"/>
      <c r="CX203" s="18"/>
      <c r="CY203" s="37"/>
      <c r="CZ203" s="38"/>
      <c r="DA203" s="18"/>
      <c r="DB203" s="37">
        <v>44140</v>
      </c>
      <c r="DC203" s="38">
        <v>17.345600000000001</v>
      </c>
      <c r="DD203" s="18"/>
      <c r="DE203" s="37">
        <v>44140</v>
      </c>
      <c r="DF203" s="38">
        <v>15.6866</v>
      </c>
      <c r="DG203" s="18"/>
      <c r="DH203" s="37">
        <v>44140</v>
      </c>
      <c r="DI203" s="38">
        <v>20.628599999999999</v>
      </c>
      <c r="DJ203" s="18"/>
      <c r="DK203" s="37">
        <v>44140</v>
      </c>
      <c r="DL203" s="38">
        <v>0.15160000000000001</v>
      </c>
      <c r="DM203" s="18"/>
      <c r="DN203" s="18"/>
      <c r="DO203" s="18"/>
      <c r="DP203" s="18"/>
      <c r="DQ203" s="18"/>
      <c r="DR203" s="18"/>
      <c r="DS203" s="18"/>
      <c r="DT203" s="18"/>
      <c r="DU203" s="18"/>
      <c r="DV203" s="18"/>
      <c r="DW203" s="18"/>
      <c r="DX203" s="18"/>
      <c r="DY203" s="18"/>
      <c r="DZ203" s="18"/>
    </row>
    <row r="204" spans="1:130" ht="15" customHeight="1" x14ac:dyDescent="0.3">
      <c r="A204" s="30"/>
      <c r="B204" s="47"/>
      <c r="C204" s="48"/>
      <c r="D204" s="48"/>
      <c r="E204" s="48"/>
      <c r="F204" s="48"/>
      <c r="G204" s="48"/>
      <c r="H204" s="48"/>
      <c r="I204" s="48"/>
      <c r="J204" s="48"/>
      <c r="K204" s="48"/>
      <c r="L204" s="48"/>
      <c r="M204" s="49"/>
      <c r="N204" s="17"/>
      <c r="O204" s="17"/>
      <c r="P204" s="17"/>
      <c r="Q204" s="17"/>
      <c r="R204" s="17"/>
      <c r="S204" s="17"/>
      <c r="T204" s="17"/>
      <c r="U204" s="18"/>
      <c r="V204" s="18"/>
      <c r="W204" s="18"/>
      <c r="X204" s="18"/>
      <c r="Y204" s="18"/>
      <c r="Z204" s="18"/>
      <c r="AA204" s="18"/>
      <c r="AB204" s="18"/>
      <c r="AC204" s="18"/>
      <c r="AD204" s="18"/>
      <c r="AE204" s="18"/>
      <c r="AF204" s="85"/>
      <c r="AG204" s="85"/>
      <c r="AH204" s="85"/>
      <c r="AI204" s="85"/>
      <c r="AJ204" s="85"/>
      <c r="AK204" s="85"/>
      <c r="AL204" s="85"/>
      <c r="AM204" s="85"/>
      <c r="AN204" s="18"/>
      <c r="AO204" s="18"/>
      <c r="AP204" s="77"/>
      <c r="AQ204" s="129"/>
      <c r="AR204" s="129"/>
      <c r="AS204" s="129"/>
      <c r="AT204" s="129"/>
      <c r="AU204" s="129"/>
      <c r="AV204" s="129"/>
      <c r="AW204" s="129"/>
      <c r="AX204" s="129"/>
      <c r="AY204" s="129"/>
      <c r="AZ204" s="129"/>
      <c r="BA204" s="130"/>
      <c r="BB204" s="18"/>
      <c r="BC204" s="18"/>
      <c r="BD204" s="18"/>
      <c r="BE204" s="18"/>
      <c r="BF204" s="18"/>
      <c r="BG204" s="18"/>
      <c r="BH204" s="18"/>
      <c r="BI204" s="18"/>
      <c r="BJ204" s="18"/>
      <c r="BK204" s="18"/>
      <c r="BL204" s="18"/>
      <c r="BM204" s="18"/>
      <c r="BN204" s="18"/>
      <c r="BO204" s="18"/>
      <c r="BP204" s="18"/>
      <c r="BQ204" s="37"/>
      <c r="BR204" s="38"/>
      <c r="BS204" s="17"/>
      <c r="BT204" s="37"/>
      <c r="BU204" s="38"/>
      <c r="BV204" s="18"/>
      <c r="BW204" s="37"/>
      <c r="BX204" s="38"/>
      <c r="BY204" s="18"/>
      <c r="BZ204" s="39" t="s">
        <v>829</v>
      </c>
      <c r="CA204" s="40" t="s">
        <v>829</v>
      </c>
      <c r="CB204" s="17"/>
      <c r="CC204" s="39" t="s">
        <v>829</v>
      </c>
      <c r="CD204" s="40" t="s">
        <v>829</v>
      </c>
      <c r="CE204" s="18"/>
      <c r="CF204" s="18"/>
      <c r="CG204" s="18"/>
      <c r="CH204" s="18"/>
      <c r="CI204" s="18"/>
      <c r="CJ204" s="18"/>
      <c r="CK204" s="18"/>
      <c r="CL204" s="18"/>
      <c r="CM204" s="18"/>
      <c r="CN204" s="18"/>
      <c r="CO204" s="18"/>
      <c r="CP204" s="18"/>
      <c r="CQ204" s="18"/>
      <c r="CR204" s="18"/>
      <c r="CS204" s="18"/>
      <c r="CT204" s="18"/>
      <c r="CU204" s="18"/>
      <c r="CV204" s="18"/>
      <c r="CW204" s="18"/>
      <c r="CX204" s="18"/>
      <c r="CY204" s="37"/>
      <c r="CZ204" s="38"/>
      <c r="DA204" s="18"/>
      <c r="DB204" s="37">
        <v>44141</v>
      </c>
      <c r="DC204" s="38">
        <v>17.334599999999998</v>
      </c>
      <c r="DD204" s="18"/>
      <c r="DE204" s="37">
        <v>44141</v>
      </c>
      <c r="DF204" s="38">
        <v>15.603300000000001</v>
      </c>
      <c r="DG204" s="18"/>
      <c r="DH204" s="37">
        <v>44141</v>
      </c>
      <c r="DI204" s="38">
        <v>20.5154</v>
      </c>
      <c r="DJ204" s="18"/>
      <c r="DK204" s="37">
        <v>44141</v>
      </c>
      <c r="DL204" s="38">
        <v>0.151</v>
      </c>
      <c r="DM204" s="18"/>
      <c r="DN204" s="18"/>
      <c r="DO204" s="18"/>
      <c r="DP204" s="18"/>
      <c r="DQ204" s="18"/>
      <c r="DR204" s="18"/>
      <c r="DS204" s="18"/>
      <c r="DT204" s="18"/>
      <c r="DU204" s="18"/>
      <c r="DV204" s="18"/>
      <c r="DW204" s="18"/>
      <c r="DX204" s="18"/>
      <c r="DY204" s="18"/>
      <c r="DZ204" s="18"/>
    </row>
    <row r="205" spans="1:130" ht="15" customHeight="1" x14ac:dyDescent="0.3">
      <c r="A205" s="30" t="s">
        <v>344</v>
      </c>
      <c r="B205" s="47" t="s">
        <v>345</v>
      </c>
      <c r="C205" s="48">
        <v>2022</v>
      </c>
      <c r="D205" s="48">
        <v>2021</v>
      </c>
      <c r="E205" s="48">
        <v>2020</v>
      </c>
      <c r="F205" s="48">
        <v>2019</v>
      </c>
      <c r="G205" s="48">
        <v>2018</v>
      </c>
      <c r="H205" s="48">
        <v>2017</v>
      </c>
      <c r="I205" s="48">
        <v>2016</v>
      </c>
      <c r="J205" s="48">
        <v>2015</v>
      </c>
      <c r="K205" s="48">
        <v>2014</v>
      </c>
      <c r="L205" s="48">
        <v>2013</v>
      </c>
      <c r="M205" s="49">
        <v>2012</v>
      </c>
      <c r="N205" s="17"/>
      <c r="O205" s="17"/>
      <c r="P205" s="17"/>
      <c r="Q205" s="17"/>
      <c r="R205" s="17"/>
      <c r="S205" s="17"/>
      <c r="T205" s="17"/>
      <c r="U205" s="18"/>
      <c r="V205" s="18"/>
      <c r="W205" s="18"/>
      <c r="X205" s="18"/>
      <c r="Y205" s="18"/>
      <c r="Z205" s="18"/>
      <c r="AA205" s="18"/>
      <c r="AB205" s="18"/>
      <c r="AC205" s="18"/>
      <c r="AD205" s="18"/>
      <c r="AE205" s="18" t="s">
        <v>345</v>
      </c>
      <c r="AF205" s="76">
        <v>2022</v>
      </c>
      <c r="AG205" s="76">
        <v>2021</v>
      </c>
      <c r="AH205" s="76">
        <v>2020</v>
      </c>
      <c r="AI205" s="76">
        <v>2019</v>
      </c>
      <c r="AJ205" s="76">
        <v>2018</v>
      </c>
      <c r="AK205" s="76">
        <v>2017</v>
      </c>
      <c r="AL205" s="76">
        <v>2016</v>
      </c>
      <c r="AM205" s="76">
        <v>2015</v>
      </c>
      <c r="AN205" s="18"/>
      <c r="AO205" s="18"/>
      <c r="AP205" s="77"/>
      <c r="AQ205" s="129" t="s">
        <v>1924</v>
      </c>
      <c r="AR205" s="129" t="s">
        <v>1921</v>
      </c>
      <c r="AS205" s="129" t="s">
        <v>1821</v>
      </c>
      <c r="AT205" s="129" t="s">
        <v>1812</v>
      </c>
      <c r="AU205" s="129" t="s">
        <v>1813</v>
      </c>
      <c r="AV205" s="129" t="s">
        <v>1814</v>
      </c>
      <c r="AW205" s="129" t="s">
        <v>1815</v>
      </c>
      <c r="AX205" s="129" t="s">
        <v>1816</v>
      </c>
      <c r="AY205" s="129" t="s">
        <v>1817</v>
      </c>
      <c r="AZ205" s="129" t="s">
        <v>1818</v>
      </c>
      <c r="BA205" s="130" t="s">
        <v>1819</v>
      </c>
      <c r="BB205" s="18"/>
      <c r="BC205" s="18"/>
      <c r="BD205" s="18"/>
      <c r="BE205" s="18"/>
      <c r="BF205" s="18"/>
      <c r="BG205" s="18"/>
      <c r="BH205" s="18"/>
      <c r="BI205" s="18"/>
      <c r="BJ205" s="18"/>
      <c r="BK205" s="18"/>
      <c r="BL205" s="18"/>
      <c r="BM205" s="18"/>
      <c r="BN205" s="18"/>
      <c r="BO205" s="18"/>
      <c r="BP205" s="18"/>
      <c r="BQ205" s="37"/>
      <c r="BR205" s="38"/>
      <c r="BS205" s="17"/>
      <c r="BT205" s="37"/>
      <c r="BU205" s="38"/>
      <c r="BV205" s="18"/>
      <c r="BW205" s="37"/>
      <c r="BX205" s="38"/>
      <c r="BY205" s="18"/>
      <c r="BZ205" s="39" t="s">
        <v>829</v>
      </c>
      <c r="CA205" s="40" t="s">
        <v>829</v>
      </c>
      <c r="CB205" s="17"/>
      <c r="CC205" s="39" t="s">
        <v>829</v>
      </c>
      <c r="CD205" s="40" t="s">
        <v>829</v>
      </c>
      <c r="CE205" s="18"/>
      <c r="CF205" s="18"/>
      <c r="CG205" s="18"/>
      <c r="CH205" s="18"/>
      <c r="CI205" s="18"/>
      <c r="CJ205" s="18"/>
      <c r="CK205" s="18"/>
      <c r="CL205" s="18"/>
      <c r="CM205" s="18"/>
      <c r="CN205" s="18"/>
      <c r="CO205" s="18"/>
      <c r="CP205" s="18"/>
      <c r="CQ205" s="18"/>
      <c r="CR205" s="18"/>
      <c r="CS205" s="18"/>
      <c r="CT205" s="18"/>
      <c r="CU205" s="18"/>
      <c r="CV205" s="18"/>
      <c r="CW205" s="18"/>
      <c r="CX205" s="18"/>
      <c r="CY205" s="37"/>
      <c r="CZ205" s="38"/>
      <c r="DA205" s="18"/>
      <c r="DB205" s="37">
        <v>44144</v>
      </c>
      <c r="DC205" s="38">
        <v>16.8291</v>
      </c>
      <c r="DD205" s="18"/>
      <c r="DE205" s="37">
        <v>44144</v>
      </c>
      <c r="DF205" s="38">
        <v>15.3751</v>
      </c>
      <c r="DG205" s="18"/>
      <c r="DH205" s="37">
        <v>44144</v>
      </c>
      <c r="DI205" s="38">
        <v>20.244399999999999</v>
      </c>
      <c r="DJ205" s="18"/>
      <c r="DK205" s="37">
        <v>44144</v>
      </c>
      <c r="DL205" s="38">
        <v>0.1459</v>
      </c>
      <c r="DM205" s="18"/>
      <c r="DN205" s="18"/>
      <c r="DO205" s="18"/>
      <c r="DP205" s="18"/>
      <c r="DQ205" s="18"/>
      <c r="DR205" s="18"/>
      <c r="DS205" s="18"/>
      <c r="DT205" s="18"/>
      <c r="DU205" s="18"/>
      <c r="DV205" s="18"/>
      <c r="DW205" s="18"/>
      <c r="DX205" s="18"/>
      <c r="DY205" s="18"/>
      <c r="DZ205" s="18"/>
    </row>
    <row r="206" spans="1:130" ht="15" customHeight="1" x14ac:dyDescent="0.3">
      <c r="A206" s="30" t="s">
        <v>320</v>
      </c>
      <c r="B206" s="112" t="s">
        <v>411</v>
      </c>
      <c r="C206" s="131">
        <v>9.66</v>
      </c>
      <c r="D206" s="131">
        <v>7.66</v>
      </c>
      <c r="E206" s="131">
        <v>4.2</v>
      </c>
      <c r="F206" s="131">
        <v>24.85</v>
      </c>
      <c r="G206" s="131">
        <v>54.27</v>
      </c>
      <c r="H206" s="131">
        <v>-5.95</v>
      </c>
      <c r="I206" s="131">
        <v>16.27</v>
      </c>
      <c r="J206" s="131">
        <v>25.45</v>
      </c>
      <c r="K206" s="131">
        <v>26.66</v>
      </c>
      <c r="L206" s="131">
        <v>123.6</v>
      </c>
      <c r="M206" s="132">
        <v>-137.57</v>
      </c>
      <c r="N206" s="17"/>
      <c r="O206" s="17"/>
      <c r="P206" s="17"/>
      <c r="Q206" s="17"/>
      <c r="R206" s="17"/>
      <c r="S206" s="17"/>
      <c r="T206" s="17"/>
      <c r="U206" s="18"/>
      <c r="V206" s="18"/>
      <c r="W206" s="18"/>
      <c r="X206" s="18"/>
      <c r="Y206" s="18"/>
      <c r="Z206" s="18"/>
      <c r="AA206" s="18"/>
      <c r="AB206" s="18"/>
      <c r="AC206" s="18"/>
      <c r="AD206" s="18"/>
      <c r="AE206" s="18" t="s">
        <v>411</v>
      </c>
      <c r="AF206" s="85">
        <v>-3.5000000000007248E-3</v>
      </c>
      <c r="AG206" s="85">
        <v>-1.5999999999998238E-3</v>
      </c>
      <c r="AH206" s="85">
        <v>-1.1000000000001009E-3</v>
      </c>
      <c r="AI206" s="85">
        <v>6.0000000000215437E-4</v>
      </c>
      <c r="AJ206" s="85">
        <v>1.300000000000523E-3</v>
      </c>
      <c r="AK206" s="85">
        <v>-1.7000000000004789E-3</v>
      </c>
      <c r="AL206" s="85">
        <v>-2.0999999999986585E-3</v>
      </c>
      <c r="AM206" s="85">
        <v>4.3000000000006366E-3</v>
      </c>
      <c r="AN206" s="18"/>
      <c r="AO206" s="18"/>
      <c r="AP206" s="77" t="s">
        <v>469</v>
      </c>
      <c r="AQ206" s="133">
        <v>9.6635000000000009</v>
      </c>
      <c r="AR206" s="134">
        <v>7.6616</v>
      </c>
      <c r="AS206" s="134">
        <v>4.2011000000000003</v>
      </c>
      <c r="AT206" s="134">
        <v>24.849399999999999</v>
      </c>
      <c r="AU206" s="134">
        <v>54.268700000000003</v>
      </c>
      <c r="AV206" s="134">
        <v>-5.9482999999999997</v>
      </c>
      <c r="AW206" s="134">
        <v>16.272099999999998</v>
      </c>
      <c r="AX206" s="134">
        <v>25.445699999999999</v>
      </c>
      <c r="AY206" s="134">
        <v>26.660799999999998</v>
      </c>
      <c r="AZ206" s="134">
        <v>123.5972</v>
      </c>
      <c r="BA206" s="135">
        <v>-137.56700000000001</v>
      </c>
      <c r="BB206" s="77"/>
      <c r="BC206" s="18"/>
      <c r="BD206" s="18"/>
      <c r="BE206" s="18"/>
      <c r="BF206" s="18"/>
      <c r="BG206" s="18"/>
      <c r="BH206" s="18"/>
      <c r="BI206" s="18"/>
      <c r="BJ206" s="18"/>
      <c r="BK206" s="18"/>
      <c r="BL206" s="18"/>
      <c r="BM206" s="18"/>
      <c r="BN206" s="18"/>
      <c r="BO206" s="18"/>
      <c r="BP206" s="18"/>
      <c r="BQ206" s="37"/>
      <c r="BR206" s="38"/>
      <c r="BS206" s="17"/>
      <c r="BT206" s="37"/>
      <c r="BU206" s="38"/>
      <c r="BV206" s="18"/>
      <c r="BW206" s="37"/>
      <c r="BX206" s="38"/>
      <c r="BY206" s="18"/>
      <c r="BZ206" s="39" t="s">
        <v>829</v>
      </c>
      <c r="CA206" s="40" t="s">
        <v>829</v>
      </c>
      <c r="CB206" s="17"/>
      <c r="CC206" s="39" t="s">
        <v>829</v>
      </c>
      <c r="CD206" s="40" t="s">
        <v>829</v>
      </c>
      <c r="CE206" s="18"/>
      <c r="CF206" s="18"/>
      <c r="CG206" s="18"/>
      <c r="CH206" s="18"/>
      <c r="CI206" s="18"/>
      <c r="CJ206" s="18"/>
      <c r="CK206" s="18"/>
      <c r="CL206" s="18"/>
      <c r="CM206" s="18"/>
      <c r="CN206" s="18"/>
      <c r="CO206" s="18"/>
      <c r="CP206" s="18"/>
      <c r="CQ206" s="18"/>
      <c r="CR206" s="18"/>
      <c r="CS206" s="18"/>
      <c r="CT206" s="18"/>
      <c r="CU206" s="18"/>
      <c r="CV206" s="18"/>
      <c r="CW206" s="18"/>
      <c r="CX206" s="18"/>
      <c r="CY206" s="37"/>
      <c r="CZ206" s="38"/>
      <c r="DA206" s="18"/>
      <c r="DB206" s="37">
        <v>44145</v>
      </c>
      <c r="DC206" s="38">
        <v>17.073799999999999</v>
      </c>
      <c r="DD206" s="18"/>
      <c r="DE206" s="37">
        <v>44145</v>
      </c>
      <c r="DF206" s="38">
        <v>15.6272</v>
      </c>
      <c r="DG206" s="18"/>
      <c r="DH206" s="37">
        <v>44145</v>
      </c>
      <c r="DI206" s="38">
        <v>20.741499999999998</v>
      </c>
      <c r="DJ206" s="18"/>
      <c r="DK206" s="37">
        <v>44145</v>
      </c>
      <c r="DL206" s="38">
        <v>0.1484</v>
      </c>
      <c r="DM206" s="18"/>
      <c r="DN206" s="18"/>
      <c r="DO206" s="18"/>
      <c r="DP206" s="18"/>
      <c r="DQ206" s="18"/>
      <c r="DR206" s="18"/>
      <c r="DS206" s="18"/>
      <c r="DT206" s="18"/>
      <c r="DU206" s="18"/>
      <c r="DV206" s="18"/>
      <c r="DW206" s="18"/>
      <c r="DX206" s="18"/>
      <c r="DY206" s="18"/>
      <c r="DZ206" s="18"/>
    </row>
    <row r="207" spans="1:130" ht="15" customHeight="1" x14ac:dyDescent="0.3">
      <c r="A207" s="30" t="s">
        <v>321</v>
      </c>
      <c r="B207" s="112" t="s">
        <v>412</v>
      </c>
      <c r="C207" s="131">
        <v>1.79</v>
      </c>
      <c r="D207" s="131">
        <v>2.1800000000000002</v>
      </c>
      <c r="E207" s="131">
        <v>1.89</v>
      </c>
      <c r="F207" s="131">
        <v>2.4700000000000002</v>
      </c>
      <c r="G207" s="131">
        <v>3.39</v>
      </c>
      <c r="H207" s="131">
        <v>3.91</v>
      </c>
      <c r="I207" s="131">
        <v>4.4800000000000004</v>
      </c>
      <c r="J207" s="131">
        <v>4.75</v>
      </c>
      <c r="K207" s="131">
        <v>4.8899999999999997</v>
      </c>
      <c r="L207" s="131">
        <v>4.45</v>
      </c>
      <c r="M207" s="132">
        <v>23.53</v>
      </c>
      <c r="N207" s="17"/>
      <c r="O207" s="17"/>
      <c r="P207" s="17"/>
      <c r="Q207" s="17"/>
      <c r="R207" s="17"/>
      <c r="S207" s="17"/>
      <c r="T207" s="17"/>
      <c r="U207" s="18"/>
      <c r="V207" s="18"/>
      <c r="W207" s="18"/>
      <c r="X207" s="18"/>
      <c r="Y207" s="18"/>
      <c r="Z207" s="18"/>
      <c r="AA207" s="18"/>
      <c r="AB207" s="18"/>
      <c r="AC207" s="18"/>
      <c r="AD207" s="18"/>
      <c r="AE207" s="18" t="s">
        <v>412</v>
      </c>
      <c r="AF207" s="85">
        <v>-1.7000000000000348E-3</v>
      </c>
      <c r="AG207" s="85">
        <v>-4.9999999999972289E-4</v>
      </c>
      <c r="AH207" s="85">
        <v>-6.0000000000015596E-4</v>
      </c>
      <c r="AI207" s="85">
        <v>-4.5999999999999375E-3</v>
      </c>
      <c r="AJ207" s="85">
        <v>-4.4999999999997264E-3</v>
      </c>
      <c r="AK207" s="85">
        <v>1.8000000000002458E-3</v>
      </c>
      <c r="AL207" s="85">
        <v>-8.9999999999967883E-4</v>
      </c>
      <c r="AM207" s="85">
        <v>1.2999999999996348E-3</v>
      </c>
      <c r="AN207" s="18"/>
      <c r="AO207" s="18"/>
      <c r="AP207" s="77" t="s">
        <v>470</v>
      </c>
      <c r="AQ207" s="136">
        <v>1.7917000000000001</v>
      </c>
      <c r="AR207" s="136">
        <v>2.1804999999999999</v>
      </c>
      <c r="AS207" s="136">
        <v>1.8906000000000001</v>
      </c>
      <c r="AT207" s="136">
        <v>2.4746000000000001</v>
      </c>
      <c r="AU207" s="136">
        <v>3.3944999999999999</v>
      </c>
      <c r="AV207" s="136">
        <v>3.9081999999999999</v>
      </c>
      <c r="AW207" s="136">
        <v>4.4809000000000001</v>
      </c>
      <c r="AX207" s="136">
        <v>4.7487000000000004</v>
      </c>
      <c r="AY207" s="136">
        <v>4.8880999999999997</v>
      </c>
      <c r="AZ207" s="136">
        <v>4.4546999999999999</v>
      </c>
      <c r="BA207" s="137">
        <v>23.527200000000001</v>
      </c>
      <c r="BB207" s="77"/>
      <c r="BC207" s="18"/>
      <c r="BD207" s="18"/>
      <c r="BE207" s="18"/>
      <c r="BF207" s="18"/>
      <c r="BG207" s="18"/>
      <c r="BH207" s="18"/>
      <c r="BI207" s="18"/>
      <c r="BJ207" s="18"/>
      <c r="BK207" s="18"/>
      <c r="BL207" s="18"/>
      <c r="BM207" s="18"/>
      <c r="BN207" s="18"/>
      <c r="BO207" s="18"/>
      <c r="BP207" s="18"/>
      <c r="BQ207" s="37"/>
      <c r="BR207" s="38"/>
      <c r="BS207" s="17"/>
      <c r="BT207" s="37"/>
      <c r="BU207" s="38"/>
      <c r="BV207" s="18"/>
      <c r="BW207" s="37"/>
      <c r="BX207" s="38"/>
      <c r="BY207" s="18"/>
      <c r="BZ207" s="39" t="s">
        <v>829</v>
      </c>
      <c r="CA207" s="40" t="s">
        <v>829</v>
      </c>
      <c r="CB207" s="17"/>
      <c r="CC207" s="39" t="s">
        <v>829</v>
      </c>
      <c r="CD207" s="40" t="s">
        <v>829</v>
      </c>
      <c r="CE207" s="18"/>
      <c r="CF207" s="18"/>
      <c r="CG207" s="18"/>
      <c r="CH207" s="18"/>
      <c r="CI207" s="18"/>
      <c r="CJ207" s="18"/>
      <c r="CK207" s="18"/>
      <c r="CL207" s="18"/>
      <c r="CM207" s="18"/>
      <c r="CN207" s="18"/>
      <c r="CO207" s="18"/>
      <c r="CP207" s="18"/>
      <c r="CQ207" s="18"/>
      <c r="CR207" s="18"/>
      <c r="CS207" s="18"/>
      <c r="CT207" s="18"/>
      <c r="CU207" s="18"/>
      <c r="CV207" s="18"/>
      <c r="CW207" s="18"/>
      <c r="CX207" s="18"/>
      <c r="CY207" s="37"/>
      <c r="CZ207" s="38"/>
      <c r="DA207" s="18"/>
      <c r="DB207" s="37">
        <v>44146</v>
      </c>
      <c r="DC207" s="38">
        <v>17.047000000000001</v>
      </c>
      <c r="DD207" s="18"/>
      <c r="DE207" s="37">
        <v>44146</v>
      </c>
      <c r="DF207" s="38">
        <v>15.6351</v>
      </c>
      <c r="DG207" s="18"/>
      <c r="DH207" s="37">
        <v>44146</v>
      </c>
      <c r="DI207" s="38">
        <v>20.676200000000001</v>
      </c>
      <c r="DJ207" s="18"/>
      <c r="DK207" s="37">
        <v>44146</v>
      </c>
      <c r="DL207" s="38">
        <v>0.14829999999999999</v>
      </c>
      <c r="DM207" s="18"/>
      <c r="DN207" s="18"/>
      <c r="DO207" s="18"/>
      <c r="DP207" s="18"/>
      <c r="DQ207" s="18"/>
      <c r="DR207" s="18"/>
      <c r="DS207" s="18"/>
      <c r="DT207" s="18"/>
      <c r="DU207" s="18"/>
      <c r="DV207" s="18"/>
      <c r="DW207" s="18"/>
      <c r="DX207" s="18"/>
      <c r="DY207" s="18"/>
      <c r="DZ207" s="18"/>
    </row>
    <row r="208" spans="1:130" ht="15" customHeight="1" x14ac:dyDescent="0.3">
      <c r="A208" s="30" t="s">
        <v>323</v>
      </c>
      <c r="B208" s="112" t="s">
        <v>322</v>
      </c>
      <c r="C208" s="131">
        <v>8.93</v>
      </c>
      <c r="D208" s="131">
        <v>9.3000000000000007</v>
      </c>
      <c r="E208" s="131">
        <v>9.3000000000000007</v>
      </c>
      <c r="F208" s="131">
        <v>14.86</v>
      </c>
      <c r="G208" s="131">
        <v>14.86</v>
      </c>
      <c r="H208" s="131">
        <v>14.86</v>
      </c>
      <c r="I208" s="131">
        <v>14.86</v>
      </c>
      <c r="J208" s="131">
        <v>14.86</v>
      </c>
      <c r="K208" s="131">
        <v>14.86</v>
      </c>
      <c r="L208" s="131">
        <v>14.86</v>
      </c>
      <c r="M208" s="132">
        <v>14.86</v>
      </c>
      <c r="N208" s="17"/>
      <c r="O208" s="17"/>
      <c r="P208" s="17"/>
      <c r="Q208" s="17"/>
      <c r="R208" s="17"/>
      <c r="S208" s="17"/>
      <c r="T208" s="17"/>
      <c r="U208" s="18"/>
      <c r="V208" s="18"/>
      <c r="W208" s="18"/>
      <c r="X208" s="18"/>
      <c r="Y208" s="18"/>
      <c r="Z208" s="18"/>
      <c r="AA208" s="18"/>
      <c r="AB208" s="18"/>
      <c r="AC208" s="18"/>
      <c r="AD208" s="18"/>
      <c r="AE208" s="18" t="s">
        <v>322</v>
      </c>
      <c r="AF208" s="85">
        <v>0.37929999999999886</v>
      </c>
      <c r="AG208" s="85">
        <v>-0.99349999999999916</v>
      </c>
      <c r="AH208" s="85">
        <v>-1.5846999999999998</v>
      </c>
      <c r="AI208" s="85">
        <v>7.7291999999999996</v>
      </c>
      <c r="AJ208" s="85">
        <v>0.70289999999999964</v>
      </c>
      <c r="AK208" s="85">
        <v>6.2154999999999987</v>
      </c>
      <c r="AL208" s="85">
        <v>4.4697999999999993</v>
      </c>
      <c r="AM208" s="85">
        <v>2.2903000000000002</v>
      </c>
      <c r="AN208" s="18"/>
      <c r="AO208" s="18"/>
      <c r="AP208" s="77" t="s">
        <v>322</v>
      </c>
      <c r="AQ208" s="136">
        <v>8.5507000000000009</v>
      </c>
      <c r="AR208" s="136">
        <v>10.2935</v>
      </c>
      <c r="AS208" s="136">
        <v>10.8847</v>
      </c>
      <c r="AT208" s="136">
        <v>7.1307999999999998</v>
      </c>
      <c r="AU208" s="136">
        <v>14.1571</v>
      </c>
      <c r="AV208" s="136">
        <v>8.6445000000000007</v>
      </c>
      <c r="AW208" s="136">
        <v>10.3902</v>
      </c>
      <c r="AX208" s="136">
        <v>12.569699999999999</v>
      </c>
      <c r="AY208" s="136">
        <v>12.5396</v>
      </c>
      <c r="AZ208" s="136">
        <v>5.9355000000000002</v>
      </c>
      <c r="BA208" s="137">
        <v>11.2081</v>
      </c>
      <c r="BB208" s="77"/>
      <c r="BC208" s="18"/>
      <c r="BD208" s="18"/>
      <c r="BE208" s="18"/>
      <c r="BF208" s="18"/>
      <c r="BG208" s="18"/>
      <c r="BH208" s="18"/>
      <c r="BI208" s="18"/>
      <c r="BJ208" s="18"/>
      <c r="BK208" s="18"/>
      <c r="BL208" s="18"/>
      <c r="BM208" s="18"/>
      <c r="BN208" s="18"/>
      <c r="BO208" s="18"/>
      <c r="BP208" s="18"/>
      <c r="BQ208" s="37"/>
      <c r="BR208" s="38"/>
      <c r="BS208" s="17"/>
      <c r="BT208" s="37"/>
      <c r="BU208" s="38"/>
      <c r="BV208" s="18"/>
      <c r="BW208" s="37"/>
      <c r="BX208" s="38"/>
      <c r="BY208" s="18"/>
      <c r="BZ208" s="39" t="s">
        <v>829</v>
      </c>
      <c r="CA208" s="40" t="s">
        <v>829</v>
      </c>
      <c r="CB208" s="17"/>
      <c r="CC208" s="39" t="s">
        <v>829</v>
      </c>
      <c r="CD208" s="40" t="s">
        <v>829</v>
      </c>
      <c r="CE208" s="18"/>
      <c r="CF208" s="18"/>
      <c r="CG208" s="18"/>
      <c r="CH208" s="18"/>
      <c r="CI208" s="18"/>
      <c r="CJ208" s="18"/>
      <c r="CK208" s="18"/>
      <c r="CL208" s="18"/>
      <c r="CM208" s="18"/>
      <c r="CN208" s="18"/>
      <c r="CO208" s="18"/>
      <c r="CP208" s="18"/>
      <c r="CQ208" s="18"/>
      <c r="CR208" s="18"/>
      <c r="CS208" s="18"/>
      <c r="CT208" s="18"/>
      <c r="CU208" s="18"/>
      <c r="CV208" s="18"/>
      <c r="CW208" s="18"/>
      <c r="CX208" s="18"/>
      <c r="CY208" s="37"/>
      <c r="CZ208" s="38"/>
      <c r="DA208" s="18"/>
      <c r="DB208" s="37">
        <v>44147</v>
      </c>
      <c r="DC208" s="38">
        <v>17.105699999999999</v>
      </c>
      <c r="DD208" s="18"/>
      <c r="DE208" s="37">
        <v>44147</v>
      </c>
      <c r="DF208" s="38">
        <v>15.648999999999999</v>
      </c>
      <c r="DG208" s="18"/>
      <c r="DH208" s="37">
        <v>44147</v>
      </c>
      <c r="DI208" s="38">
        <v>20.5275</v>
      </c>
      <c r="DJ208" s="18"/>
      <c r="DK208" s="37">
        <v>44147</v>
      </c>
      <c r="DL208" s="38">
        <v>0.14879999999999999</v>
      </c>
      <c r="DM208" s="18"/>
      <c r="DN208" s="18"/>
      <c r="DO208" s="18"/>
      <c r="DP208" s="18"/>
      <c r="DQ208" s="18"/>
      <c r="DR208" s="18"/>
      <c r="DS208" s="18"/>
      <c r="DT208" s="18"/>
      <c r="DU208" s="18"/>
      <c r="DV208" s="18"/>
      <c r="DW208" s="18"/>
      <c r="DX208" s="18"/>
      <c r="DY208" s="18"/>
      <c r="DZ208" s="18"/>
    </row>
    <row r="209" spans="1:130" ht="15" customHeight="1" x14ac:dyDescent="0.3">
      <c r="A209" s="30" t="s">
        <v>324</v>
      </c>
      <c r="B209" s="112" t="s">
        <v>200</v>
      </c>
      <c r="C209" s="131">
        <v>48.77</v>
      </c>
      <c r="D209" s="131">
        <v>49.3</v>
      </c>
      <c r="E209" s="131">
        <v>47.94</v>
      </c>
      <c r="F209" s="131">
        <v>50.66</v>
      </c>
      <c r="G209" s="131">
        <v>49.97</v>
      </c>
      <c r="H209" s="131">
        <v>49.46</v>
      </c>
      <c r="I209" s="131">
        <v>43.61</v>
      </c>
      <c r="J209" s="131">
        <v>43.79</v>
      </c>
      <c r="K209" s="131">
        <v>42.65</v>
      </c>
      <c r="L209" s="131">
        <v>43.15</v>
      </c>
      <c r="M209" s="132">
        <v>42.13</v>
      </c>
      <c r="N209" s="17"/>
      <c r="O209" s="17"/>
      <c r="P209" s="17"/>
      <c r="Q209" s="17"/>
      <c r="R209" s="17"/>
      <c r="S209" s="17"/>
      <c r="T209" s="17"/>
      <c r="U209" s="18"/>
      <c r="V209" s="18"/>
      <c r="W209" s="18"/>
      <c r="X209" s="18"/>
      <c r="Y209" s="18"/>
      <c r="Z209" s="18"/>
      <c r="AA209" s="18"/>
      <c r="AB209" s="18"/>
      <c r="AC209" s="18"/>
      <c r="AD209" s="18"/>
      <c r="AE209" s="18" t="s">
        <v>200</v>
      </c>
      <c r="AF209" s="85">
        <v>4.1000000000011028E-3</v>
      </c>
      <c r="AG209" s="85">
        <v>-1.90000000000623E-3</v>
      </c>
      <c r="AH209" s="85">
        <v>1.799999999995805E-3</v>
      </c>
      <c r="AI209" s="85">
        <v>4.5999999999963848E-3</v>
      </c>
      <c r="AJ209" s="85">
        <v>-3.5000000000025011E-3</v>
      </c>
      <c r="AK209" s="85">
        <v>4.1000000000011028E-3</v>
      </c>
      <c r="AL209" s="85">
        <v>-3.1000000000034333E-3</v>
      </c>
      <c r="AM209" s="85">
        <v>-2.8000000000005798E-3</v>
      </c>
      <c r="AN209" s="18"/>
      <c r="AO209" s="18"/>
      <c r="AP209" s="77" t="s">
        <v>471</v>
      </c>
      <c r="AQ209" s="136">
        <v>48.765900000000002</v>
      </c>
      <c r="AR209" s="136">
        <v>49.301900000000003</v>
      </c>
      <c r="AS209" s="136">
        <v>47.938200000000002</v>
      </c>
      <c r="AT209" s="136">
        <v>50.6554</v>
      </c>
      <c r="AU209" s="136">
        <v>49.973500000000001</v>
      </c>
      <c r="AV209" s="136">
        <v>49.4559</v>
      </c>
      <c r="AW209" s="136">
        <v>43.613100000000003</v>
      </c>
      <c r="AX209" s="136">
        <v>43.7928</v>
      </c>
      <c r="AY209" s="136">
        <v>42.651699999999998</v>
      </c>
      <c r="AZ209" s="136">
        <v>43.145099999999999</v>
      </c>
      <c r="BA209" s="137">
        <v>42.134700000000002</v>
      </c>
      <c r="BB209" s="77"/>
      <c r="BC209" s="18"/>
      <c r="BD209" s="18"/>
      <c r="BE209" s="18"/>
      <c r="BF209" s="18"/>
      <c r="BG209" s="18"/>
      <c r="BH209" s="18"/>
      <c r="BI209" s="18"/>
      <c r="BJ209" s="18"/>
      <c r="BK209" s="18"/>
      <c r="BL209" s="18"/>
      <c r="BM209" s="18"/>
      <c r="BN209" s="18"/>
      <c r="BO209" s="18"/>
      <c r="BP209" s="18"/>
      <c r="BQ209" s="37"/>
      <c r="BR209" s="38"/>
      <c r="BS209" s="17"/>
      <c r="BT209" s="37"/>
      <c r="BU209" s="38"/>
      <c r="BV209" s="18"/>
      <c r="BW209" s="37"/>
      <c r="BX209" s="38"/>
      <c r="BY209" s="18"/>
      <c r="BZ209" s="39" t="s">
        <v>829</v>
      </c>
      <c r="CA209" s="40" t="s">
        <v>829</v>
      </c>
      <c r="CB209" s="17"/>
      <c r="CC209" s="39" t="s">
        <v>829</v>
      </c>
      <c r="CD209" s="40" t="s">
        <v>829</v>
      </c>
      <c r="CE209" s="18"/>
      <c r="CF209" s="18"/>
      <c r="CG209" s="18"/>
      <c r="CH209" s="18"/>
      <c r="CI209" s="18"/>
      <c r="CJ209" s="18"/>
      <c r="CK209" s="18"/>
      <c r="CL209" s="18"/>
      <c r="CM209" s="18"/>
      <c r="CN209" s="18"/>
      <c r="CO209" s="18"/>
      <c r="CP209" s="18"/>
      <c r="CQ209" s="18"/>
      <c r="CR209" s="18"/>
      <c r="CS209" s="18"/>
      <c r="CT209" s="18"/>
      <c r="CU209" s="18"/>
      <c r="CV209" s="18"/>
      <c r="CW209" s="18"/>
      <c r="CX209" s="18"/>
      <c r="CY209" s="37"/>
      <c r="CZ209" s="38"/>
      <c r="DA209" s="18"/>
      <c r="DB209" s="37">
        <v>44148</v>
      </c>
      <c r="DC209" s="38">
        <v>16.994</v>
      </c>
      <c r="DD209" s="18"/>
      <c r="DE209" s="37">
        <v>44148</v>
      </c>
      <c r="DF209" s="38">
        <v>15.5083</v>
      </c>
      <c r="DG209" s="18"/>
      <c r="DH209" s="37">
        <v>44148</v>
      </c>
      <c r="DI209" s="38">
        <v>20.4651</v>
      </c>
      <c r="DJ209" s="18"/>
      <c r="DK209" s="37">
        <v>44148</v>
      </c>
      <c r="DL209" s="38">
        <v>0.1482</v>
      </c>
      <c r="DM209" s="18"/>
      <c r="DN209" s="18"/>
      <c r="DO209" s="18"/>
      <c r="DP209" s="18"/>
      <c r="DQ209" s="18"/>
      <c r="DR209" s="18"/>
      <c r="DS209" s="18"/>
      <c r="DT209" s="18"/>
      <c r="DU209" s="18"/>
      <c r="DV209" s="18"/>
      <c r="DW209" s="18"/>
      <c r="DX209" s="18"/>
      <c r="DY209" s="18"/>
      <c r="DZ209" s="18"/>
    </row>
    <row r="210" spans="1:130" ht="15" customHeight="1" x14ac:dyDescent="0.3">
      <c r="A210" s="30" t="s">
        <v>326</v>
      </c>
      <c r="B210" s="112" t="s">
        <v>325</v>
      </c>
      <c r="C210" s="131">
        <v>16.11</v>
      </c>
      <c r="D210" s="131">
        <v>15.3</v>
      </c>
      <c r="E210" s="131">
        <v>14.5</v>
      </c>
      <c r="F210" s="131">
        <v>20.329999999999998</v>
      </c>
      <c r="G210" s="131">
        <v>14.02</v>
      </c>
      <c r="H210" s="131">
        <v>25.29</v>
      </c>
      <c r="I210" s="131">
        <v>14.65</v>
      </c>
      <c r="J210" s="131">
        <v>14.78</v>
      </c>
      <c r="K210" s="131">
        <v>13.86</v>
      </c>
      <c r="L210" s="131">
        <v>26.82</v>
      </c>
      <c r="M210" s="132">
        <v>-22.3</v>
      </c>
      <c r="N210" s="17"/>
      <c r="O210" s="17"/>
      <c r="P210" s="17"/>
      <c r="Q210" s="17"/>
      <c r="R210" s="17"/>
      <c r="S210" s="17"/>
      <c r="T210" s="17"/>
      <c r="U210" s="18"/>
      <c r="V210" s="18"/>
      <c r="W210" s="18"/>
      <c r="X210" s="18"/>
      <c r="Y210" s="18"/>
      <c r="Z210" s="18"/>
      <c r="AA210" s="18"/>
      <c r="AB210" s="18"/>
      <c r="AC210" s="18"/>
      <c r="AD210" s="18"/>
      <c r="AE210" s="18" t="s">
        <v>325</v>
      </c>
      <c r="AF210" s="85">
        <v>2.6000000000010459E-3</v>
      </c>
      <c r="AG210" s="85">
        <v>-1.8999999999991246E-3</v>
      </c>
      <c r="AH210" s="85">
        <v>1.200000000000756E-3</v>
      </c>
      <c r="AI210" s="85">
        <v>4.7999999999994714E-3</v>
      </c>
      <c r="AJ210" s="85">
        <v>2.4999999999995026E-3</v>
      </c>
      <c r="AK210" s="85">
        <v>4.8999999999992383E-3</v>
      </c>
      <c r="AL210" s="85">
        <v>-4.9999999999990052E-3</v>
      </c>
      <c r="AM210" s="85">
        <v>4.3999999999986272E-3</v>
      </c>
      <c r="AN210" s="18"/>
      <c r="AO210" s="18"/>
      <c r="AP210" s="77" t="s">
        <v>325</v>
      </c>
      <c r="AQ210" s="136">
        <v>16.107399999999998</v>
      </c>
      <c r="AR210" s="136">
        <v>15.3019</v>
      </c>
      <c r="AS210" s="136">
        <v>14.498799999999999</v>
      </c>
      <c r="AT210" s="136">
        <v>20.325199999999999</v>
      </c>
      <c r="AU210" s="136">
        <v>14.0175</v>
      </c>
      <c r="AV210" s="136">
        <v>25.2851</v>
      </c>
      <c r="AW210" s="136">
        <v>14.654999999999999</v>
      </c>
      <c r="AX210" s="136">
        <v>14.775600000000001</v>
      </c>
      <c r="AY210" s="136">
        <v>13.8565</v>
      </c>
      <c r="AZ210" s="136">
        <v>26.8169</v>
      </c>
      <c r="BA210" s="137">
        <v>-22.3048</v>
      </c>
      <c r="BB210" s="77"/>
      <c r="BC210" s="18"/>
      <c r="BD210" s="18"/>
      <c r="BE210" s="18"/>
      <c r="BF210" s="18"/>
      <c r="BG210" s="18"/>
      <c r="BH210" s="18"/>
      <c r="BI210" s="18"/>
      <c r="BJ210" s="18"/>
      <c r="BK210" s="18"/>
      <c r="BL210" s="18"/>
      <c r="BM210" s="18"/>
      <c r="BN210" s="18"/>
      <c r="BO210" s="18"/>
      <c r="BP210" s="18"/>
      <c r="BQ210" s="37"/>
      <c r="BR210" s="38"/>
      <c r="BS210" s="17"/>
      <c r="BT210" s="37"/>
      <c r="BU210" s="38"/>
      <c r="BV210" s="18"/>
      <c r="BW210" s="37"/>
      <c r="BX210" s="38"/>
      <c r="BY210" s="18"/>
      <c r="BZ210" s="39" t="s">
        <v>829</v>
      </c>
      <c r="CA210" s="40" t="s">
        <v>829</v>
      </c>
      <c r="CB210" s="17"/>
      <c r="CC210" s="39" t="s">
        <v>829</v>
      </c>
      <c r="CD210" s="40" t="s">
        <v>829</v>
      </c>
      <c r="CE210" s="18"/>
      <c r="CF210" s="18"/>
      <c r="CG210" s="18"/>
      <c r="CH210" s="18"/>
      <c r="CI210" s="18"/>
      <c r="CJ210" s="18"/>
      <c r="CK210" s="18"/>
      <c r="CL210" s="18"/>
      <c r="CM210" s="18"/>
      <c r="CN210" s="18"/>
      <c r="CO210" s="18"/>
      <c r="CP210" s="18"/>
      <c r="CQ210" s="18"/>
      <c r="CR210" s="18"/>
      <c r="CS210" s="18"/>
      <c r="CT210" s="18"/>
      <c r="CU210" s="18"/>
      <c r="CV210" s="18"/>
      <c r="CW210" s="18"/>
      <c r="CX210" s="18"/>
      <c r="CY210" s="37"/>
      <c r="CZ210" s="38"/>
      <c r="DA210" s="18"/>
      <c r="DB210" s="37">
        <v>44151</v>
      </c>
      <c r="DC210" s="38">
        <v>16.8033</v>
      </c>
      <c r="DD210" s="18"/>
      <c r="DE210" s="37">
        <v>44151</v>
      </c>
      <c r="DF210" s="38">
        <v>15.335599999999999</v>
      </c>
      <c r="DG210" s="18"/>
      <c r="DH210" s="37">
        <v>44151</v>
      </c>
      <c r="DI210" s="38">
        <v>20.236000000000001</v>
      </c>
      <c r="DJ210" s="18"/>
      <c r="DK210" s="37">
        <v>44151</v>
      </c>
      <c r="DL210" s="38">
        <v>0.14660000000000001</v>
      </c>
      <c r="DM210" s="18"/>
      <c r="DN210" s="18"/>
      <c r="DO210" s="18"/>
      <c r="DP210" s="18"/>
      <c r="DQ210" s="18"/>
      <c r="DR210" s="18"/>
      <c r="DS210" s="18"/>
      <c r="DT210" s="18"/>
      <c r="DU210" s="18"/>
      <c r="DV210" s="18"/>
      <c r="DW210" s="18"/>
      <c r="DX210" s="18"/>
      <c r="DY210" s="18"/>
      <c r="DZ210" s="18"/>
    </row>
    <row r="211" spans="1:130" ht="15" customHeight="1" x14ac:dyDescent="0.3">
      <c r="A211" s="30" t="s">
        <v>327</v>
      </c>
      <c r="B211" s="112" t="s">
        <v>201</v>
      </c>
      <c r="C211" s="131">
        <v>10.55</v>
      </c>
      <c r="D211" s="131">
        <v>9.7899999999999991</v>
      </c>
      <c r="E211" s="131">
        <v>8.32</v>
      </c>
      <c r="F211" s="131">
        <v>16.86</v>
      </c>
      <c r="G211" s="131">
        <v>9.3699999999999992</v>
      </c>
      <c r="H211" s="131">
        <v>18.489999999999998</v>
      </c>
      <c r="I211" s="131">
        <v>10.97</v>
      </c>
      <c r="J211" s="131">
        <v>11.06</v>
      </c>
      <c r="K211" s="131">
        <v>10.24</v>
      </c>
      <c r="L211" s="131">
        <v>22.84</v>
      </c>
      <c r="M211" s="132">
        <v>-27.65</v>
      </c>
      <c r="N211" s="17"/>
      <c r="O211" s="17"/>
      <c r="P211" s="17"/>
      <c r="Q211" s="17"/>
      <c r="R211" s="17"/>
      <c r="S211" s="17"/>
      <c r="T211" s="17"/>
      <c r="U211" s="18"/>
      <c r="V211" s="18"/>
      <c r="W211" s="18"/>
      <c r="X211" s="18"/>
      <c r="Y211" s="18"/>
      <c r="Z211" s="18"/>
      <c r="AA211" s="18"/>
      <c r="AB211" s="18"/>
      <c r="AC211" s="18"/>
      <c r="AD211" s="18"/>
      <c r="AE211" s="18" t="s">
        <v>201</v>
      </c>
      <c r="AF211" s="85">
        <v>2.8000000000005798E-3</v>
      </c>
      <c r="AG211" s="85">
        <v>-2.500000000001279E-3</v>
      </c>
      <c r="AH211" s="85">
        <v>3.8999999999997925E-3</v>
      </c>
      <c r="AI211" s="85">
        <v>-3.9999999999906777E-4</v>
      </c>
      <c r="AJ211" s="85">
        <v>-3.9000000000015689E-3</v>
      </c>
      <c r="AK211" s="85">
        <v>8.9999999999790248E-4</v>
      </c>
      <c r="AL211" s="85">
        <v>-4.6999999999997044E-3</v>
      </c>
      <c r="AM211" s="85">
        <v>1.300000000000523E-3</v>
      </c>
      <c r="AN211" s="18"/>
      <c r="AO211" s="18"/>
      <c r="AP211" s="77" t="s">
        <v>201</v>
      </c>
      <c r="AQ211" s="136">
        <v>10.5472</v>
      </c>
      <c r="AR211" s="136">
        <v>9.7925000000000004</v>
      </c>
      <c r="AS211" s="136">
        <v>8.3161000000000005</v>
      </c>
      <c r="AT211" s="136">
        <v>16.860399999999998</v>
      </c>
      <c r="AU211" s="136">
        <v>9.3739000000000008</v>
      </c>
      <c r="AV211" s="136">
        <v>18.489100000000001</v>
      </c>
      <c r="AW211" s="136">
        <v>10.9747</v>
      </c>
      <c r="AX211" s="136">
        <v>11.0587</v>
      </c>
      <c r="AY211" s="136">
        <v>10.234999999999999</v>
      </c>
      <c r="AZ211" s="136">
        <v>22.8398</v>
      </c>
      <c r="BA211" s="137">
        <v>-27.651499999999999</v>
      </c>
      <c r="BB211" s="77"/>
      <c r="BC211" s="18"/>
      <c r="BD211" s="18"/>
      <c r="BE211" s="18"/>
      <c r="BF211" s="18"/>
      <c r="BG211" s="18"/>
      <c r="BH211" s="18"/>
      <c r="BI211" s="18"/>
      <c r="BJ211" s="18"/>
      <c r="BK211" s="18"/>
      <c r="BL211" s="18"/>
      <c r="BM211" s="18"/>
      <c r="BN211" s="18"/>
      <c r="BO211" s="18"/>
      <c r="BP211" s="18"/>
      <c r="BQ211" s="37"/>
      <c r="BR211" s="38"/>
      <c r="BS211" s="17"/>
      <c r="BT211" s="37"/>
      <c r="BU211" s="38"/>
      <c r="BV211" s="18"/>
      <c r="BW211" s="37"/>
      <c r="BX211" s="38"/>
      <c r="BY211" s="18"/>
      <c r="BZ211" s="39" t="s">
        <v>829</v>
      </c>
      <c r="CA211" s="40" t="s">
        <v>829</v>
      </c>
      <c r="CB211" s="17"/>
      <c r="CC211" s="39" t="s">
        <v>829</v>
      </c>
      <c r="CD211" s="40" t="s">
        <v>829</v>
      </c>
      <c r="CE211" s="18"/>
      <c r="CF211" s="18"/>
      <c r="CG211" s="18"/>
      <c r="CH211" s="18"/>
      <c r="CI211" s="18"/>
      <c r="CJ211" s="18"/>
      <c r="CK211" s="18"/>
      <c r="CL211" s="18"/>
      <c r="CM211" s="18"/>
      <c r="CN211" s="18"/>
      <c r="CO211" s="18"/>
      <c r="CP211" s="18"/>
      <c r="CQ211" s="18"/>
      <c r="CR211" s="18"/>
      <c r="CS211" s="18"/>
      <c r="CT211" s="18"/>
      <c r="CU211" s="18"/>
      <c r="CV211" s="18"/>
      <c r="CW211" s="18"/>
      <c r="CX211" s="18"/>
      <c r="CY211" s="37"/>
      <c r="CZ211" s="38"/>
      <c r="DA211" s="18"/>
      <c r="DB211" s="37">
        <v>44152</v>
      </c>
      <c r="DC211" s="38">
        <v>16.888200000000001</v>
      </c>
      <c r="DD211" s="18"/>
      <c r="DE211" s="37">
        <v>44152</v>
      </c>
      <c r="DF211" s="38">
        <v>15.3977</v>
      </c>
      <c r="DG211" s="18"/>
      <c r="DH211" s="37">
        <v>44152</v>
      </c>
      <c r="DI211" s="38">
        <v>20.398099999999999</v>
      </c>
      <c r="DJ211" s="18"/>
      <c r="DK211" s="37">
        <v>44152</v>
      </c>
      <c r="DL211" s="38">
        <v>0.14779999999999999</v>
      </c>
      <c r="DM211" s="18"/>
      <c r="DN211" s="18"/>
      <c r="DO211" s="18"/>
      <c r="DP211" s="18"/>
      <c r="DQ211" s="18"/>
      <c r="DR211" s="18"/>
      <c r="DS211" s="18"/>
      <c r="DT211" s="18"/>
      <c r="DU211" s="18"/>
      <c r="DV211" s="18"/>
      <c r="DW211" s="18"/>
      <c r="DX211" s="18"/>
      <c r="DY211" s="18"/>
      <c r="DZ211" s="18"/>
    </row>
    <row r="212" spans="1:130" ht="15" customHeight="1" x14ac:dyDescent="0.3">
      <c r="A212" s="30" t="s">
        <v>163</v>
      </c>
      <c r="B212" s="112" t="s">
        <v>40</v>
      </c>
      <c r="C212" s="131">
        <v>31.55</v>
      </c>
      <c r="D212" s="131">
        <v>35.369999999999997</v>
      </c>
      <c r="E212" s="131">
        <v>39.86</v>
      </c>
      <c r="F212" s="131">
        <v>26.18</v>
      </c>
      <c r="G212" s="131">
        <v>40.4</v>
      </c>
      <c r="H212" s="131">
        <v>27.07</v>
      </c>
      <c r="I212" s="131">
        <v>44.37</v>
      </c>
      <c r="J212" s="131">
        <v>27.73</v>
      </c>
      <c r="K212" s="131">
        <v>27.65</v>
      </c>
      <c r="L212" s="131">
        <v>11.25</v>
      </c>
      <c r="M212" s="132" t="s">
        <v>615</v>
      </c>
      <c r="N212" s="17"/>
      <c r="O212" s="17"/>
      <c r="P212" s="17"/>
      <c r="Q212" s="17"/>
      <c r="R212" s="17"/>
      <c r="S212" s="17"/>
      <c r="T212" s="17"/>
      <c r="U212" s="18"/>
      <c r="V212" s="18"/>
      <c r="W212" s="18"/>
      <c r="X212" s="18"/>
      <c r="Y212" s="18"/>
      <c r="Z212" s="18"/>
      <c r="AA212" s="18"/>
      <c r="AB212" s="18"/>
      <c r="AC212" s="18"/>
      <c r="AD212" s="18"/>
      <c r="AE212" s="18" t="s">
        <v>40</v>
      </c>
      <c r="AF212" s="85">
        <v>-1.5000000000000568E-3</v>
      </c>
      <c r="AG212" s="85">
        <v>-4.1000000000011028E-3</v>
      </c>
      <c r="AH212" s="85">
        <v>-3.0000000000001137E-3</v>
      </c>
      <c r="AI212" s="85">
        <v>-4.1000000000011028E-3</v>
      </c>
      <c r="AJ212" s="85">
        <v>-2.8000000000005798E-3</v>
      </c>
      <c r="AK212" s="85">
        <v>1.0000000000012221E-3</v>
      </c>
      <c r="AL212" s="85">
        <v>-3.700000000002035E-3</v>
      </c>
      <c r="AM212" s="85">
        <v>-3.2999999999994145E-3</v>
      </c>
      <c r="AN212" s="18"/>
      <c r="AO212" s="18"/>
      <c r="AP212" s="77" t="s">
        <v>472</v>
      </c>
      <c r="AQ212" s="136">
        <v>31.551500000000001</v>
      </c>
      <c r="AR212" s="136">
        <v>35.374099999999999</v>
      </c>
      <c r="AS212" s="136">
        <v>39.863</v>
      </c>
      <c r="AT212" s="136">
        <v>26.184100000000001</v>
      </c>
      <c r="AU212" s="136">
        <v>40.402799999999999</v>
      </c>
      <c r="AV212" s="136">
        <v>27.068999999999999</v>
      </c>
      <c r="AW212" s="136">
        <v>44.373699999999999</v>
      </c>
      <c r="AX212" s="136">
        <v>27.7333</v>
      </c>
      <c r="AY212" s="136">
        <v>27.6493</v>
      </c>
      <c r="AZ212" s="136">
        <v>11.2478</v>
      </c>
      <c r="BA212" s="137" t="s">
        <v>1811</v>
      </c>
      <c r="BB212" s="77"/>
      <c r="BC212" s="18"/>
      <c r="BD212" s="18"/>
      <c r="BE212" s="18"/>
      <c r="BF212" s="18"/>
      <c r="BG212" s="18"/>
      <c r="BH212" s="18"/>
      <c r="BI212" s="18"/>
      <c r="BJ212" s="18"/>
      <c r="BK212" s="18"/>
      <c r="BL212" s="18"/>
      <c r="BM212" s="18"/>
      <c r="BN212" s="18"/>
      <c r="BO212" s="18"/>
      <c r="BP212" s="18"/>
      <c r="BQ212" s="37"/>
      <c r="BR212" s="38"/>
      <c r="BS212" s="17"/>
      <c r="BT212" s="37"/>
      <c r="BU212" s="38"/>
      <c r="BV212" s="18"/>
      <c r="BW212" s="37"/>
      <c r="BX212" s="38"/>
      <c r="BY212" s="18"/>
      <c r="BZ212" s="39" t="s">
        <v>829</v>
      </c>
      <c r="CA212" s="40" t="s">
        <v>829</v>
      </c>
      <c r="CB212" s="17"/>
      <c r="CC212" s="39" t="s">
        <v>829</v>
      </c>
      <c r="CD212" s="40" t="s">
        <v>829</v>
      </c>
      <c r="CE212" s="18"/>
      <c r="CF212" s="18"/>
      <c r="CG212" s="18"/>
      <c r="CH212" s="18"/>
      <c r="CI212" s="18"/>
      <c r="CJ212" s="18"/>
      <c r="CK212" s="18"/>
      <c r="CL212" s="18"/>
      <c r="CM212" s="18"/>
      <c r="CN212" s="18"/>
      <c r="CO212" s="18"/>
      <c r="CP212" s="18"/>
      <c r="CQ212" s="18"/>
      <c r="CR212" s="18"/>
      <c r="CS212" s="18"/>
      <c r="CT212" s="18"/>
      <c r="CU212" s="18"/>
      <c r="CV212" s="18"/>
      <c r="CW212" s="18"/>
      <c r="CX212" s="18"/>
      <c r="CY212" s="37"/>
      <c r="CZ212" s="38"/>
      <c r="DA212" s="18"/>
      <c r="DB212" s="37">
        <v>44153</v>
      </c>
      <c r="DC212" s="38">
        <v>16.957000000000001</v>
      </c>
      <c r="DD212" s="18"/>
      <c r="DE212" s="37">
        <v>44153</v>
      </c>
      <c r="DF212" s="38">
        <v>15.457100000000001</v>
      </c>
      <c r="DG212" s="18"/>
      <c r="DH212" s="37">
        <v>44153</v>
      </c>
      <c r="DI212" s="38">
        <v>20.507100000000001</v>
      </c>
      <c r="DJ212" s="18"/>
      <c r="DK212" s="37">
        <v>44153</v>
      </c>
      <c r="DL212" s="38">
        <v>0.14899999999999999</v>
      </c>
      <c r="DM212" s="18"/>
      <c r="DN212" s="18"/>
      <c r="DO212" s="18"/>
      <c r="DP212" s="18"/>
      <c r="DQ212" s="18"/>
      <c r="DR212" s="18"/>
      <c r="DS212" s="18"/>
      <c r="DT212" s="18"/>
      <c r="DU212" s="18"/>
      <c r="DV212" s="18"/>
      <c r="DW212" s="18"/>
      <c r="DX212" s="18"/>
      <c r="DY212" s="18"/>
      <c r="DZ212" s="18"/>
    </row>
    <row r="213" spans="1:130" ht="15" customHeight="1" x14ac:dyDescent="0.3">
      <c r="A213" s="30" t="s">
        <v>329</v>
      </c>
      <c r="B213" s="112" t="s">
        <v>328</v>
      </c>
      <c r="C213" s="131">
        <v>1.19</v>
      </c>
      <c r="D213" s="131">
        <v>0.99</v>
      </c>
      <c r="E213" s="131">
        <v>0.84</v>
      </c>
      <c r="F213" s="131">
        <v>1.87</v>
      </c>
      <c r="G213" s="131">
        <v>2.13</v>
      </c>
      <c r="H213" s="131">
        <v>3.8</v>
      </c>
      <c r="I213" s="131">
        <v>2.16</v>
      </c>
      <c r="J213" s="131">
        <v>2.33</v>
      </c>
      <c r="K213" s="131">
        <v>1.82</v>
      </c>
      <c r="L213" s="131">
        <v>1.35</v>
      </c>
      <c r="M213" s="132">
        <v>1.1200000000000001</v>
      </c>
      <c r="N213" s="17"/>
      <c r="O213" s="17"/>
      <c r="P213" s="17"/>
      <c r="Q213" s="17"/>
      <c r="R213" s="17"/>
      <c r="S213" s="17"/>
      <c r="T213" s="17"/>
      <c r="U213" s="18"/>
      <c r="V213" s="18"/>
      <c r="W213" s="18"/>
      <c r="X213" s="18"/>
      <c r="Y213" s="18"/>
      <c r="Z213" s="18"/>
      <c r="AA213" s="18"/>
      <c r="AB213" s="18"/>
      <c r="AC213" s="18"/>
      <c r="AD213" s="18"/>
      <c r="AE213" s="18" t="s">
        <v>328</v>
      </c>
      <c r="AF213" s="85">
        <v>2.6999999999999247E-3</v>
      </c>
      <c r="AG213" s="85">
        <v>3.9000000000000146E-3</v>
      </c>
      <c r="AH213" s="85">
        <v>4.2999999999999705E-3</v>
      </c>
      <c r="AI213" s="85">
        <v>3.00000000000189E-4</v>
      </c>
      <c r="AJ213" s="85">
        <v>3.9999999999995595E-4</v>
      </c>
      <c r="AK213" s="85">
        <v>2.4999999999999467E-3</v>
      </c>
      <c r="AL213" s="85">
        <v>-1.9999999999997797E-3</v>
      </c>
      <c r="AM213" s="85">
        <v>3.0999999999998806E-3</v>
      </c>
      <c r="AN213" s="18"/>
      <c r="AO213" s="18"/>
      <c r="AP213" s="77" t="s">
        <v>328</v>
      </c>
      <c r="AQ213" s="136">
        <v>1.1873</v>
      </c>
      <c r="AR213" s="136">
        <v>0.98609999999999998</v>
      </c>
      <c r="AS213" s="136">
        <v>0.8357</v>
      </c>
      <c r="AT213" s="136">
        <v>1.8696999999999999</v>
      </c>
      <c r="AU213" s="136">
        <v>2.1295999999999999</v>
      </c>
      <c r="AV213" s="136">
        <v>3.7974999999999999</v>
      </c>
      <c r="AW213" s="136">
        <v>2.1619999999999999</v>
      </c>
      <c r="AX213" s="136">
        <v>2.3269000000000002</v>
      </c>
      <c r="AY213" s="136">
        <v>1.8184</v>
      </c>
      <c r="AZ213" s="136">
        <v>1.3541000000000001</v>
      </c>
      <c r="BA213" s="137">
        <v>1.117</v>
      </c>
      <c r="BB213" s="77"/>
      <c r="BC213" s="18"/>
      <c r="BD213" s="18"/>
      <c r="BE213" s="18"/>
      <c r="BF213" s="18"/>
      <c r="BG213" s="18"/>
      <c r="BH213" s="18"/>
      <c r="BI213" s="18"/>
      <c r="BJ213" s="18"/>
      <c r="BK213" s="18"/>
      <c r="BL213" s="18"/>
      <c r="BM213" s="18"/>
      <c r="BN213" s="18"/>
      <c r="BO213" s="18"/>
      <c r="BP213" s="18"/>
      <c r="BQ213" s="37"/>
      <c r="BR213" s="38"/>
      <c r="BS213" s="17"/>
      <c r="BT213" s="37"/>
      <c r="BU213" s="38"/>
      <c r="BV213" s="18"/>
      <c r="BW213" s="37"/>
      <c r="BX213" s="38"/>
      <c r="BY213" s="18"/>
      <c r="BZ213" s="39" t="s">
        <v>829</v>
      </c>
      <c r="CA213" s="40" t="s">
        <v>829</v>
      </c>
      <c r="CB213" s="17"/>
      <c r="CC213" s="39" t="s">
        <v>829</v>
      </c>
      <c r="CD213" s="40" t="s">
        <v>829</v>
      </c>
      <c r="CE213" s="18"/>
      <c r="CF213" s="18"/>
      <c r="CG213" s="18"/>
      <c r="CH213" s="18"/>
      <c r="CI213" s="18"/>
      <c r="CJ213" s="18"/>
      <c r="CK213" s="18"/>
      <c r="CL213" s="18"/>
      <c r="CM213" s="18"/>
      <c r="CN213" s="18"/>
      <c r="CO213" s="18"/>
      <c r="CP213" s="18"/>
      <c r="CQ213" s="18"/>
      <c r="CR213" s="18"/>
      <c r="CS213" s="18"/>
      <c r="CT213" s="18"/>
      <c r="CU213" s="18"/>
      <c r="CV213" s="18"/>
      <c r="CW213" s="18"/>
      <c r="CX213" s="18"/>
      <c r="CY213" s="37"/>
      <c r="CZ213" s="38"/>
      <c r="DA213" s="18"/>
      <c r="DB213" s="37">
        <v>44154</v>
      </c>
      <c r="DC213" s="38">
        <v>16.919799999999999</v>
      </c>
      <c r="DD213" s="18"/>
      <c r="DE213" s="37">
        <v>44154</v>
      </c>
      <c r="DF213" s="38">
        <v>15.413500000000001</v>
      </c>
      <c r="DG213" s="18"/>
      <c r="DH213" s="37">
        <v>44154</v>
      </c>
      <c r="DI213" s="38">
        <v>20.447299999999998</v>
      </c>
      <c r="DJ213" s="18"/>
      <c r="DK213" s="37">
        <v>44154</v>
      </c>
      <c r="DL213" s="38">
        <v>0.14849999999999999</v>
      </c>
      <c r="DM213" s="18"/>
      <c r="DN213" s="18"/>
      <c r="DO213" s="18"/>
      <c r="DP213" s="18"/>
      <c r="DQ213" s="18"/>
      <c r="DR213" s="18"/>
      <c r="DS213" s="18"/>
      <c r="DT213" s="18"/>
      <c r="DU213" s="18"/>
      <c r="DV213" s="18"/>
      <c r="DW213" s="18"/>
      <c r="DX213" s="18"/>
      <c r="DY213" s="18"/>
      <c r="DZ213" s="18"/>
    </row>
    <row r="214" spans="1:130" ht="15" customHeight="1" x14ac:dyDescent="0.3">
      <c r="A214" s="30" t="s">
        <v>331</v>
      </c>
      <c r="B214" s="112" t="s">
        <v>330</v>
      </c>
      <c r="C214" s="131" t="s">
        <v>615</v>
      </c>
      <c r="D214" s="131">
        <v>0.02</v>
      </c>
      <c r="E214" s="131">
        <v>0.03</v>
      </c>
      <c r="F214" s="131">
        <v>0.03</v>
      </c>
      <c r="G214" s="131">
        <v>0.04</v>
      </c>
      <c r="H214" s="131">
        <v>0.03</v>
      </c>
      <c r="I214" s="131">
        <v>0.01</v>
      </c>
      <c r="J214" s="131" t="s">
        <v>615</v>
      </c>
      <c r="K214" s="131" t="s">
        <v>615</v>
      </c>
      <c r="L214" s="131">
        <v>0.01</v>
      </c>
      <c r="M214" s="132">
        <v>-0.01</v>
      </c>
      <c r="N214" s="17"/>
      <c r="O214" s="17"/>
      <c r="P214" s="17"/>
      <c r="Q214" s="17"/>
      <c r="R214" s="17"/>
      <c r="S214" s="17"/>
      <c r="T214" s="17"/>
      <c r="U214" s="18"/>
      <c r="V214" s="18"/>
      <c r="W214" s="18"/>
      <c r="X214" s="18"/>
      <c r="Y214" s="18"/>
      <c r="Z214" s="18"/>
      <c r="AA214" s="18"/>
      <c r="AB214" s="18"/>
      <c r="AC214" s="18"/>
      <c r="AD214" s="18"/>
      <c r="AE214" s="18" t="s">
        <v>330</v>
      </c>
      <c r="AF214" s="85" t="e">
        <v>#VALUE!</v>
      </c>
      <c r="AG214" s="85">
        <v>-3.6999999999999984E-3</v>
      </c>
      <c r="AH214" s="85">
        <v>-3.5000000000000031E-3</v>
      </c>
      <c r="AI214" s="85">
        <v>5.9999999999999984E-4</v>
      </c>
      <c r="AJ214" s="85">
        <v>3.599999999999999E-3</v>
      </c>
      <c r="AK214" s="85">
        <v>3.199999999999998E-3</v>
      </c>
      <c r="AL214" s="85">
        <v>9.9999999999999395E-5</v>
      </c>
      <c r="AM214" s="85" t="e">
        <v>#VALUE!</v>
      </c>
      <c r="AN214" s="18"/>
      <c r="AO214" s="18"/>
      <c r="AP214" s="77" t="s">
        <v>330</v>
      </c>
      <c r="AQ214" s="136">
        <v>3.0000000000000001E-3</v>
      </c>
      <c r="AR214" s="136">
        <v>2.3699999999999999E-2</v>
      </c>
      <c r="AS214" s="136">
        <v>3.3500000000000002E-2</v>
      </c>
      <c r="AT214" s="136">
        <v>2.9399999999999999E-2</v>
      </c>
      <c r="AU214" s="136">
        <v>3.6400000000000002E-2</v>
      </c>
      <c r="AV214" s="136">
        <v>2.6800000000000001E-2</v>
      </c>
      <c r="AW214" s="136">
        <v>9.9000000000000008E-3</v>
      </c>
      <c r="AX214" s="136">
        <v>-1E-3</v>
      </c>
      <c r="AY214" s="136">
        <v>-3.3999999999999998E-3</v>
      </c>
      <c r="AZ214" s="136">
        <v>6.7999999999999996E-3</v>
      </c>
      <c r="BA214" s="137">
        <v>-1.04E-2</v>
      </c>
      <c r="BB214" s="77"/>
      <c r="BC214" s="18"/>
      <c r="BD214" s="18"/>
      <c r="BE214" s="18"/>
      <c r="BF214" s="18"/>
      <c r="BG214" s="18"/>
      <c r="BH214" s="18"/>
      <c r="BI214" s="18"/>
      <c r="BJ214" s="18"/>
      <c r="BK214" s="18"/>
      <c r="BL214" s="18"/>
      <c r="BM214" s="18"/>
      <c r="BN214" s="18"/>
      <c r="BO214" s="18"/>
      <c r="BP214" s="18"/>
      <c r="BQ214" s="37"/>
      <c r="BR214" s="38"/>
      <c r="BS214" s="17"/>
      <c r="BT214" s="37"/>
      <c r="BU214" s="38"/>
      <c r="BV214" s="18"/>
      <c r="BW214" s="37"/>
      <c r="BX214" s="38"/>
      <c r="BY214" s="18"/>
      <c r="BZ214" s="39" t="s">
        <v>829</v>
      </c>
      <c r="CA214" s="40" t="s">
        <v>829</v>
      </c>
      <c r="CB214" s="17"/>
      <c r="CC214" s="39" t="s">
        <v>829</v>
      </c>
      <c r="CD214" s="40" t="s">
        <v>829</v>
      </c>
      <c r="CE214" s="18"/>
      <c r="CF214" s="18"/>
      <c r="CG214" s="18"/>
      <c r="CH214" s="18"/>
      <c r="CI214" s="18"/>
      <c r="CJ214" s="18"/>
      <c r="CK214" s="18"/>
      <c r="CL214" s="18"/>
      <c r="CM214" s="18"/>
      <c r="CN214" s="18"/>
      <c r="CO214" s="18"/>
      <c r="CP214" s="18"/>
      <c r="CQ214" s="18"/>
      <c r="CR214" s="18"/>
      <c r="CS214" s="18"/>
      <c r="CT214" s="18"/>
      <c r="CU214" s="18"/>
      <c r="CV214" s="18"/>
      <c r="CW214" s="18"/>
      <c r="CX214" s="18"/>
      <c r="CY214" s="37"/>
      <c r="CZ214" s="38"/>
      <c r="DA214" s="18"/>
      <c r="DB214" s="37">
        <v>44155</v>
      </c>
      <c r="DC214" s="38">
        <v>16.923200000000001</v>
      </c>
      <c r="DD214" s="18"/>
      <c r="DE214" s="37">
        <v>44155</v>
      </c>
      <c r="DF214" s="38">
        <v>15.3985</v>
      </c>
      <c r="DG214" s="18"/>
      <c r="DH214" s="37">
        <v>44155</v>
      </c>
      <c r="DI214" s="38">
        <v>20.487100000000002</v>
      </c>
      <c r="DJ214" s="18"/>
      <c r="DK214" s="37">
        <v>44155</v>
      </c>
      <c r="DL214" s="38">
        <v>0.14849999999999999</v>
      </c>
      <c r="DM214" s="18"/>
      <c r="DN214" s="18"/>
      <c r="DO214" s="18"/>
      <c r="DP214" s="18"/>
      <c r="DQ214" s="18"/>
      <c r="DR214" s="18"/>
      <c r="DS214" s="18"/>
      <c r="DT214" s="18"/>
      <c r="DU214" s="18"/>
      <c r="DV214" s="18"/>
      <c r="DW214" s="18"/>
      <c r="DX214" s="18"/>
      <c r="DY214" s="18"/>
      <c r="DZ214" s="18"/>
    </row>
    <row r="215" spans="1:130" ht="15" customHeight="1" x14ac:dyDescent="0.3">
      <c r="A215" s="30" t="s">
        <v>332</v>
      </c>
      <c r="B215" s="112" t="s">
        <v>64</v>
      </c>
      <c r="C215" s="131">
        <v>0.83</v>
      </c>
      <c r="D215" s="131">
        <v>0.82</v>
      </c>
      <c r="E215" s="131">
        <v>0.8</v>
      </c>
      <c r="F215" s="131">
        <v>1.03</v>
      </c>
      <c r="G215" s="131">
        <v>0.85</v>
      </c>
      <c r="H215" s="131">
        <v>0.65</v>
      </c>
      <c r="I215" s="131">
        <v>1.21</v>
      </c>
      <c r="J215" s="131">
        <v>1.1499999999999999</v>
      </c>
      <c r="K215" s="131">
        <v>1.26</v>
      </c>
      <c r="L215" s="131">
        <v>0.8</v>
      </c>
      <c r="M215" s="132">
        <v>0.53</v>
      </c>
      <c r="N215" s="17"/>
      <c r="O215" s="17"/>
      <c r="P215" s="17"/>
      <c r="Q215" s="17"/>
      <c r="R215" s="17"/>
      <c r="S215" s="17"/>
      <c r="T215" s="17"/>
      <c r="U215" s="18"/>
      <c r="V215" s="18"/>
      <c r="W215" s="18"/>
      <c r="X215" s="18"/>
      <c r="Y215" s="18"/>
      <c r="Z215" s="18"/>
      <c r="AA215" s="18"/>
      <c r="AB215" s="18"/>
      <c r="AC215" s="18"/>
      <c r="AD215" s="18"/>
      <c r="AE215" s="18" t="s">
        <v>64</v>
      </c>
      <c r="AF215" s="85">
        <v>-3.9000000000000146E-3</v>
      </c>
      <c r="AG215" s="85">
        <v>-2.3000000000000798E-3</v>
      </c>
      <c r="AH215" s="85">
        <v>4.2000000000000925E-3</v>
      </c>
      <c r="AI215" s="85">
        <v>1.0000000000001119E-3</v>
      </c>
      <c r="AJ215" s="85">
        <v>-1.5000000000000568E-3</v>
      </c>
      <c r="AK215" s="85">
        <v>-4.9999999999994493E-4</v>
      </c>
      <c r="AL215" s="85">
        <v>-2.9000000000001247E-3</v>
      </c>
      <c r="AM215" s="85">
        <v>-4.9000000000001265E-3</v>
      </c>
      <c r="AN215" s="18"/>
      <c r="AO215" s="18"/>
      <c r="AP215" s="77" t="s">
        <v>64</v>
      </c>
      <c r="AQ215" s="136">
        <v>0.83389999999999997</v>
      </c>
      <c r="AR215" s="136">
        <v>0.82230000000000003</v>
      </c>
      <c r="AS215" s="136">
        <v>0.79579999999999995</v>
      </c>
      <c r="AT215" s="136">
        <v>1.0289999999999999</v>
      </c>
      <c r="AU215" s="136">
        <v>0.85150000000000003</v>
      </c>
      <c r="AV215" s="136">
        <v>0.65049999999999997</v>
      </c>
      <c r="AW215" s="136">
        <v>1.2129000000000001</v>
      </c>
      <c r="AX215" s="136">
        <v>1.1549</v>
      </c>
      <c r="AY215" s="136">
        <v>1.2581</v>
      </c>
      <c r="AZ215" s="136">
        <v>0.80500000000000005</v>
      </c>
      <c r="BA215" s="137">
        <v>0.53069999999999995</v>
      </c>
      <c r="BB215" s="77"/>
      <c r="BC215" s="18"/>
      <c r="BD215" s="18"/>
      <c r="BE215" s="18"/>
      <c r="BF215" s="18"/>
      <c r="BG215" s="18"/>
      <c r="BH215" s="18"/>
      <c r="BI215" s="18"/>
      <c r="BJ215" s="18"/>
      <c r="BK215" s="18"/>
      <c r="BL215" s="18"/>
      <c r="BM215" s="18"/>
      <c r="BN215" s="18"/>
      <c r="BO215" s="18"/>
      <c r="BP215" s="18"/>
      <c r="BQ215" s="37"/>
      <c r="BR215" s="38"/>
      <c r="BS215" s="17"/>
      <c r="BT215" s="37"/>
      <c r="BU215" s="38"/>
      <c r="BV215" s="18"/>
      <c r="BW215" s="37"/>
      <c r="BX215" s="38"/>
      <c r="BY215" s="18"/>
      <c r="BZ215" s="39" t="s">
        <v>829</v>
      </c>
      <c r="CA215" s="40" t="s">
        <v>829</v>
      </c>
      <c r="CB215" s="17"/>
      <c r="CC215" s="39" t="s">
        <v>829</v>
      </c>
      <c r="CD215" s="40" t="s">
        <v>829</v>
      </c>
      <c r="CE215" s="18"/>
      <c r="CF215" s="18"/>
      <c r="CG215" s="18"/>
      <c r="CH215" s="18"/>
      <c r="CI215" s="18"/>
      <c r="CJ215" s="18"/>
      <c r="CK215" s="18"/>
      <c r="CL215" s="18"/>
      <c r="CM215" s="18"/>
      <c r="CN215" s="18"/>
      <c r="CO215" s="18"/>
      <c r="CP215" s="18"/>
      <c r="CQ215" s="18"/>
      <c r="CR215" s="18"/>
      <c r="CS215" s="18"/>
      <c r="CT215" s="18"/>
      <c r="CU215" s="18"/>
      <c r="CV215" s="18"/>
      <c r="CW215" s="18"/>
      <c r="CX215" s="18"/>
      <c r="CY215" s="37"/>
      <c r="CZ215" s="38"/>
      <c r="DA215" s="18"/>
      <c r="DB215" s="37">
        <v>44158</v>
      </c>
      <c r="DC215" s="38">
        <v>16.892700000000001</v>
      </c>
      <c r="DD215" s="18"/>
      <c r="DE215" s="37">
        <v>44158</v>
      </c>
      <c r="DF215" s="38">
        <v>15.415100000000001</v>
      </c>
      <c r="DG215" s="18"/>
      <c r="DH215" s="37">
        <v>44158</v>
      </c>
      <c r="DI215" s="38">
        <v>20.547799999999999</v>
      </c>
      <c r="DJ215" s="18"/>
      <c r="DK215" s="37">
        <v>44158</v>
      </c>
      <c r="DL215" s="38">
        <v>0.14749999999999999</v>
      </c>
      <c r="DM215" s="18"/>
      <c r="DN215" s="18"/>
      <c r="DO215" s="18"/>
      <c r="DP215" s="18"/>
      <c r="DQ215" s="18"/>
      <c r="DR215" s="18"/>
      <c r="DS215" s="18"/>
      <c r="DT215" s="18"/>
      <c r="DU215" s="18"/>
      <c r="DV215" s="18"/>
      <c r="DW215" s="18"/>
      <c r="DX215" s="18"/>
      <c r="DY215" s="18"/>
      <c r="DZ215" s="18"/>
    </row>
    <row r="216" spans="1:130" ht="15" customHeight="1" x14ac:dyDescent="0.3">
      <c r="A216" s="30" t="s">
        <v>334</v>
      </c>
      <c r="B216" s="112" t="s">
        <v>333</v>
      </c>
      <c r="C216" s="131">
        <v>99.21</v>
      </c>
      <c r="D216" s="131">
        <v>102.78</v>
      </c>
      <c r="E216" s="131">
        <v>121.62</v>
      </c>
      <c r="F216" s="131">
        <v>66.89</v>
      </c>
      <c r="G216" s="131">
        <v>59.3</v>
      </c>
      <c r="H216" s="131">
        <v>100.61</v>
      </c>
      <c r="I216" s="131">
        <v>57.82</v>
      </c>
      <c r="J216" s="131">
        <v>58.41</v>
      </c>
      <c r="K216" s="131">
        <v>54.91</v>
      </c>
      <c r="L216" s="131">
        <v>62.86</v>
      </c>
      <c r="M216" s="132" t="s">
        <v>615</v>
      </c>
      <c r="N216" s="17"/>
      <c r="O216" s="17"/>
      <c r="P216" s="17"/>
      <c r="Q216" s="17"/>
      <c r="R216" s="17"/>
      <c r="S216" s="17"/>
      <c r="T216" s="17"/>
      <c r="U216" s="18"/>
      <c r="V216" s="18"/>
      <c r="W216" s="18"/>
      <c r="X216" s="18"/>
      <c r="Y216" s="18"/>
      <c r="Z216" s="18"/>
      <c r="AA216" s="18"/>
      <c r="AB216" s="18"/>
      <c r="AC216" s="18"/>
      <c r="AD216" s="18"/>
      <c r="AE216" s="18" t="s">
        <v>333</v>
      </c>
      <c r="AF216" s="85">
        <v>-4.2000000000115278E-3</v>
      </c>
      <c r="AG216" s="85">
        <v>3.5000000000025011E-3</v>
      </c>
      <c r="AH216" s="85">
        <v>-4.6999999999997044E-3</v>
      </c>
      <c r="AI216" s="85">
        <v>1.90000000000623E-3</v>
      </c>
      <c r="AJ216" s="85">
        <v>8.9999999999434976E-4</v>
      </c>
      <c r="AK216" s="85">
        <v>6.9999999999481588E-4</v>
      </c>
      <c r="AL216" s="85">
        <v>-1.5000000000000568E-3</v>
      </c>
      <c r="AM216" s="85">
        <v>3.6999999999949296E-3</v>
      </c>
      <c r="AN216" s="18"/>
      <c r="AO216" s="18"/>
      <c r="AP216" s="77" t="s">
        <v>333</v>
      </c>
      <c r="AQ216" s="136">
        <v>99.214200000000005</v>
      </c>
      <c r="AR216" s="136">
        <v>102.7765</v>
      </c>
      <c r="AS216" s="136">
        <v>121.6247</v>
      </c>
      <c r="AT216" s="136">
        <v>66.888099999999994</v>
      </c>
      <c r="AU216" s="136">
        <v>59.299100000000003</v>
      </c>
      <c r="AV216" s="136">
        <v>100.6093</v>
      </c>
      <c r="AW216" s="136">
        <v>57.8215</v>
      </c>
      <c r="AX216" s="136">
        <v>58.406300000000002</v>
      </c>
      <c r="AY216" s="136">
        <v>54.9129</v>
      </c>
      <c r="AZ216" s="136">
        <v>62.8613</v>
      </c>
      <c r="BA216" s="137" t="s">
        <v>1811</v>
      </c>
      <c r="BB216" s="77"/>
      <c r="BC216" s="18"/>
      <c r="BD216" s="18"/>
      <c r="BE216" s="18"/>
      <c r="BF216" s="18"/>
      <c r="BG216" s="18"/>
      <c r="BH216" s="18"/>
      <c r="BI216" s="18"/>
      <c r="BJ216" s="18"/>
      <c r="BK216" s="18"/>
      <c r="BL216" s="18"/>
      <c r="BM216" s="18"/>
      <c r="BN216" s="18"/>
      <c r="BO216" s="18"/>
      <c r="BP216" s="18"/>
      <c r="BQ216" s="18"/>
      <c r="BR216" s="18"/>
      <c r="BS216" s="17"/>
      <c r="BT216" s="17"/>
      <c r="BU216" s="17"/>
      <c r="BV216" s="17"/>
      <c r="BW216" s="17"/>
      <c r="BX216" s="18"/>
      <c r="BY216" s="18"/>
      <c r="BZ216" s="18"/>
      <c r="CA216" s="18"/>
      <c r="CB216" s="17"/>
      <c r="CC216" s="17"/>
      <c r="CD216" s="17"/>
      <c r="CE216" s="18"/>
      <c r="CF216" s="18"/>
      <c r="CG216" s="18"/>
      <c r="CH216" s="18"/>
      <c r="CI216" s="18"/>
      <c r="CJ216" s="18"/>
      <c r="CK216" s="18"/>
      <c r="CL216" s="18"/>
      <c r="CM216" s="18"/>
      <c r="CN216" s="18"/>
      <c r="CO216" s="18"/>
      <c r="CP216" s="18"/>
      <c r="CQ216" s="18"/>
      <c r="CR216" s="18"/>
      <c r="CS216" s="18"/>
      <c r="CT216" s="18"/>
      <c r="CU216" s="18"/>
      <c r="CV216" s="18"/>
      <c r="CW216" s="18"/>
      <c r="CX216" s="18"/>
      <c r="CY216" s="37"/>
      <c r="CZ216" s="38"/>
      <c r="DA216" s="18"/>
      <c r="DB216" s="37">
        <v>44159</v>
      </c>
      <c r="DC216" s="38">
        <v>16.684999999999999</v>
      </c>
      <c r="DD216" s="18"/>
      <c r="DE216" s="37">
        <v>44159</v>
      </c>
      <c r="DF216" s="38">
        <v>15.204499999999999</v>
      </c>
      <c r="DG216" s="18"/>
      <c r="DH216" s="37">
        <v>44159</v>
      </c>
      <c r="DI216" s="38">
        <v>20.314900000000002</v>
      </c>
      <c r="DJ216" s="18"/>
      <c r="DK216" s="37">
        <v>44159</v>
      </c>
      <c r="DL216" s="38">
        <v>0.14560000000000001</v>
      </c>
      <c r="DM216" s="18"/>
      <c r="DN216" s="18"/>
      <c r="DO216" s="18"/>
      <c r="DP216" s="18"/>
      <c r="DQ216" s="18"/>
      <c r="DR216" s="18"/>
      <c r="DS216" s="18"/>
      <c r="DT216" s="18"/>
      <c r="DU216" s="18"/>
      <c r="DV216" s="18"/>
      <c r="DW216" s="18"/>
      <c r="DX216" s="18"/>
      <c r="DY216" s="18"/>
      <c r="DZ216" s="18"/>
    </row>
    <row r="217" spans="1:130" ht="15" customHeight="1" thickBot="1" x14ac:dyDescent="0.35">
      <c r="A217" s="115" t="s">
        <v>335</v>
      </c>
      <c r="B217" s="116" t="s">
        <v>413</v>
      </c>
      <c r="C217" s="138">
        <v>8.6199999999999992</v>
      </c>
      <c r="D217" s="138">
        <v>8.01</v>
      </c>
      <c r="E217" s="138">
        <v>6.78</v>
      </c>
      <c r="F217" s="138">
        <v>18.02</v>
      </c>
      <c r="G217" s="138">
        <v>8.6199999999999992</v>
      </c>
      <c r="H217" s="138">
        <v>15.07</v>
      </c>
      <c r="I217" s="138">
        <v>12.84</v>
      </c>
      <c r="J217" s="138">
        <v>15.03</v>
      </c>
      <c r="K217" s="138">
        <v>15.3</v>
      </c>
      <c r="L217" s="138">
        <v>25.56</v>
      </c>
      <c r="M217" s="139">
        <v>-17.45</v>
      </c>
      <c r="N217" s="17"/>
      <c r="O217" s="17"/>
      <c r="P217" s="17"/>
      <c r="Q217" s="17"/>
      <c r="R217" s="17"/>
      <c r="S217" s="17"/>
      <c r="T217" s="17"/>
      <c r="U217" s="18"/>
      <c r="V217" s="18"/>
      <c r="W217" s="18"/>
      <c r="X217" s="18"/>
      <c r="Y217" s="18"/>
      <c r="Z217" s="18"/>
      <c r="AA217" s="18"/>
      <c r="AB217" s="18"/>
      <c r="AC217" s="18"/>
      <c r="AD217" s="18"/>
      <c r="AE217" s="18" t="s">
        <v>413</v>
      </c>
      <c r="AF217" s="85">
        <v>3.9999999999995595E-3</v>
      </c>
      <c r="AG217" s="85">
        <v>-3.1999999999996476E-3</v>
      </c>
      <c r="AH217" s="85">
        <v>-3.2999999999994145E-3</v>
      </c>
      <c r="AI217" s="85">
        <v>-4.3000000000006366E-3</v>
      </c>
      <c r="AJ217" s="85">
        <v>-1.5000000000000568E-3</v>
      </c>
      <c r="AK217" s="85">
        <v>1.1000000000009891E-3</v>
      </c>
      <c r="AL217" s="85">
        <v>-4.9000000000010147E-3</v>
      </c>
      <c r="AM217" s="85">
        <v>-2.1000000000004349E-3</v>
      </c>
      <c r="AN217" s="18"/>
      <c r="AO217" s="18"/>
      <c r="AP217" s="104" t="s">
        <v>99</v>
      </c>
      <c r="AQ217" s="140">
        <v>8.6159999999999997</v>
      </c>
      <c r="AR217" s="140">
        <v>8.0131999999999994</v>
      </c>
      <c r="AS217" s="140">
        <v>6.7832999999999997</v>
      </c>
      <c r="AT217" s="140">
        <v>18.0243</v>
      </c>
      <c r="AU217" s="140">
        <v>8.6214999999999993</v>
      </c>
      <c r="AV217" s="140">
        <v>15.068899999999999</v>
      </c>
      <c r="AW217" s="140">
        <v>12.844900000000001</v>
      </c>
      <c r="AX217" s="140">
        <v>15.0321</v>
      </c>
      <c r="AY217" s="140">
        <v>15.2959</v>
      </c>
      <c r="AZ217" s="140">
        <v>25.558700000000002</v>
      </c>
      <c r="BA217" s="141">
        <v>-17.452400000000001</v>
      </c>
      <c r="BB217" s="77"/>
      <c r="BC217" s="18"/>
      <c r="BD217" s="18"/>
      <c r="BE217" s="18"/>
      <c r="BF217" s="18"/>
      <c r="BG217" s="18"/>
      <c r="BH217" s="18"/>
      <c r="BI217" s="18"/>
      <c r="BJ217" s="18"/>
      <c r="BK217" s="18"/>
      <c r="BL217" s="18"/>
      <c r="BM217" s="18"/>
      <c r="BN217" s="18"/>
      <c r="BO217" s="18"/>
      <c r="BP217" s="18"/>
      <c r="BQ217" s="18"/>
      <c r="BR217" s="18"/>
      <c r="BS217" s="17"/>
      <c r="BT217" s="17"/>
      <c r="BU217" s="17"/>
      <c r="BV217" s="17"/>
      <c r="BW217" s="17"/>
      <c r="BX217" s="18"/>
      <c r="BY217" s="18"/>
      <c r="BZ217" s="18"/>
      <c r="CA217" s="18"/>
      <c r="CB217" s="17"/>
      <c r="CC217" s="17"/>
      <c r="CD217" s="17"/>
      <c r="CE217" s="18"/>
      <c r="CF217" s="18"/>
      <c r="CG217" s="18"/>
      <c r="CH217" s="18"/>
      <c r="CI217" s="18"/>
      <c r="CJ217" s="18"/>
      <c r="CK217" s="18"/>
      <c r="CL217" s="18"/>
      <c r="CM217" s="18"/>
      <c r="CN217" s="18"/>
      <c r="CO217" s="18"/>
      <c r="CP217" s="18"/>
      <c r="CQ217" s="18"/>
      <c r="CR217" s="18"/>
      <c r="CS217" s="18"/>
      <c r="CT217" s="18"/>
      <c r="CU217" s="18"/>
      <c r="CV217" s="18"/>
      <c r="CW217" s="18"/>
      <c r="CX217" s="18"/>
      <c r="CY217" s="37"/>
      <c r="CZ217" s="38"/>
      <c r="DA217" s="18"/>
      <c r="DB217" s="37">
        <v>44160</v>
      </c>
      <c r="DC217" s="38">
        <v>16.653700000000001</v>
      </c>
      <c r="DD217" s="18"/>
      <c r="DE217" s="37">
        <v>44160</v>
      </c>
      <c r="DF217" s="38">
        <v>15.126300000000001</v>
      </c>
      <c r="DG217" s="18"/>
      <c r="DH217" s="37">
        <v>44160</v>
      </c>
      <c r="DI217" s="38">
        <v>20.2546</v>
      </c>
      <c r="DJ217" s="18"/>
      <c r="DK217" s="37">
        <v>44160</v>
      </c>
      <c r="DL217" s="38">
        <v>0.14480000000000001</v>
      </c>
      <c r="DM217" s="18"/>
      <c r="DN217" s="18"/>
      <c r="DO217" s="18"/>
      <c r="DP217" s="18"/>
      <c r="DQ217" s="18"/>
      <c r="DR217" s="18"/>
      <c r="DS217" s="18"/>
      <c r="DT217" s="18"/>
      <c r="DU217" s="18"/>
      <c r="DV217" s="18"/>
      <c r="DW217" s="18"/>
      <c r="DX217" s="18"/>
      <c r="DY217" s="18"/>
      <c r="DZ217" s="18"/>
    </row>
    <row r="218" spans="1:130" ht="15" customHeight="1" x14ac:dyDescent="0.3">
      <c r="A218" s="16"/>
      <c r="B218" s="16"/>
      <c r="C218" s="16"/>
      <c r="D218" s="16"/>
      <c r="E218" s="16"/>
      <c r="F218" s="16"/>
      <c r="G218" s="16"/>
      <c r="H218" s="16"/>
      <c r="I218" s="16"/>
      <c r="J218" s="16"/>
      <c r="K218" s="16"/>
      <c r="L218" s="16"/>
      <c r="M218" s="16"/>
      <c r="N218" s="17"/>
      <c r="O218" s="17"/>
      <c r="P218" s="17"/>
      <c r="Q218" s="17"/>
      <c r="R218" s="17"/>
      <c r="S218" s="17"/>
      <c r="T218" s="17"/>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7"/>
      <c r="BT218" s="17"/>
      <c r="BU218" s="17"/>
      <c r="BV218" s="17"/>
      <c r="BW218" s="17"/>
      <c r="BX218" s="18"/>
      <c r="BY218" s="18"/>
      <c r="BZ218" s="18"/>
      <c r="CA218" s="18"/>
      <c r="CB218" s="17"/>
      <c r="CC218" s="17"/>
      <c r="CD218" s="17"/>
      <c r="CE218" s="18"/>
      <c r="CF218" s="18"/>
      <c r="CG218" s="18"/>
      <c r="CH218" s="18"/>
      <c r="CI218" s="18"/>
      <c r="CJ218" s="18"/>
      <c r="CK218" s="18"/>
      <c r="CL218" s="18"/>
      <c r="CM218" s="18"/>
      <c r="CN218" s="18"/>
      <c r="CO218" s="18"/>
      <c r="CP218" s="18"/>
      <c r="CQ218" s="18"/>
      <c r="CR218" s="18"/>
      <c r="CS218" s="18"/>
      <c r="CT218" s="18"/>
      <c r="CU218" s="18"/>
      <c r="CV218" s="18"/>
      <c r="CW218" s="18"/>
      <c r="CX218" s="18"/>
      <c r="CY218" s="37"/>
      <c r="CZ218" s="38"/>
      <c r="DA218" s="18"/>
      <c r="DB218" s="37">
        <v>44161</v>
      </c>
      <c r="DC218" s="38">
        <v>16.7441</v>
      </c>
      <c r="DD218" s="18"/>
      <c r="DE218" s="37">
        <v>44161</v>
      </c>
      <c r="DF218" s="38">
        <v>15.1838</v>
      </c>
      <c r="DG218" s="18"/>
      <c r="DH218" s="37">
        <v>44161</v>
      </c>
      <c r="DI218" s="38">
        <v>20.282900000000001</v>
      </c>
      <c r="DJ218" s="18"/>
      <c r="DK218" s="37">
        <v>44161</v>
      </c>
      <c r="DL218" s="38">
        <v>0.14560000000000001</v>
      </c>
      <c r="DM218" s="18"/>
      <c r="DN218" s="18"/>
      <c r="DO218" s="18"/>
      <c r="DP218" s="18"/>
      <c r="DQ218" s="18"/>
      <c r="DR218" s="18"/>
      <c r="DS218" s="18"/>
      <c r="DT218" s="18"/>
      <c r="DU218" s="18"/>
      <c r="DV218" s="18"/>
      <c r="DW218" s="18"/>
      <c r="DX218" s="18"/>
      <c r="DY218" s="18"/>
      <c r="DZ218" s="18"/>
    </row>
    <row r="219" spans="1:130" ht="15" customHeight="1" x14ac:dyDescent="0.3">
      <c r="A219" s="16"/>
      <c r="B219" s="16"/>
      <c r="C219" s="16"/>
      <c r="D219" s="16"/>
      <c r="E219" s="16"/>
      <c r="F219" s="16"/>
      <c r="G219" s="16"/>
      <c r="H219" s="16"/>
      <c r="I219" s="16"/>
      <c r="J219" s="16"/>
      <c r="K219" s="16"/>
      <c r="L219" s="16"/>
      <c r="M219" s="16"/>
      <c r="N219" s="17"/>
      <c r="O219" s="17"/>
      <c r="P219" s="17"/>
      <c r="Q219" s="17"/>
      <c r="R219" s="17"/>
      <c r="S219" s="17"/>
      <c r="T219" s="17"/>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7"/>
      <c r="BT219" s="17"/>
      <c r="BU219" s="17"/>
      <c r="BV219" s="17"/>
      <c r="BW219" s="17"/>
      <c r="BX219" s="18"/>
      <c r="BY219" s="18"/>
      <c r="BZ219" s="18"/>
      <c r="CA219" s="18"/>
      <c r="CB219" s="17"/>
      <c r="CC219" s="17"/>
      <c r="CD219" s="17"/>
      <c r="CE219" s="18"/>
      <c r="CF219" s="18"/>
      <c r="CG219" s="18"/>
      <c r="CH219" s="18"/>
      <c r="CI219" s="18"/>
      <c r="CJ219" s="18"/>
      <c r="CK219" s="18"/>
      <c r="CL219" s="18"/>
      <c r="CM219" s="18"/>
      <c r="CN219" s="18"/>
      <c r="CO219" s="18"/>
      <c r="CP219" s="18"/>
      <c r="CQ219" s="18"/>
      <c r="CR219" s="18"/>
      <c r="CS219" s="18"/>
      <c r="CT219" s="18"/>
      <c r="CU219" s="18"/>
      <c r="CV219" s="18"/>
      <c r="CW219" s="18"/>
      <c r="CX219" s="18"/>
      <c r="CY219" s="37"/>
      <c r="CZ219" s="38"/>
      <c r="DA219" s="18"/>
      <c r="DB219" s="37">
        <v>44162</v>
      </c>
      <c r="DC219" s="38">
        <v>16.857500000000002</v>
      </c>
      <c r="DD219" s="18"/>
      <c r="DE219" s="37">
        <v>44162</v>
      </c>
      <c r="DF219" s="38">
        <v>15.241300000000001</v>
      </c>
      <c r="DG219" s="18"/>
      <c r="DH219" s="37">
        <v>44162</v>
      </c>
      <c r="DI219" s="38">
        <v>20.3185</v>
      </c>
      <c r="DJ219" s="18"/>
      <c r="DK219" s="37">
        <v>44162</v>
      </c>
      <c r="DL219" s="38">
        <v>0.14660000000000001</v>
      </c>
      <c r="DM219" s="18"/>
      <c r="DN219" s="18"/>
      <c r="DO219" s="18"/>
      <c r="DP219" s="18"/>
      <c r="DQ219" s="18"/>
      <c r="DR219" s="18"/>
      <c r="DS219" s="18"/>
      <c r="DT219" s="18"/>
      <c r="DU219" s="18"/>
      <c r="DV219" s="18"/>
      <c r="DW219" s="18"/>
      <c r="DX219" s="18"/>
      <c r="DY219" s="18"/>
      <c r="DZ219" s="18"/>
    </row>
    <row r="220" spans="1:130" ht="15" customHeight="1" x14ac:dyDescent="0.3">
      <c r="A220" s="18"/>
      <c r="B220" s="18"/>
      <c r="C220" s="18"/>
      <c r="D220" s="18"/>
      <c r="E220" s="18"/>
      <c r="F220" s="18"/>
      <c r="G220" s="18"/>
      <c r="H220" s="18"/>
      <c r="I220" s="18"/>
      <c r="J220" s="18"/>
      <c r="K220" s="18"/>
      <c r="L220" s="18"/>
      <c r="M220" s="18"/>
      <c r="N220" s="17"/>
      <c r="O220" s="17"/>
      <c r="P220" s="17"/>
      <c r="Q220" s="17"/>
      <c r="R220" s="17"/>
      <c r="S220" s="17"/>
      <c r="T220" s="17"/>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7"/>
      <c r="BT220" s="17"/>
      <c r="BU220" s="17"/>
      <c r="BV220" s="17"/>
      <c r="BW220" s="17"/>
      <c r="BX220" s="18"/>
      <c r="BY220" s="18"/>
      <c r="BZ220" s="18"/>
      <c r="CA220" s="18"/>
      <c r="CB220" s="17"/>
      <c r="CC220" s="17"/>
      <c r="CD220" s="17"/>
      <c r="CE220" s="18"/>
      <c r="CF220" s="18"/>
      <c r="CG220" s="18"/>
      <c r="CH220" s="18"/>
      <c r="CI220" s="18"/>
      <c r="CJ220" s="18"/>
      <c r="CK220" s="18"/>
      <c r="CL220" s="18"/>
      <c r="CM220" s="18"/>
      <c r="CN220" s="18"/>
      <c r="CO220" s="18"/>
      <c r="CP220" s="18"/>
      <c r="CQ220" s="18"/>
      <c r="CR220" s="18"/>
      <c r="CS220" s="18"/>
      <c r="CT220" s="18"/>
      <c r="CU220" s="18"/>
      <c r="CV220" s="18"/>
      <c r="CW220" s="18"/>
      <c r="CX220" s="18"/>
      <c r="CY220" s="37"/>
      <c r="CZ220" s="38"/>
      <c r="DA220" s="18"/>
      <c r="DB220" s="37">
        <v>44165</v>
      </c>
      <c r="DC220" s="38">
        <v>17.020499999999998</v>
      </c>
      <c r="DD220" s="18"/>
      <c r="DE220" s="37">
        <v>44165</v>
      </c>
      <c r="DF220" s="38">
        <v>15.4681</v>
      </c>
      <c r="DG220" s="18"/>
      <c r="DH220" s="37">
        <v>44165</v>
      </c>
      <c r="DI220" s="38">
        <v>20.608799999999999</v>
      </c>
      <c r="DJ220" s="18"/>
      <c r="DK220" s="37">
        <v>44165</v>
      </c>
      <c r="DL220" s="38">
        <v>0.14829999999999999</v>
      </c>
      <c r="DM220" s="18"/>
      <c r="DN220" s="18"/>
      <c r="DO220" s="18"/>
      <c r="DP220" s="18"/>
      <c r="DQ220" s="18"/>
      <c r="DR220" s="18"/>
      <c r="DS220" s="18"/>
      <c r="DT220" s="18"/>
      <c r="DU220" s="18"/>
      <c r="DV220" s="18"/>
      <c r="DW220" s="18"/>
      <c r="DX220" s="18"/>
      <c r="DY220" s="18"/>
      <c r="DZ220" s="18"/>
    </row>
    <row r="221" spans="1:130" ht="15" customHeight="1" x14ac:dyDescent="0.3">
      <c r="A221" s="18"/>
      <c r="B221" s="18"/>
      <c r="C221" s="18"/>
      <c r="D221" s="18"/>
      <c r="E221" s="18"/>
      <c r="F221" s="18"/>
      <c r="G221" s="18"/>
      <c r="H221" s="18"/>
      <c r="I221" s="18"/>
      <c r="J221" s="18"/>
      <c r="K221" s="18"/>
      <c r="L221" s="18"/>
      <c r="M221" s="18"/>
      <c r="N221" s="17"/>
      <c r="O221" s="17"/>
      <c r="P221" s="17"/>
      <c r="Q221" s="17"/>
      <c r="R221" s="17"/>
      <c r="S221" s="17"/>
      <c r="T221" s="17"/>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7"/>
      <c r="BT221" s="17"/>
      <c r="BU221" s="17"/>
      <c r="BV221" s="17"/>
      <c r="BW221" s="17"/>
      <c r="BX221" s="18"/>
      <c r="BY221" s="18"/>
      <c r="BZ221" s="18"/>
      <c r="CA221" s="18"/>
      <c r="CB221" s="17"/>
      <c r="CC221" s="17"/>
      <c r="CD221" s="17"/>
      <c r="CE221" s="18"/>
      <c r="CF221" s="18"/>
      <c r="CG221" s="18"/>
      <c r="CH221" s="18"/>
      <c r="CI221" s="18"/>
      <c r="CJ221" s="18"/>
      <c r="CK221" s="18"/>
      <c r="CL221" s="18"/>
      <c r="CM221" s="18"/>
      <c r="CN221" s="18"/>
      <c r="CO221" s="18"/>
      <c r="CP221" s="18"/>
      <c r="CQ221" s="18"/>
      <c r="CR221" s="18"/>
      <c r="CS221" s="18"/>
      <c r="CT221" s="18"/>
      <c r="CU221" s="18"/>
      <c r="CV221" s="18"/>
      <c r="CW221" s="18"/>
      <c r="CX221" s="18"/>
      <c r="CY221" s="37"/>
      <c r="CZ221" s="38"/>
      <c r="DA221" s="18"/>
      <c r="DB221" s="37">
        <v>44166</v>
      </c>
      <c r="DC221" s="38">
        <v>16.944500000000001</v>
      </c>
      <c r="DD221" s="18"/>
      <c r="DE221" s="37">
        <v>44166</v>
      </c>
      <c r="DF221" s="38">
        <v>15.2498</v>
      </c>
      <c r="DG221" s="18"/>
      <c r="DH221" s="37">
        <v>44166</v>
      </c>
      <c r="DI221" s="38">
        <v>20.463899999999999</v>
      </c>
      <c r="DJ221" s="18"/>
      <c r="DK221" s="37">
        <v>44166</v>
      </c>
      <c r="DL221" s="38">
        <v>0.1462</v>
      </c>
      <c r="DM221" s="18"/>
      <c r="DN221" s="18"/>
      <c r="DO221" s="18"/>
      <c r="DP221" s="18"/>
      <c r="DQ221" s="18"/>
      <c r="DR221" s="18"/>
      <c r="DS221" s="18"/>
      <c r="DT221" s="18"/>
      <c r="DU221" s="18"/>
      <c r="DV221" s="18"/>
      <c r="DW221" s="18"/>
      <c r="DX221" s="18"/>
      <c r="DY221" s="18"/>
      <c r="DZ221" s="18"/>
    </row>
    <row r="222" spans="1:130" ht="15" customHeight="1" x14ac:dyDescent="0.3">
      <c r="A222" s="18"/>
      <c r="B222" s="18"/>
      <c r="C222" s="18"/>
      <c r="D222" s="18"/>
      <c r="E222" s="18"/>
      <c r="F222" s="18"/>
      <c r="G222" s="18"/>
      <c r="H222" s="18"/>
      <c r="I222" s="18"/>
      <c r="J222" s="18"/>
      <c r="K222" s="18"/>
      <c r="L222" s="18"/>
      <c r="M222" s="18"/>
      <c r="N222" s="17"/>
      <c r="O222" s="17"/>
      <c r="P222" s="17"/>
      <c r="Q222" s="17"/>
      <c r="R222" s="17"/>
      <c r="S222" s="17"/>
      <c r="T222" s="17"/>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7"/>
      <c r="BT222" s="17"/>
      <c r="BU222" s="17"/>
      <c r="BV222" s="17"/>
      <c r="BW222" s="17"/>
      <c r="BX222" s="18"/>
      <c r="BY222" s="18"/>
      <c r="BZ222" s="18"/>
      <c r="CA222" s="18"/>
      <c r="CB222" s="17"/>
      <c r="CC222" s="17"/>
      <c r="CD222" s="17"/>
      <c r="CE222" s="18"/>
      <c r="CF222" s="18"/>
      <c r="CG222" s="18"/>
      <c r="CH222" s="18"/>
      <c r="CI222" s="18"/>
      <c r="CJ222" s="18"/>
      <c r="CK222" s="18"/>
      <c r="CL222" s="18"/>
      <c r="CM222" s="18"/>
      <c r="CN222" s="18"/>
      <c r="CO222" s="18"/>
      <c r="CP222" s="18"/>
      <c r="CQ222" s="18"/>
      <c r="CR222" s="18"/>
      <c r="CS222" s="18"/>
      <c r="CT222" s="18"/>
      <c r="CU222" s="18"/>
      <c r="CV222" s="18"/>
      <c r="CW222" s="18"/>
      <c r="CX222" s="18"/>
      <c r="CY222" s="37"/>
      <c r="CZ222" s="38"/>
      <c r="DA222" s="18"/>
      <c r="DB222" s="37">
        <v>44167</v>
      </c>
      <c r="DC222" s="38">
        <v>17.107800000000001</v>
      </c>
      <c r="DD222" s="18"/>
      <c r="DE222" s="37">
        <v>44167</v>
      </c>
      <c r="DF222" s="38">
        <v>15.315099999999999</v>
      </c>
      <c r="DG222" s="18"/>
      <c r="DH222" s="37">
        <v>44167</v>
      </c>
      <c r="DI222" s="38">
        <v>20.436900000000001</v>
      </c>
      <c r="DJ222" s="18"/>
      <c r="DK222" s="37">
        <v>44167</v>
      </c>
      <c r="DL222" s="38">
        <v>0.14660000000000001</v>
      </c>
      <c r="DM222" s="18"/>
      <c r="DN222" s="18"/>
      <c r="DO222" s="18"/>
      <c r="DP222" s="18"/>
      <c r="DQ222" s="18"/>
      <c r="DR222" s="18"/>
      <c r="DS222" s="18"/>
      <c r="DT222" s="18"/>
      <c r="DU222" s="18"/>
      <c r="DV222" s="18"/>
      <c r="DW222" s="18"/>
      <c r="DX222" s="18"/>
      <c r="DY222" s="18"/>
      <c r="DZ222" s="18"/>
    </row>
    <row r="223" spans="1:130" ht="15" customHeight="1" x14ac:dyDescent="0.3">
      <c r="A223" s="18"/>
      <c r="B223" s="18"/>
      <c r="C223" s="18"/>
      <c r="D223" s="18"/>
      <c r="E223" s="18"/>
      <c r="F223" s="18"/>
      <c r="G223" s="18"/>
      <c r="H223" s="18"/>
      <c r="I223" s="18"/>
      <c r="J223" s="18"/>
      <c r="K223" s="18"/>
      <c r="L223" s="18"/>
      <c r="M223" s="18"/>
      <c r="N223" s="17"/>
      <c r="O223" s="17"/>
      <c r="P223" s="17"/>
      <c r="Q223" s="17"/>
      <c r="R223" s="17"/>
      <c r="S223" s="17"/>
      <c r="T223" s="17"/>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7"/>
      <c r="BT223" s="17"/>
      <c r="BU223" s="17"/>
      <c r="BV223" s="17"/>
      <c r="BW223" s="17"/>
      <c r="BX223" s="18"/>
      <c r="BY223" s="18"/>
      <c r="BZ223" s="18"/>
      <c r="CA223" s="18"/>
      <c r="CB223" s="17"/>
      <c r="CC223" s="17"/>
      <c r="CD223" s="17"/>
      <c r="CE223" s="18"/>
      <c r="CF223" s="18"/>
      <c r="CG223" s="18"/>
      <c r="CH223" s="18"/>
      <c r="CI223" s="18"/>
      <c r="CJ223" s="18"/>
      <c r="CK223" s="18"/>
      <c r="CL223" s="18"/>
      <c r="CM223" s="18"/>
      <c r="CN223" s="18"/>
      <c r="CO223" s="18"/>
      <c r="CP223" s="18"/>
      <c r="CQ223" s="18"/>
      <c r="CR223" s="18"/>
      <c r="CS223" s="18"/>
      <c r="CT223" s="18"/>
      <c r="CU223" s="18"/>
      <c r="CV223" s="18"/>
      <c r="CW223" s="18"/>
      <c r="CX223" s="18"/>
      <c r="CY223" s="37"/>
      <c r="CZ223" s="38"/>
      <c r="DA223" s="18"/>
      <c r="DB223" s="37">
        <v>44168</v>
      </c>
      <c r="DC223" s="38">
        <v>17.028700000000001</v>
      </c>
      <c r="DD223" s="18"/>
      <c r="DE223" s="37">
        <v>44168</v>
      </c>
      <c r="DF223" s="38">
        <v>15.1753</v>
      </c>
      <c r="DG223" s="18"/>
      <c r="DH223" s="37">
        <v>44168</v>
      </c>
      <c r="DI223" s="38">
        <v>20.425899999999999</v>
      </c>
      <c r="DJ223" s="18"/>
      <c r="DK223" s="37">
        <v>44168</v>
      </c>
      <c r="DL223" s="38">
        <v>0.14610000000000001</v>
      </c>
      <c r="DM223" s="18"/>
      <c r="DN223" s="18"/>
      <c r="DO223" s="18"/>
      <c r="DP223" s="18"/>
      <c r="DQ223" s="18"/>
      <c r="DR223" s="18"/>
      <c r="DS223" s="18"/>
      <c r="DT223" s="18"/>
      <c r="DU223" s="18"/>
      <c r="DV223" s="18"/>
      <c r="DW223" s="18"/>
      <c r="DX223" s="18"/>
      <c r="DY223" s="18"/>
      <c r="DZ223" s="18"/>
    </row>
    <row r="224" spans="1:130" ht="15" customHeight="1" x14ac:dyDescent="0.3">
      <c r="A224" s="18"/>
      <c r="B224" s="18"/>
      <c r="C224" s="18"/>
      <c r="D224" s="18"/>
      <c r="E224" s="18"/>
      <c r="F224" s="18"/>
      <c r="G224" s="18"/>
      <c r="H224" s="18"/>
      <c r="I224" s="18"/>
      <c r="J224" s="18"/>
      <c r="K224" s="18"/>
      <c r="L224" s="18"/>
      <c r="M224" s="18"/>
      <c r="N224" s="17"/>
      <c r="O224" s="17"/>
      <c r="P224" s="17"/>
      <c r="Q224" s="17"/>
      <c r="R224" s="17"/>
      <c r="S224" s="17"/>
      <c r="T224" s="17"/>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7"/>
      <c r="BT224" s="17"/>
      <c r="BU224" s="17"/>
      <c r="BV224" s="17"/>
      <c r="BW224" s="17"/>
      <c r="BX224" s="18"/>
      <c r="BY224" s="18"/>
      <c r="BZ224" s="18"/>
      <c r="CA224" s="18"/>
      <c r="CB224" s="17"/>
      <c r="CC224" s="17"/>
      <c r="CD224" s="17"/>
      <c r="CE224" s="18"/>
      <c r="CF224" s="18"/>
      <c r="CG224" s="18"/>
      <c r="CH224" s="18"/>
      <c r="CI224" s="18"/>
      <c r="CJ224" s="18"/>
      <c r="CK224" s="18"/>
      <c r="CL224" s="18"/>
      <c r="CM224" s="18"/>
      <c r="CN224" s="18"/>
      <c r="CO224" s="18"/>
      <c r="CP224" s="18"/>
      <c r="CQ224" s="18"/>
      <c r="CR224" s="18"/>
      <c r="CS224" s="18"/>
      <c r="CT224" s="18"/>
      <c r="CU224" s="18"/>
      <c r="CV224" s="18"/>
      <c r="CW224" s="18"/>
      <c r="CX224" s="18"/>
      <c r="CY224" s="37"/>
      <c r="CZ224" s="38"/>
      <c r="DA224" s="18"/>
      <c r="DB224" s="37">
        <v>44169</v>
      </c>
      <c r="DC224" s="38">
        <v>17.044499999999999</v>
      </c>
      <c r="DD224" s="18"/>
      <c r="DE224" s="37">
        <v>44169</v>
      </c>
      <c r="DF224" s="38">
        <v>15.202500000000001</v>
      </c>
      <c r="DG224" s="18"/>
      <c r="DH224" s="37">
        <v>44169</v>
      </c>
      <c r="DI224" s="38">
        <v>20.4376</v>
      </c>
      <c r="DJ224" s="18"/>
      <c r="DK224" s="37">
        <v>44169</v>
      </c>
      <c r="DL224" s="38">
        <v>0.1459</v>
      </c>
      <c r="DM224" s="18"/>
      <c r="DN224" s="18"/>
      <c r="DO224" s="18"/>
      <c r="DP224" s="18"/>
      <c r="DQ224" s="18"/>
      <c r="DR224" s="18"/>
      <c r="DS224" s="18"/>
      <c r="DT224" s="18"/>
      <c r="DU224" s="18"/>
      <c r="DV224" s="18"/>
      <c r="DW224" s="18"/>
      <c r="DX224" s="18"/>
      <c r="DY224" s="18"/>
      <c r="DZ224" s="18"/>
    </row>
    <row r="225" spans="1:130" ht="15" customHeight="1" x14ac:dyDescent="0.3">
      <c r="A225" s="18"/>
      <c r="B225" s="18"/>
      <c r="C225" s="18"/>
      <c r="D225" s="18"/>
      <c r="E225" s="18"/>
      <c r="F225" s="18"/>
      <c r="G225" s="18"/>
      <c r="H225" s="18"/>
      <c r="I225" s="18"/>
      <c r="J225" s="18"/>
      <c r="K225" s="18"/>
      <c r="L225" s="18"/>
      <c r="M225" s="18"/>
      <c r="N225" s="17"/>
      <c r="O225" s="17"/>
      <c r="P225" s="17"/>
      <c r="Q225" s="17"/>
      <c r="R225" s="17"/>
      <c r="S225" s="17"/>
      <c r="T225" s="17"/>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7"/>
      <c r="BT225" s="17"/>
      <c r="BU225" s="17"/>
      <c r="BV225" s="17"/>
      <c r="BW225" s="17"/>
      <c r="BX225" s="18"/>
      <c r="BY225" s="18"/>
      <c r="BZ225" s="18"/>
      <c r="CA225" s="18"/>
      <c r="CB225" s="17"/>
      <c r="CC225" s="17"/>
      <c r="CD225" s="17"/>
      <c r="CE225" s="18"/>
      <c r="CF225" s="18"/>
      <c r="CG225" s="18"/>
      <c r="CH225" s="18"/>
      <c r="CI225" s="18"/>
      <c r="CJ225" s="18"/>
      <c r="CK225" s="18"/>
      <c r="CL225" s="18"/>
      <c r="CM225" s="18"/>
      <c r="CN225" s="18"/>
      <c r="CO225" s="18"/>
      <c r="CP225" s="18"/>
      <c r="CQ225" s="18"/>
      <c r="CR225" s="18"/>
      <c r="CS225" s="18"/>
      <c r="CT225" s="18"/>
      <c r="CU225" s="18"/>
      <c r="CV225" s="18"/>
      <c r="CW225" s="18"/>
      <c r="CX225" s="18"/>
      <c r="CY225" s="37"/>
      <c r="CZ225" s="38"/>
      <c r="DA225" s="18"/>
      <c r="DB225" s="37">
        <v>44172</v>
      </c>
      <c r="DC225" s="38">
        <v>17.0061</v>
      </c>
      <c r="DD225" s="18"/>
      <c r="DE225" s="37">
        <v>44172</v>
      </c>
      <c r="DF225" s="38">
        <v>15.1465</v>
      </c>
      <c r="DG225" s="18"/>
      <c r="DH225" s="37">
        <v>44172</v>
      </c>
      <c r="DI225" s="38">
        <v>20.2668</v>
      </c>
      <c r="DJ225" s="18"/>
      <c r="DK225" s="37">
        <v>44172</v>
      </c>
      <c r="DL225" s="38">
        <v>0.14560000000000001</v>
      </c>
      <c r="DM225" s="18"/>
      <c r="DN225" s="18"/>
      <c r="DO225" s="18"/>
      <c r="DP225" s="18"/>
      <c r="DQ225" s="18"/>
      <c r="DR225" s="18"/>
      <c r="DS225" s="18"/>
      <c r="DT225" s="18"/>
      <c r="DU225" s="18"/>
      <c r="DV225" s="18"/>
      <c r="DW225" s="18"/>
      <c r="DX225" s="18"/>
      <c r="DY225" s="18"/>
      <c r="DZ225" s="18"/>
    </row>
    <row r="226" spans="1:130" x14ac:dyDescent="0.3">
      <c r="A226" s="18"/>
      <c r="B226" s="18"/>
      <c r="C226" s="18"/>
      <c r="D226" s="18"/>
      <c r="E226" s="18"/>
      <c r="F226" s="18"/>
      <c r="G226" s="18"/>
      <c r="H226" s="18"/>
      <c r="I226" s="18"/>
      <c r="J226" s="18"/>
      <c r="K226" s="18"/>
      <c r="L226" s="18"/>
      <c r="M226" s="18"/>
      <c r="N226" s="17"/>
      <c r="O226" s="17"/>
      <c r="P226" s="17"/>
      <c r="Q226" s="17"/>
      <c r="R226" s="17"/>
      <c r="S226" s="17"/>
      <c r="T226" s="17"/>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7"/>
      <c r="BT226" s="17"/>
      <c r="BU226" s="17"/>
      <c r="BV226" s="17"/>
      <c r="BW226" s="17"/>
      <c r="BX226" s="18"/>
      <c r="BY226" s="18"/>
      <c r="BZ226" s="18"/>
      <c r="CA226" s="18"/>
      <c r="CB226" s="17"/>
      <c r="CC226" s="17"/>
      <c r="CD226" s="17"/>
      <c r="CE226" s="18"/>
      <c r="CF226" s="18"/>
      <c r="CG226" s="18"/>
      <c r="CH226" s="18"/>
      <c r="CI226" s="18"/>
      <c r="CJ226" s="18"/>
      <c r="CK226" s="18"/>
      <c r="CL226" s="18"/>
      <c r="CM226" s="18"/>
      <c r="CN226" s="18"/>
      <c r="CO226" s="18"/>
      <c r="CP226" s="18"/>
      <c r="CQ226" s="18"/>
      <c r="CR226" s="18"/>
      <c r="CS226" s="18"/>
      <c r="CT226" s="18"/>
      <c r="CU226" s="18"/>
      <c r="CV226" s="18"/>
      <c r="CW226" s="18"/>
      <c r="CX226" s="18"/>
      <c r="CY226" s="37"/>
      <c r="CZ226" s="38"/>
      <c r="DA226" s="18"/>
      <c r="DB226" s="37">
        <v>44173</v>
      </c>
      <c r="DC226" s="38">
        <v>16.854199999999999</v>
      </c>
      <c r="DD226" s="18"/>
      <c r="DE226" s="37">
        <v>44173</v>
      </c>
      <c r="DF226" s="38">
        <v>14.985099999999999</v>
      </c>
      <c r="DG226" s="18"/>
      <c r="DH226" s="37">
        <v>44173</v>
      </c>
      <c r="DI226" s="38">
        <v>20.0154</v>
      </c>
      <c r="DJ226" s="18"/>
      <c r="DK226" s="37">
        <v>44173</v>
      </c>
      <c r="DL226" s="38">
        <v>0.1439</v>
      </c>
      <c r="DM226" s="18"/>
      <c r="DN226" s="18"/>
      <c r="DO226" s="18"/>
      <c r="DP226" s="18"/>
      <c r="DQ226" s="18"/>
      <c r="DR226" s="18"/>
      <c r="DS226" s="18"/>
      <c r="DT226" s="18"/>
      <c r="DU226" s="18"/>
      <c r="DV226" s="18"/>
      <c r="DW226" s="18"/>
      <c r="DX226" s="18"/>
      <c r="DY226" s="18"/>
      <c r="DZ226" s="18"/>
    </row>
    <row r="227" spans="1:130" x14ac:dyDescent="0.3">
      <c r="A227" s="18"/>
      <c r="B227" s="18"/>
      <c r="C227" s="18"/>
      <c r="D227" s="18"/>
      <c r="E227" s="18"/>
      <c r="F227" s="18"/>
      <c r="G227" s="18"/>
      <c r="H227" s="18"/>
      <c r="I227" s="18"/>
      <c r="J227" s="18"/>
      <c r="K227" s="18"/>
      <c r="L227" s="18"/>
      <c r="M227" s="18"/>
      <c r="N227" s="17"/>
      <c r="O227" s="17"/>
      <c r="P227" s="17"/>
      <c r="Q227" s="17"/>
      <c r="R227" s="17"/>
      <c r="S227" s="17"/>
      <c r="T227" s="17"/>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7"/>
      <c r="BT227" s="17"/>
      <c r="BU227" s="17"/>
      <c r="BV227" s="17"/>
      <c r="BW227" s="17"/>
      <c r="BX227" s="18"/>
      <c r="BY227" s="18"/>
      <c r="BZ227" s="18"/>
      <c r="CA227" s="18"/>
      <c r="CB227" s="17"/>
      <c r="CC227" s="17"/>
      <c r="CD227" s="17"/>
      <c r="CE227" s="18"/>
      <c r="CF227" s="18"/>
      <c r="CG227" s="18"/>
      <c r="CH227" s="18"/>
      <c r="CI227" s="18"/>
      <c r="CJ227" s="18"/>
      <c r="CK227" s="18"/>
      <c r="CL227" s="18"/>
      <c r="CM227" s="18"/>
      <c r="CN227" s="18"/>
      <c r="CO227" s="18"/>
      <c r="CP227" s="18"/>
      <c r="CQ227" s="18"/>
      <c r="CR227" s="18"/>
      <c r="CS227" s="18"/>
      <c r="CT227" s="18"/>
      <c r="CU227" s="18"/>
      <c r="CV227" s="18"/>
      <c r="CW227" s="18"/>
      <c r="CX227" s="18"/>
      <c r="CY227" s="37"/>
      <c r="CZ227" s="38"/>
      <c r="DA227" s="18"/>
      <c r="DB227" s="37">
        <v>44174</v>
      </c>
      <c r="DC227" s="38">
        <v>16.837</v>
      </c>
      <c r="DD227" s="18"/>
      <c r="DE227" s="37">
        <v>44174</v>
      </c>
      <c r="DF227" s="38">
        <v>14.968</v>
      </c>
      <c r="DG227" s="18"/>
      <c r="DH227" s="37">
        <v>44174</v>
      </c>
      <c r="DI227" s="38">
        <v>20.057400000000001</v>
      </c>
      <c r="DJ227" s="18"/>
      <c r="DK227" s="37">
        <v>44174</v>
      </c>
      <c r="DL227" s="38">
        <v>0.14349999999999999</v>
      </c>
      <c r="DM227" s="18"/>
      <c r="DN227" s="18"/>
      <c r="DO227" s="18"/>
      <c r="DP227" s="18"/>
      <c r="DQ227" s="18"/>
      <c r="DR227" s="18"/>
      <c r="DS227" s="18"/>
      <c r="DT227" s="18"/>
      <c r="DU227" s="18"/>
      <c r="DV227" s="18"/>
      <c r="DW227" s="18"/>
      <c r="DX227" s="18"/>
      <c r="DY227" s="18"/>
      <c r="DZ227" s="18"/>
    </row>
    <row r="228" spans="1:130" x14ac:dyDescent="0.3">
      <c r="A228" s="18"/>
      <c r="B228" s="18"/>
      <c r="C228" s="18"/>
      <c r="D228" s="18"/>
      <c r="E228" s="18"/>
      <c r="F228" s="18"/>
      <c r="G228" s="18"/>
      <c r="H228" s="18"/>
      <c r="I228" s="18"/>
      <c r="J228" s="18"/>
      <c r="K228" s="18"/>
      <c r="L228" s="18"/>
      <c r="M228" s="18"/>
      <c r="N228" s="17"/>
      <c r="O228" s="17"/>
      <c r="P228" s="17"/>
      <c r="Q228" s="17"/>
      <c r="R228" s="17"/>
      <c r="S228" s="17"/>
      <c r="T228" s="17"/>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7"/>
      <c r="BT228" s="17"/>
      <c r="BU228" s="17"/>
      <c r="BV228" s="17"/>
      <c r="BW228" s="17"/>
      <c r="BX228" s="18"/>
      <c r="BY228" s="18"/>
      <c r="BZ228" s="18"/>
      <c r="CA228" s="18"/>
      <c r="CB228" s="17"/>
      <c r="CC228" s="17"/>
      <c r="CD228" s="17"/>
      <c r="CE228" s="18"/>
      <c r="CF228" s="18"/>
      <c r="CG228" s="18"/>
      <c r="CH228" s="18"/>
      <c r="CI228" s="18"/>
      <c r="CJ228" s="18"/>
      <c r="CK228" s="18"/>
      <c r="CL228" s="18"/>
      <c r="CM228" s="18"/>
      <c r="CN228" s="18"/>
      <c r="CO228" s="18"/>
      <c r="CP228" s="18"/>
      <c r="CQ228" s="18"/>
      <c r="CR228" s="18"/>
      <c r="CS228" s="18"/>
      <c r="CT228" s="18"/>
      <c r="CU228" s="18"/>
      <c r="CV228" s="18"/>
      <c r="CW228" s="18"/>
      <c r="CX228" s="18"/>
      <c r="CY228" s="37"/>
      <c r="CZ228" s="38"/>
      <c r="DA228" s="18"/>
      <c r="DB228" s="37">
        <v>44175</v>
      </c>
      <c r="DC228" s="38">
        <v>16.954899999999999</v>
      </c>
      <c r="DD228" s="18"/>
      <c r="DE228" s="37">
        <v>44175</v>
      </c>
      <c r="DF228" s="38">
        <v>15.020799999999999</v>
      </c>
      <c r="DG228" s="18"/>
      <c r="DH228" s="37">
        <v>44175</v>
      </c>
      <c r="DI228" s="38">
        <v>19.9741</v>
      </c>
      <c r="DJ228" s="18"/>
      <c r="DK228" s="37">
        <v>44175</v>
      </c>
      <c r="DL228" s="38">
        <v>0.14410000000000001</v>
      </c>
      <c r="DM228" s="18"/>
      <c r="DN228" s="18"/>
      <c r="DO228" s="18"/>
      <c r="DP228" s="18"/>
      <c r="DQ228" s="18"/>
      <c r="DR228" s="18"/>
      <c r="DS228" s="18"/>
      <c r="DT228" s="18"/>
      <c r="DU228" s="18"/>
      <c r="DV228" s="18"/>
      <c r="DW228" s="18"/>
      <c r="DX228" s="18"/>
      <c r="DY228" s="18"/>
      <c r="DZ228" s="18"/>
    </row>
    <row r="229" spans="1:130" x14ac:dyDescent="0.3">
      <c r="A229" s="18"/>
      <c r="B229" s="18"/>
      <c r="C229" s="18"/>
      <c r="D229" s="18"/>
      <c r="E229" s="18"/>
      <c r="F229" s="18"/>
      <c r="G229" s="18"/>
      <c r="H229" s="18"/>
      <c r="I229" s="18"/>
      <c r="J229" s="18"/>
      <c r="K229" s="18"/>
      <c r="L229" s="18"/>
      <c r="M229" s="18"/>
      <c r="N229" s="17"/>
      <c r="O229" s="17"/>
      <c r="P229" s="17"/>
      <c r="Q229" s="17"/>
      <c r="R229" s="17"/>
      <c r="S229" s="17"/>
      <c r="T229" s="17"/>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7"/>
      <c r="BT229" s="17"/>
      <c r="BU229" s="17"/>
      <c r="BV229" s="17"/>
      <c r="BW229" s="17"/>
      <c r="BX229" s="18"/>
      <c r="BY229" s="18"/>
      <c r="BZ229" s="18"/>
      <c r="CA229" s="18"/>
      <c r="CB229" s="17"/>
      <c r="CC229" s="17"/>
      <c r="CD229" s="17"/>
      <c r="CE229" s="18"/>
      <c r="CF229" s="18"/>
      <c r="CG229" s="18"/>
      <c r="CH229" s="18"/>
      <c r="CI229" s="18"/>
      <c r="CJ229" s="18"/>
      <c r="CK229" s="18"/>
      <c r="CL229" s="18"/>
      <c r="CM229" s="18"/>
      <c r="CN229" s="18"/>
      <c r="CO229" s="18"/>
      <c r="CP229" s="18"/>
      <c r="CQ229" s="18"/>
      <c r="CR229" s="18"/>
      <c r="CS229" s="18"/>
      <c r="CT229" s="18"/>
      <c r="CU229" s="18"/>
      <c r="CV229" s="18"/>
      <c r="CW229" s="18"/>
      <c r="CX229" s="18"/>
      <c r="CY229" s="37"/>
      <c r="CZ229" s="38"/>
      <c r="DA229" s="18"/>
      <c r="DB229" s="37">
        <v>44176</v>
      </c>
      <c r="DC229" s="38">
        <v>17.014099999999999</v>
      </c>
      <c r="DD229" s="18"/>
      <c r="DE229" s="37">
        <v>44176</v>
      </c>
      <c r="DF229" s="38">
        <v>15.137700000000001</v>
      </c>
      <c r="DG229" s="18"/>
      <c r="DH229" s="37">
        <v>44176</v>
      </c>
      <c r="DI229" s="38">
        <v>20.015000000000001</v>
      </c>
      <c r="DJ229" s="18"/>
      <c r="DK229" s="37">
        <v>44176</v>
      </c>
      <c r="DL229" s="38">
        <v>0.14549999999999999</v>
      </c>
      <c r="DM229" s="18"/>
      <c r="DN229" s="18"/>
      <c r="DO229" s="18"/>
      <c r="DP229" s="18"/>
      <c r="DQ229" s="18"/>
      <c r="DR229" s="18"/>
      <c r="DS229" s="18"/>
      <c r="DT229" s="18"/>
      <c r="DU229" s="18"/>
      <c r="DV229" s="18"/>
      <c r="DW229" s="18"/>
      <c r="DX229" s="18"/>
      <c r="DY229" s="18"/>
      <c r="DZ229" s="18"/>
    </row>
    <row r="230" spans="1:130" x14ac:dyDescent="0.3">
      <c r="A230" s="18"/>
      <c r="B230" s="18"/>
      <c r="C230" s="18"/>
      <c r="D230" s="18"/>
      <c r="E230" s="18"/>
      <c r="F230" s="18"/>
      <c r="G230" s="18"/>
      <c r="H230" s="18"/>
      <c r="I230" s="18"/>
      <c r="J230" s="18"/>
      <c r="K230" s="18"/>
      <c r="L230" s="18"/>
      <c r="M230" s="18"/>
      <c r="N230" s="17"/>
      <c r="O230" s="17"/>
      <c r="P230" s="17"/>
      <c r="Q230" s="17"/>
      <c r="R230" s="17"/>
      <c r="S230" s="17"/>
      <c r="T230" s="17"/>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7"/>
      <c r="BT230" s="17"/>
      <c r="BU230" s="17"/>
      <c r="BV230" s="17"/>
      <c r="BW230" s="17"/>
      <c r="BX230" s="18"/>
      <c r="BY230" s="18"/>
      <c r="BZ230" s="18"/>
      <c r="CA230" s="18"/>
      <c r="CB230" s="17"/>
      <c r="CC230" s="17"/>
      <c r="CD230" s="17"/>
      <c r="CE230" s="18"/>
      <c r="CF230" s="18"/>
      <c r="CG230" s="18"/>
      <c r="CH230" s="18"/>
      <c r="CI230" s="18"/>
      <c r="CJ230" s="18"/>
      <c r="CK230" s="18"/>
      <c r="CL230" s="18"/>
      <c r="CM230" s="18"/>
      <c r="CN230" s="18"/>
      <c r="CO230" s="18"/>
      <c r="CP230" s="18"/>
      <c r="CQ230" s="18"/>
      <c r="CR230" s="18"/>
      <c r="CS230" s="18"/>
      <c r="CT230" s="18"/>
      <c r="CU230" s="18"/>
      <c r="CV230" s="18"/>
      <c r="CW230" s="18"/>
      <c r="CX230" s="18"/>
      <c r="CY230" s="37"/>
      <c r="CZ230" s="38"/>
      <c r="DA230" s="18"/>
      <c r="DB230" s="37">
        <v>44179</v>
      </c>
      <c r="DC230" s="38">
        <v>16.9512</v>
      </c>
      <c r="DD230" s="18"/>
      <c r="DE230" s="37">
        <v>44179</v>
      </c>
      <c r="DF230" s="38">
        <v>15.033200000000001</v>
      </c>
      <c r="DG230" s="18"/>
      <c r="DH230" s="37">
        <v>44179</v>
      </c>
      <c r="DI230" s="38">
        <v>20.042200000000001</v>
      </c>
      <c r="DJ230" s="18"/>
      <c r="DK230" s="37">
        <v>44179</v>
      </c>
      <c r="DL230" s="38">
        <v>0.14449999999999999</v>
      </c>
      <c r="DM230" s="18"/>
      <c r="DN230" s="18"/>
      <c r="DO230" s="18"/>
      <c r="DP230" s="18"/>
      <c r="DQ230" s="18"/>
      <c r="DR230" s="18"/>
      <c r="DS230" s="18"/>
      <c r="DT230" s="18"/>
      <c r="DU230" s="18"/>
      <c r="DV230" s="18"/>
      <c r="DW230" s="18"/>
      <c r="DX230" s="18"/>
      <c r="DY230" s="18"/>
      <c r="DZ230" s="18"/>
    </row>
    <row r="231" spans="1:130" x14ac:dyDescent="0.3">
      <c r="A231" s="18"/>
      <c r="B231" s="18"/>
      <c r="C231" s="18"/>
      <c r="D231" s="18"/>
      <c r="E231" s="18"/>
      <c r="F231" s="18"/>
      <c r="G231" s="18"/>
      <c r="H231" s="18"/>
      <c r="I231" s="18"/>
      <c r="J231" s="18"/>
      <c r="K231" s="18"/>
      <c r="L231" s="18"/>
      <c r="M231" s="18"/>
      <c r="N231" s="17"/>
      <c r="O231" s="17"/>
      <c r="P231" s="17"/>
      <c r="Q231" s="17"/>
      <c r="R231" s="17"/>
      <c r="S231" s="17"/>
      <c r="T231" s="17"/>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7"/>
      <c r="BT231" s="17"/>
      <c r="BU231" s="17"/>
      <c r="BV231" s="17"/>
      <c r="BW231" s="17"/>
      <c r="BX231" s="18"/>
      <c r="BY231" s="18"/>
      <c r="BZ231" s="18"/>
      <c r="CA231" s="18"/>
      <c r="CB231" s="17"/>
      <c r="CC231" s="17"/>
      <c r="CD231" s="17"/>
      <c r="CE231" s="18"/>
      <c r="CF231" s="18"/>
      <c r="CG231" s="18"/>
      <c r="CH231" s="18"/>
      <c r="CI231" s="18"/>
      <c r="CJ231" s="18"/>
      <c r="CK231" s="18"/>
      <c r="CL231" s="18"/>
      <c r="CM231" s="18"/>
      <c r="CN231" s="18"/>
      <c r="CO231" s="18"/>
      <c r="CP231" s="18"/>
      <c r="CQ231" s="18"/>
      <c r="CR231" s="18"/>
      <c r="CS231" s="18"/>
      <c r="CT231" s="18"/>
      <c r="CU231" s="18"/>
      <c r="CV231" s="18"/>
      <c r="CW231" s="18"/>
      <c r="CX231" s="18"/>
      <c r="CY231" s="37"/>
      <c r="CZ231" s="38"/>
      <c r="DA231" s="18"/>
      <c r="DB231" s="37">
        <v>44180</v>
      </c>
      <c r="DC231" s="38">
        <v>16.801200000000001</v>
      </c>
      <c r="DD231" s="18"/>
      <c r="DE231" s="37">
        <v>44180</v>
      </c>
      <c r="DF231" s="38">
        <v>14.880800000000001</v>
      </c>
      <c r="DG231" s="18"/>
      <c r="DH231" s="37">
        <v>44180</v>
      </c>
      <c r="DI231" s="38">
        <v>20.042000000000002</v>
      </c>
      <c r="DJ231" s="18"/>
      <c r="DK231" s="37">
        <v>44180</v>
      </c>
      <c r="DL231" s="38">
        <v>0.14349999999999999</v>
      </c>
      <c r="DM231" s="18"/>
      <c r="DN231" s="18"/>
      <c r="DO231" s="18"/>
      <c r="DP231" s="18"/>
      <c r="DQ231" s="18"/>
      <c r="DR231" s="18"/>
      <c r="DS231" s="18"/>
      <c r="DT231" s="18"/>
      <c r="DU231" s="18"/>
      <c r="DV231" s="18"/>
      <c r="DW231" s="18"/>
      <c r="DX231" s="18"/>
      <c r="DY231" s="18"/>
      <c r="DZ231" s="18"/>
    </row>
    <row r="232" spans="1:130" x14ac:dyDescent="0.3">
      <c r="A232" s="18"/>
      <c r="B232" s="18"/>
      <c r="C232" s="18"/>
      <c r="D232" s="18"/>
      <c r="E232" s="18"/>
      <c r="F232" s="18"/>
      <c r="G232" s="18"/>
      <c r="H232" s="18"/>
      <c r="I232" s="18"/>
      <c r="J232" s="18"/>
      <c r="K232" s="18"/>
      <c r="L232" s="18"/>
      <c r="M232" s="18"/>
      <c r="N232" s="17"/>
      <c r="O232" s="17"/>
      <c r="P232" s="17"/>
      <c r="Q232" s="17"/>
      <c r="R232" s="17"/>
      <c r="S232" s="17"/>
      <c r="T232" s="17"/>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7"/>
      <c r="BT232" s="17"/>
      <c r="BU232" s="17"/>
      <c r="BV232" s="17"/>
      <c r="BW232" s="17"/>
      <c r="BX232" s="18"/>
      <c r="BY232" s="18"/>
      <c r="BZ232" s="18"/>
      <c r="CA232" s="18"/>
      <c r="CB232" s="17"/>
      <c r="CC232" s="17"/>
      <c r="CD232" s="17"/>
      <c r="CE232" s="18"/>
      <c r="CF232" s="18"/>
      <c r="CG232" s="18"/>
      <c r="CH232" s="18"/>
      <c r="CI232" s="18"/>
      <c r="CJ232" s="18"/>
      <c r="CK232" s="18"/>
      <c r="CL232" s="18"/>
      <c r="CM232" s="18"/>
      <c r="CN232" s="18"/>
      <c r="CO232" s="18"/>
      <c r="CP232" s="18"/>
      <c r="CQ232" s="18"/>
      <c r="CR232" s="18"/>
      <c r="CS232" s="18"/>
      <c r="CT232" s="18"/>
      <c r="CU232" s="18"/>
      <c r="CV232" s="18"/>
      <c r="CW232" s="18"/>
      <c r="CX232" s="18"/>
      <c r="CY232" s="37"/>
      <c r="CZ232" s="38"/>
      <c r="DA232" s="18"/>
      <c r="DB232" s="37">
        <v>44182</v>
      </c>
      <c r="DC232" s="38">
        <v>16.555099999999999</v>
      </c>
      <c r="DD232" s="18"/>
      <c r="DE232" s="37">
        <v>44182</v>
      </c>
      <c r="DF232" s="38">
        <v>14.641299999999999</v>
      </c>
      <c r="DG232" s="18"/>
      <c r="DH232" s="37">
        <v>44182</v>
      </c>
      <c r="DI232" s="38">
        <v>19.892499999999998</v>
      </c>
      <c r="DJ232" s="18"/>
      <c r="DK232" s="37">
        <v>44182</v>
      </c>
      <c r="DL232" s="38">
        <v>0.14199999999999999</v>
      </c>
      <c r="DM232" s="18"/>
      <c r="DN232" s="18"/>
      <c r="DO232" s="18"/>
      <c r="DP232" s="18"/>
      <c r="DQ232" s="18"/>
      <c r="DR232" s="18"/>
      <c r="DS232" s="18"/>
      <c r="DT232" s="18"/>
      <c r="DU232" s="18"/>
      <c r="DV232" s="18"/>
      <c r="DW232" s="18"/>
      <c r="DX232" s="18"/>
      <c r="DY232" s="18"/>
      <c r="DZ232" s="18"/>
    </row>
    <row r="233" spans="1:130" x14ac:dyDescent="0.3">
      <c r="A233" s="18"/>
      <c r="B233" s="18"/>
      <c r="C233" s="18"/>
      <c r="D233" s="18"/>
      <c r="E233" s="18"/>
      <c r="F233" s="18"/>
      <c r="G233" s="18"/>
      <c r="H233" s="18"/>
      <c r="I233" s="18"/>
      <c r="J233" s="18"/>
      <c r="K233" s="18"/>
      <c r="L233" s="18"/>
      <c r="M233" s="18"/>
      <c r="N233" s="17"/>
      <c r="O233" s="17"/>
      <c r="P233" s="17"/>
      <c r="Q233" s="17"/>
      <c r="R233" s="17"/>
      <c r="S233" s="17"/>
      <c r="T233" s="17"/>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7"/>
      <c r="BT233" s="17"/>
      <c r="BU233" s="17"/>
      <c r="BV233" s="17"/>
      <c r="BW233" s="17"/>
      <c r="BX233" s="18"/>
      <c r="BY233" s="18"/>
      <c r="BZ233" s="18"/>
      <c r="CA233" s="18"/>
      <c r="CB233" s="17"/>
      <c r="CC233" s="17"/>
      <c r="CD233" s="17"/>
      <c r="CE233" s="18"/>
      <c r="CF233" s="18"/>
      <c r="CG233" s="18"/>
      <c r="CH233" s="18"/>
      <c r="CI233" s="18"/>
      <c r="CJ233" s="18"/>
      <c r="CK233" s="18"/>
      <c r="CL233" s="18"/>
      <c r="CM233" s="18"/>
      <c r="CN233" s="18"/>
      <c r="CO233" s="18"/>
      <c r="CP233" s="18"/>
      <c r="CQ233" s="18"/>
      <c r="CR233" s="18"/>
      <c r="CS233" s="18"/>
      <c r="CT233" s="18"/>
      <c r="CU233" s="18"/>
      <c r="CV233" s="18"/>
      <c r="CW233" s="18"/>
      <c r="CX233" s="18"/>
      <c r="CY233" s="37"/>
      <c r="CZ233" s="38"/>
      <c r="DA233" s="18"/>
      <c r="DB233" s="37">
        <v>44183</v>
      </c>
      <c r="DC233" s="38">
        <v>16.472899999999999</v>
      </c>
      <c r="DD233" s="18"/>
      <c r="DE233" s="37">
        <v>44183</v>
      </c>
      <c r="DF233" s="38">
        <v>14.54</v>
      </c>
      <c r="DG233" s="18"/>
      <c r="DH233" s="37">
        <v>44183</v>
      </c>
      <c r="DI233" s="38">
        <v>19.6707</v>
      </c>
      <c r="DJ233" s="18"/>
      <c r="DK233" s="37">
        <v>44183</v>
      </c>
      <c r="DL233" s="38">
        <v>0.14069999999999999</v>
      </c>
      <c r="DM233" s="18"/>
      <c r="DN233" s="18"/>
      <c r="DO233" s="18"/>
      <c r="DP233" s="18"/>
      <c r="DQ233" s="18"/>
      <c r="DR233" s="18"/>
      <c r="DS233" s="18"/>
      <c r="DT233" s="18"/>
      <c r="DU233" s="18"/>
      <c r="DV233" s="18"/>
      <c r="DW233" s="18"/>
      <c r="DX233" s="18"/>
      <c r="DY233" s="18"/>
      <c r="DZ233" s="18"/>
    </row>
    <row r="234" spans="1:130" x14ac:dyDescent="0.3">
      <c r="A234" s="18"/>
      <c r="B234" s="18"/>
      <c r="C234" s="18"/>
      <c r="D234" s="18"/>
      <c r="E234" s="18"/>
      <c r="F234" s="18"/>
      <c r="G234" s="18"/>
      <c r="H234" s="18"/>
      <c r="I234" s="18"/>
      <c r="J234" s="18"/>
      <c r="K234" s="18"/>
      <c r="L234" s="18"/>
      <c r="M234" s="18"/>
      <c r="N234" s="17"/>
      <c r="O234" s="17"/>
      <c r="P234" s="17"/>
      <c r="Q234" s="17"/>
      <c r="R234" s="17"/>
      <c r="S234" s="17"/>
      <c r="T234" s="17"/>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7"/>
      <c r="BT234" s="17"/>
      <c r="BU234" s="17"/>
      <c r="BV234" s="17"/>
      <c r="BW234" s="17"/>
      <c r="BX234" s="18"/>
      <c r="BY234" s="18"/>
      <c r="BZ234" s="18"/>
      <c r="CA234" s="18"/>
      <c r="CB234" s="17"/>
      <c r="CC234" s="17"/>
      <c r="CD234" s="17"/>
      <c r="CE234" s="18"/>
      <c r="CF234" s="18"/>
      <c r="CG234" s="18"/>
      <c r="CH234" s="18"/>
      <c r="CI234" s="18"/>
      <c r="CJ234" s="18"/>
      <c r="CK234" s="18"/>
      <c r="CL234" s="18"/>
      <c r="CM234" s="18"/>
      <c r="CN234" s="18"/>
      <c r="CO234" s="18"/>
      <c r="CP234" s="18"/>
      <c r="CQ234" s="18"/>
      <c r="CR234" s="18"/>
      <c r="CS234" s="18"/>
      <c r="CT234" s="18"/>
      <c r="CU234" s="18"/>
      <c r="CV234" s="18"/>
      <c r="CW234" s="18"/>
      <c r="CX234" s="18"/>
      <c r="CY234" s="37"/>
      <c r="CZ234" s="38"/>
      <c r="DA234" s="18"/>
      <c r="DB234" s="37">
        <v>44186</v>
      </c>
      <c r="DC234" s="38">
        <v>16.4681</v>
      </c>
      <c r="DD234" s="18"/>
      <c r="DE234" s="37">
        <v>44186</v>
      </c>
      <c r="DF234" s="38">
        <v>14.5928</v>
      </c>
      <c r="DG234" s="18"/>
      <c r="DH234" s="37">
        <v>44186</v>
      </c>
      <c r="DI234" s="38">
        <v>19.652899999999999</v>
      </c>
      <c r="DJ234" s="18"/>
      <c r="DK234" s="37">
        <v>44186</v>
      </c>
      <c r="DL234" s="38">
        <v>0.14119999999999999</v>
      </c>
      <c r="DM234" s="18"/>
      <c r="DN234" s="18"/>
      <c r="DO234" s="18"/>
      <c r="DP234" s="18"/>
      <c r="DQ234" s="18"/>
      <c r="DR234" s="18"/>
      <c r="DS234" s="18"/>
      <c r="DT234" s="18"/>
      <c r="DU234" s="18"/>
      <c r="DV234" s="18"/>
      <c r="DW234" s="18"/>
      <c r="DX234" s="18"/>
      <c r="DY234" s="18"/>
      <c r="DZ234" s="18"/>
    </row>
    <row r="235" spans="1:130" x14ac:dyDescent="0.3">
      <c r="A235" s="18"/>
      <c r="B235" s="18"/>
      <c r="C235" s="18"/>
      <c r="D235" s="18"/>
      <c r="E235" s="18"/>
      <c r="F235" s="18"/>
      <c r="G235" s="18"/>
      <c r="H235" s="18"/>
      <c r="I235" s="18"/>
      <c r="J235" s="18"/>
      <c r="K235" s="18"/>
      <c r="L235" s="18"/>
      <c r="M235" s="18"/>
      <c r="N235" s="17"/>
      <c r="O235" s="17"/>
      <c r="P235" s="17"/>
      <c r="Q235" s="17"/>
      <c r="R235" s="17"/>
      <c r="S235" s="17"/>
      <c r="T235" s="17"/>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7"/>
      <c r="BT235" s="17"/>
      <c r="BU235" s="17"/>
      <c r="BV235" s="17"/>
      <c r="BW235" s="17"/>
      <c r="BX235" s="18"/>
      <c r="BY235" s="18"/>
      <c r="BZ235" s="18"/>
      <c r="CA235" s="18"/>
      <c r="CB235" s="17"/>
      <c r="CC235" s="17"/>
      <c r="CD235" s="17"/>
      <c r="CE235" s="18"/>
      <c r="CF235" s="18"/>
      <c r="CG235" s="18"/>
      <c r="CH235" s="18"/>
      <c r="CI235" s="18"/>
      <c r="CJ235" s="18"/>
      <c r="CK235" s="18"/>
      <c r="CL235" s="18"/>
      <c r="CM235" s="18"/>
      <c r="CN235" s="18"/>
      <c r="CO235" s="18"/>
      <c r="CP235" s="18"/>
      <c r="CQ235" s="18"/>
      <c r="CR235" s="18"/>
      <c r="CS235" s="18"/>
      <c r="CT235" s="18"/>
      <c r="CU235" s="18"/>
      <c r="CV235" s="18"/>
      <c r="CW235" s="18"/>
      <c r="CX235" s="18"/>
      <c r="CY235" s="37"/>
      <c r="CZ235" s="38"/>
      <c r="DA235" s="18"/>
      <c r="DB235" s="37">
        <v>44187</v>
      </c>
      <c r="DC235" s="38">
        <v>16.5015</v>
      </c>
      <c r="DD235" s="18"/>
      <c r="DE235" s="37">
        <v>44187</v>
      </c>
      <c r="DF235" s="38">
        <v>14.673999999999999</v>
      </c>
      <c r="DG235" s="18"/>
      <c r="DH235" s="37">
        <v>44187</v>
      </c>
      <c r="DI235" s="38">
        <v>19.626799999999999</v>
      </c>
      <c r="DJ235" s="18"/>
      <c r="DK235" s="37">
        <v>44187</v>
      </c>
      <c r="DL235" s="38">
        <v>0.14169999999999999</v>
      </c>
      <c r="DM235" s="18"/>
      <c r="DN235" s="18"/>
      <c r="DO235" s="18"/>
      <c r="DP235" s="18"/>
      <c r="DQ235" s="18"/>
      <c r="DR235" s="18"/>
      <c r="DS235" s="18"/>
      <c r="DT235" s="18"/>
      <c r="DU235" s="18"/>
      <c r="DV235" s="18"/>
      <c r="DW235" s="18"/>
      <c r="DX235" s="18"/>
      <c r="DY235" s="18"/>
      <c r="DZ235" s="18"/>
    </row>
    <row r="236" spans="1:130" x14ac:dyDescent="0.3">
      <c r="A236" s="18"/>
      <c r="B236" s="18"/>
      <c r="C236" s="18"/>
      <c r="D236" s="18"/>
      <c r="E236" s="18"/>
      <c r="F236" s="18"/>
      <c r="G236" s="18"/>
      <c r="H236" s="18"/>
      <c r="I236" s="18"/>
      <c r="J236" s="18"/>
      <c r="K236" s="18"/>
      <c r="L236" s="18"/>
      <c r="M236" s="18"/>
      <c r="N236" s="17"/>
      <c r="O236" s="17"/>
      <c r="P236" s="17"/>
      <c r="Q236" s="17"/>
      <c r="R236" s="17"/>
      <c r="S236" s="17"/>
      <c r="T236" s="17"/>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7"/>
      <c r="BT236" s="17"/>
      <c r="BU236" s="17"/>
      <c r="BV236" s="17"/>
      <c r="BW236" s="17"/>
      <c r="BX236" s="18"/>
      <c r="BY236" s="18"/>
      <c r="BZ236" s="18"/>
      <c r="CA236" s="18"/>
      <c r="CB236" s="17"/>
      <c r="CC236" s="17"/>
      <c r="CD236" s="17"/>
      <c r="CE236" s="18"/>
      <c r="CF236" s="18"/>
      <c r="CG236" s="18"/>
      <c r="CH236" s="18"/>
      <c r="CI236" s="18"/>
      <c r="CJ236" s="18"/>
      <c r="CK236" s="18"/>
      <c r="CL236" s="18"/>
      <c r="CM236" s="18"/>
      <c r="CN236" s="18"/>
      <c r="CO236" s="18"/>
      <c r="CP236" s="18"/>
      <c r="CQ236" s="18"/>
      <c r="CR236" s="18"/>
      <c r="CS236" s="18"/>
      <c r="CT236" s="18"/>
      <c r="CU236" s="18"/>
      <c r="CV236" s="18"/>
      <c r="CW236" s="18"/>
      <c r="CX236" s="18"/>
      <c r="CY236" s="37"/>
      <c r="CZ236" s="38"/>
      <c r="DA236" s="18"/>
      <c r="DB236" s="37">
        <v>44188</v>
      </c>
      <c r="DC236" s="38">
        <v>16.4298</v>
      </c>
      <c r="DD236" s="18"/>
      <c r="DE236" s="37">
        <v>44188</v>
      </c>
      <c r="DF236" s="38">
        <v>14.6008</v>
      </c>
      <c r="DG236" s="18"/>
      <c r="DH236" s="37">
        <v>44188</v>
      </c>
      <c r="DI236" s="38">
        <v>19.702400000000001</v>
      </c>
      <c r="DJ236" s="18"/>
      <c r="DK236" s="37">
        <v>44188</v>
      </c>
      <c r="DL236" s="38">
        <v>0.14099999999999999</v>
      </c>
      <c r="DM236" s="18"/>
      <c r="DN236" s="18"/>
      <c r="DO236" s="18"/>
      <c r="DP236" s="18"/>
      <c r="DQ236" s="18"/>
      <c r="DR236" s="18"/>
      <c r="DS236" s="18"/>
      <c r="DT236" s="18"/>
      <c r="DU236" s="18"/>
      <c r="DV236" s="18"/>
      <c r="DW236" s="18"/>
      <c r="DX236" s="18"/>
      <c r="DY236" s="18"/>
      <c r="DZ236" s="18"/>
    </row>
    <row r="237" spans="1:130" x14ac:dyDescent="0.3">
      <c r="A237" s="18"/>
      <c r="B237" s="18"/>
      <c r="C237" s="18"/>
      <c r="D237" s="18"/>
      <c r="E237" s="18"/>
      <c r="F237" s="18"/>
      <c r="G237" s="18"/>
      <c r="H237" s="18"/>
      <c r="I237" s="18"/>
      <c r="J237" s="18"/>
      <c r="K237" s="18"/>
      <c r="L237" s="18"/>
      <c r="M237" s="18"/>
      <c r="N237" s="17"/>
      <c r="O237" s="17"/>
      <c r="P237" s="17"/>
      <c r="Q237" s="17"/>
      <c r="R237" s="17"/>
      <c r="S237" s="17"/>
      <c r="T237" s="17"/>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7"/>
      <c r="BT237" s="17"/>
      <c r="BU237" s="17"/>
      <c r="BV237" s="17"/>
      <c r="BW237" s="17"/>
      <c r="BX237" s="18"/>
      <c r="BY237" s="18"/>
      <c r="BZ237" s="18"/>
      <c r="CA237" s="18"/>
      <c r="CB237" s="17"/>
      <c r="CC237" s="17"/>
      <c r="CD237" s="17"/>
      <c r="CE237" s="18"/>
      <c r="CF237" s="18"/>
      <c r="CG237" s="18"/>
      <c r="CH237" s="18"/>
      <c r="CI237" s="18"/>
      <c r="CJ237" s="18"/>
      <c r="CK237" s="18"/>
      <c r="CL237" s="18"/>
      <c r="CM237" s="18"/>
      <c r="CN237" s="18"/>
      <c r="CO237" s="18"/>
      <c r="CP237" s="18"/>
      <c r="CQ237" s="18"/>
      <c r="CR237" s="18"/>
      <c r="CS237" s="18"/>
      <c r="CT237" s="18"/>
      <c r="CU237" s="18"/>
      <c r="CV237" s="18"/>
      <c r="CW237" s="18"/>
      <c r="CX237" s="18"/>
      <c r="CY237" s="37"/>
      <c r="CZ237" s="38"/>
      <c r="DA237" s="18"/>
      <c r="DB237" s="37">
        <v>44189</v>
      </c>
      <c r="DC237" s="38">
        <v>16.3978</v>
      </c>
      <c r="DD237" s="18"/>
      <c r="DE237" s="37">
        <v>44189</v>
      </c>
      <c r="DF237" s="38">
        <v>14.6112</v>
      </c>
      <c r="DG237" s="18"/>
      <c r="DH237" s="37">
        <v>44189</v>
      </c>
      <c r="DI237" s="38">
        <v>19.818000000000001</v>
      </c>
      <c r="DJ237" s="18"/>
      <c r="DK237" s="37">
        <v>44189</v>
      </c>
      <c r="DL237" s="38">
        <v>0.1409</v>
      </c>
      <c r="DM237" s="18"/>
      <c r="DN237" s="18"/>
      <c r="DO237" s="18"/>
      <c r="DP237" s="18"/>
      <c r="DQ237" s="18"/>
      <c r="DR237" s="18"/>
      <c r="DS237" s="18"/>
      <c r="DT237" s="18"/>
      <c r="DU237" s="18"/>
      <c r="DV237" s="18"/>
      <c r="DW237" s="18"/>
      <c r="DX237" s="18"/>
      <c r="DY237" s="18"/>
      <c r="DZ237" s="18"/>
    </row>
    <row r="238" spans="1:130" x14ac:dyDescent="0.3">
      <c r="A238" s="18"/>
      <c r="B238" s="18"/>
      <c r="C238" s="18"/>
      <c r="D238" s="18"/>
      <c r="E238" s="18"/>
      <c r="F238" s="18"/>
      <c r="G238" s="18"/>
      <c r="H238" s="18"/>
      <c r="I238" s="18"/>
      <c r="J238" s="18"/>
      <c r="K238" s="18"/>
      <c r="L238" s="18"/>
      <c r="M238" s="18"/>
      <c r="N238" s="17"/>
      <c r="O238" s="17"/>
      <c r="P238" s="17"/>
      <c r="Q238" s="17"/>
      <c r="R238" s="17"/>
      <c r="S238" s="17"/>
      <c r="T238" s="17"/>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7"/>
      <c r="BT238" s="17"/>
      <c r="BU238" s="17"/>
      <c r="BV238" s="17"/>
      <c r="BW238" s="17"/>
      <c r="BX238" s="18"/>
      <c r="BY238" s="18"/>
      <c r="BZ238" s="18"/>
      <c r="CA238" s="18"/>
      <c r="CB238" s="17"/>
      <c r="CC238" s="17"/>
      <c r="CD238" s="17"/>
      <c r="CE238" s="18"/>
      <c r="CF238" s="18"/>
      <c r="CG238" s="18"/>
      <c r="CH238" s="18"/>
      <c r="CI238" s="18"/>
      <c r="CJ238" s="18"/>
      <c r="CK238" s="18"/>
      <c r="CL238" s="18"/>
      <c r="CM238" s="18"/>
      <c r="CN238" s="18"/>
      <c r="CO238" s="18"/>
      <c r="CP238" s="18"/>
      <c r="CQ238" s="18"/>
      <c r="CR238" s="18"/>
      <c r="CS238" s="18"/>
      <c r="CT238" s="18"/>
      <c r="CU238" s="18"/>
      <c r="CV238" s="18"/>
      <c r="CW238" s="18"/>
      <c r="CX238" s="18"/>
      <c r="CY238" s="37"/>
      <c r="CZ238" s="38"/>
      <c r="DA238" s="18"/>
      <c r="DB238" s="37">
        <v>44193</v>
      </c>
      <c r="DC238" s="38">
        <v>16.4678</v>
      </c>
      <c r="DD238" s="18"/>
      <c r="DE238" s="37">
        <v>44193</v>
      </c>
      <c r="DF238" s="38">
        <v>14.6426</v>
      </c>
      <c r="DG238" s="18"/>
      <c r="DH238" s="37">
        <v>44193</v>
      </c>
      <c r="DI238" s="38">
        <v>19.691199999999998</v>
      </c>
      <c r="DJ238" s="18"/>
      <c r="DK238" s="37">
        <v>44193</v>
      </c>
      <c r="DL238" s="38">
        <v>0.14099999999999999</v>
      </c>
      <c r="DM238" s="18"/>
      <c r="DN238" s="18"/>
      <c r="DO238" s="18"/>
      <c r="DP238" s="18"/>
      <c r="DQ238" s="18"/>
      <c r="DR238" s="18"/>
      <c r="DS238" s="18"/>
      <c r="DT238" s="18"/>
      <c r="DU238" s="18"/>
      <c r="DV238" s="18"/>
      <c r="DW238" s="18"/>
      <c r="DX238" s="18"/>
      <c r="DY238" s="18"/>
      <c r="DZ238" s="18"/>
    </row>
    <row r="239" spans="1:130" x14ac:dyDescent="0.3">
      <c r="A239" s="18"/>
      <c r="B239" s="18"/>
      <c r="C239" s="18"/>
      <c r="D239" s="18"/>
      <c r="E239" s="18"/>
      <c r="F239" s="18"/>
      <c r="G239" s="18"/>
      <c r="H239" s="18"/>
      <c r="I239" s="18"/>
      <c r="J239" s="18"/>
      <c r="K239" s="18"/>
      <c r="L239" s="18"/>
      <c r="M239" s="18"/>
      <c r="N239" s="17"/>
      <c r="O239" s="17"/>
      <c r="P239" s="17"/>
      <c r="Q239" s="17"/>
      <c r="R239" s="17"/>
      <c r="S239" s="17"/>
      <c r="T239" s="17"/>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7"/>
      <c r="BT239" s="17"/>
      <c r="BU239" s="17"/>
      <c r="BV239" s="17"/>
      <c r="BW239" s="17"/>
      <c r="BX239" s="18"/>
      <c r="BY239" s="18"/>
      <c r="BZ239" s="18"/>
      <c r="CA239" s="18"/>
      <c r="CB239" s="17"/>
      <c r="CC239" s="17"/>
      <c r="CD239" s="17"/>
      <c r="CE239" s="18"/>
      <c r="CF239" s="18"/>
      <c r="CG239" s="18"/>
      <c r="CH239" s="18"/>
      <c r="CI239" s="18"/>
      <c r="CJ239" s="18"/>
      <c r="CK239" s="18"/>
      <c r="CL239" s="18"/>
      <c r="CM239" s="18"/>
      <c r="CN239" s="18"/>
      <c r="CO239" s="18"/>
      <c r="CP239" s="18"/>
      <c r="CQ239" s="18"/>
      <c r="CR239" s="18"/>
      <c r="CS239" s="18"/>
      <c r="CT239" s="18"/>
      <c r="CU239" s="18"/>
      <c r="CV239" s="18"/>
      <c r="CW239" s="18"/>
      <c r="CX239" s="18"/>
      <c r="CY239" s="37"/>
      <c r="CZ239" s="38"/>
      <c r="DA239" s="18"/>
      <c r="DB239" s="37">
        <v>44194</v>
      </c>
      <c r="DC239" s="38">
        <v>16.644400000000001</v>
      </c>
      <c r="DD239" s="18"/>
      <c r="DE239" s="37">
        <v>44194</v>
      </c>
      <c r="DF239" s="38">
        <v>14.7181</v>
      </c>
      <c r="DG239" s="18"/>
      <c r="DH239" s="37">
        <v>44194</v>
      </c>
      <c r="DI239" s="38">
        <v>19.872599999999998</v>
      </c>
      <c r="DJ239" s="18"/>
      <c r="DK239" s="37">
        <v>44194</v>
      </c>
      <c r="DL239" s="38">
        <v>0.14230000000000001</v>
      </c>
      <c r="DM239" s="18"/>
      <c r="DN239" s="18"/>
      <c r="DO239" s="18"/>
      <c r="DP239" s="18"/>
      <c r="DQ239" s="18"/>
      <c r="DR239" s="18"/>
      <c r="DS239" s="18"/>
      <c r="DT239" s="18"/>
      <c r="DU239" s="18"/>
      <c r="DV239" s="18"/>
      <c r="DW239" s="18"/>
      <c r="DX239" s="18"/>
      <c r="DY239" s="18"/>
      <c r="DZ239" s="18"/>
    </row>
    <row r="240" spans="1:130" x14ac:dyDescent="0.3">
      <c r="A240" s="18"/>
      <c r="B240" s="18"/>
      <c r="C240" s="18"/>
      <c r="D240" s="18"/>
      <c r="E240" s="18"/>
      <c r="F240" s="18"/>
      <c r="G240" s="18"/>
      <c r="H240" s="18"/>
      <c r="I240" s="18"/>
      <c r="J240" s="18"/>
      <c r="K240" s="18"/>
      <c r="L240" s="18"/>
      <c r="M240" s="18"/>
      <c r="N240" s="17"/>
      <c r="O240" s="17"/>
      <c r="P240" s="17"/>
      <c r="Q240" s="17"/>
      <c r="R240" s="17"/>
      <c r="S240" s="17"/>
      <c r="T240" s="17"/>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7"/>
      <c r="BT240" s="17"/>
      <c r="BU240" s="17"/>
      <c r="BV240" s="17"/>
      <c r="BW240" s="17"/>
      <c r="BX240" s="18"/>
      <c r="BY240" s="18"/>
      <c r="BZ240" s="18"/>
      <c r="CA240" s="18"/>
      <c r="CB240" s="17"/>
      <c r="CC240" s="17"/>
      <c r="CD240" s="17"/>
      <c r="CE240" s="18"/>
      <c r="CF240" s="18"/>
      <c r="CG240" s="18"/>
      <c r="CH240" s="18"/>
      <c r="CI240" s="18"/>
      <c r="CJ240" s="18"/>
      <c r="CK240" s="18"/>
      <c r="CL240" s="18"/>
      <c r="CM240" s="18"/>
      <c r="CN240" s="18"/>
      <c r="CO240" s="18"/>
      <c r="CP240" s="18"/>
      <c r="CQ240" s="18"/>
      <c r="CR240" s="18"/>
      <c r="CS240" s="18"/>
      <c r="CT240" s="18"/>
      <c r="CU240" s="18"/>
      <c r="CV240" s="18"/>
      <c r="CW240" s="18"/>
      <c r="CX240" s="18"/>
      <c r="CY240" s="37"/>
      <c r="CZ240" s="38"/>
      <c r="DA240" s="18"/>
      <c r="DB240" s="37">
        <v>44195</v>
      </c>
      <c r="DC240" s="38">
        <v>16.589200000000002</v>
      </c>
      <c r="DD240" s="18"/>
      <c r="DE240" s="37">
        <v>44195</v>
      </c>
      <c r="DF240" s="38">
        <v>14.609299999999999</v>
      </c>
      <c r="DG240" s="18"/>
      <c r="DH240" s="37">
        <v>44195</v>
      </c>
      <c r="DI240" s="38">
        <v>19.925799999999999</v>
      </c>
      <c r="DJ240" s="18"/>
      <c r="DK240" s="37">
        <v>44195</v>
      </c>
      <c r="DL240" s="38">
        <v>0.14169999999999999</v>
      </c>
      <c r="DM240" s="18"/>
      <c r="DN240" s="18"/>
      <c r="DO240" s="18"/>
      <c r="DP240" s="18"/>
      <c r="DQ240" s="18"/>
      <c r="DR240" s="18"/>
      <c r="DS240" s="18"/>
      <c r="DT240" s="18"/>
      <c r="DU240" s="18"/>
      <c r="DV240" s="18"/>
      <c r="DW240" s="18"/>
      <c r="DX240" s="18"/>
      <c r="DY240" s="18"/>
      <c r="DZ240" s="18"/>
    </row>
    <row r="241" spans="1:130" x14ac:dyDescent="0.3">
      <c r="A241" s="18"/>
      <c r="B241" s="18"/>
      <c r="C241" s="18"/>
      <c r="D241" s="18"/>
      <c r="E241" s="18"/>
      <c r="F241" s="18"/>
      <c r="G241" s="18"/>
      <c r="H241" s="18"/>
      <c r="I241" s="18"/>
      <c r="J241" s="18"/>
      <c r="K241" s="18"/>
      <c r="L241" s="18"/>
      <c r="M241" s="18"/>
      <c r="N241" s="17"/>
      <c r="O241" s="17"/>
      <c r="P241" s="17"/>
      <c r="Q241" s="17"/>
      <c r="R241" s="17"/>
      <c r="S241" s="17"/>
      <c r="T241" s="17"/>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7"/>
      <c r="BT241" s="17"/>
      <c r="BU241" s="17"/>
      <c r="BV241" s="17"/>
      <c r="BW241" s="17"/>
      <c r="BX241" s="18"/>
      <c r="BY241" s="18"/>
      <c r="BZ241" s="18"/>
      <c r="CA241" s="18"/>
      <c r="CB241" s="17"/>
      <c r="CC241" s="17"/>
      <c r="CD241" s="17"/>
      <c r="CE241" s="18"/>
      <c r="CF241" s="18"/>
      <c r="CG241" s="18"/>
      <c r="CH241" s="18"/>
      <c r="CI241" s="18"/>
      <c r="CJ241" s="18"/>
      <c r="CK241" s="18"/>
      <c r="CL241" s="18"/>
      <c r="CM241" s="18"/>
      <c r="CN241" s="18"/>
      <c r="CO241" s="18"/>
      <c r="CP241" s="18"/>
      <c r="CQ241" s="18"/>
      <c r="CR241" s="18"/>
      <c r="CS241" s="18"/>
      <c r="CT241" s="18"/>
      <c r="CU241" s="18"/>
      <c r="CV241" s="18"/>
      <c r="CW241" s="18"/>
      <c r="CX241" s="18"/>
      <c r="CY241" s="37"/>
      <c r="CZ241" s="38"/>
      <c r="DA241" s="18"/>
      <c r="DB241" s="37">
        <v>44196</v>
      </c>
      <c r="DC241" s="38">
        <v>16.607099999999999</v>
      </c>
      <c r="DD241" s="18"/>
      <c r="DE241" s="37">
        <v>44196</v>
      </c>
      <c r="DF241" s="38">
        <v>14.694699999999999</v>
      </c>
      <c r="DG241" s="18"/>
      <c r="DH241" s="37">
        <v>44196</v>
      </c>
      <c r="DI241" s="38">
        <v>20.088899999999999</v>
      </c>
      <c r="DJ241" s="18"/>
      <c r="DK241" s="37">
        <v>44196</v>
      </c>
      <c r="DL241" s="38">
        <v>0.14219999999999999</v>
      </c>
      <c r="DM241" s="18"/>
      <c r="DN241" s="18"/>
      <c r="DO241" s="18"/>
      <c r="DP241" s="18"/>
      <c r="DQ241" s="18"/>
      <c r="DR241" s="18"/>
      <c r="DS241" s="18"/>
      <c r="DT241" s="18"/>
      <c r="DU241" s="18"/>
      <c r="DV241" s="18"/>
      <c r="DW241" s="18"/>
      <c r="DX241" s="18"/>
      <c r="DY241" s="18"/>
      <c r="DZ241" s="18"/>
    </row>
    <row r="242" spans="1:130" x14ac:dyDescent="0.3">
      <c r="A242" s="18"/>
      <c r="B242" s="18"/>
      <c r="C242" s="18"/>
      <c r="D242" s="18"/>
      <c r="E242" s="18"/>
      <c r="F242" s="18"/>
      <c r="G242" s="18"/>
      <c r="H242" s="18"/>
      <c r="I242" s="18"/>
      <c r="J242" s="18"/>
      <c r="K242" s="18"/>
      <c r="L242" s="18"/>
      <c r="M242" s="18"/>
      <c r="N242" s="17"/>
      <c r="O242" s="17"/>
      <c r="P242" s="17"/>
      <c r="Q242" s="17"/>
      <c r="R242" s="17"/>
      <c r="S242" s="17"/>
      <c r="T242" s="17"/>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7"/>
      <c r="BT242" s="17"/>
      <c r="BU242" s="17"/>
      <c r="BV242" s="17"/>
      <c r="BW242" s="17"/>
      <c r="BX242" s="18"/>
      <c r="BY242" s="18"/>
      <c r="BZ242" s="18"/>
      <c r="CA242" s="18"/>
      <c r="CB242" s="17"/>
      <c r="CC242" s="17"/>
      <c r="CD242" s="17"/>
      <c r="CE242" s="18"/>
      <c r="CF242" s="18"/>
      <c r="CG242" s="18"/>
      <c r="CH242" s="18"/>
      <c r="CI242" s="18"/>
      <c r="CJ242" s="18"/>
      <c r="CK242" s="18"/>
      <c r="CL242" s="18"/>
      <c r="CM242" s="18"/>
      <c r="CN242" s="18"/>
      <c r="CO242" s="18"/>
      <c r="CP242" s="18"/>
      <c r="CQ242" s="18"/>
      <c r="CR242" s="18"/>
      <c r="CS242" s="18"/>
      <c r="CT242" s="18"/>
      <c r="CU242" s="18"/>
      <c r="CV242" s="18"/>
      <c r="CW242" s="18"/>
      <c r="CX242" s="18"/>
      <c r="CY242" s="37"/>
      <c r="CZ242" s="38"/>
      <c r="DA242" s="18"/>
      <c r="DB242" s="37">
        <v>44200</v>
      </c>
      <c r="DC242" s="38">
        <v>16.708200000000001</v>
      </c>
      <c r="DD242" s="18"/>
      <c r="DE242" s="37">
        <v>44200</v>
      </c>
      <c r="DF242" s="38">
        <v>14.7258</v>
      </c>
      <c r="DG242" s="18"/>
      <c r="DH242" s="37">
        <v>44200</v>
      </c>
      <c r="DI242" s="38">
        <v>19.984100000000002</v>
      </c>
      <c r="DJ242" s="18"/>
      <c r="DK242" s="37">
        <v>44200</v>
      </c>
      <c r="DL242" s="38">
        <v>0.14280000000000001</v>
      </c>
      <c r="DM242" s="18"/>
      <c r="DN242" s="18"/>
      <c r="DO242" s="18"/>
      <c r="DP242" s="18"/>
      <c r="DQ242" s="18"/>
      <c r="DR242" s="18"/>
      <c r="DS242" s="18"/>
      <c r="DT242" s="18"/>
      <c r="DU242" s="18"/>
      <c r="DV242" s="18"/>
      <c r="DW242" s="18"/>
      <c r="DX242" s="18"/>
      <c r="DY242" s="18"/>
      <c r="DZ242" s="18"/>
    </row>
    <row r="243" spans="1:130" x14ac:dyDescent="0.3">
      <c r="A243" s="18"/>
      <c r="B243" s="18"/>
      <c r="C243" s="18"/>
      <c r="D243" s="18"/>
      <c r="E243" s="18"/>
      <c r="F243" s="18"/>
      <c r="G243" s="18"/>
      <c r="H243" s="18"/>
      <c r="I243" s="18"/>
      <c r="J243" s="18"/>
      <c r="K243" s="18"/>
      <c r="L243" s="18"/>
      <c r="M243" s="18"/>
      <c r="N243" s="17"/>
      <c r="O243" s="17"/>
      <c r="P243" s="17"/>
      <c r="Q243" s="17"/>
      <c r="R243" s="17"/>
      <c r="S243" s="17"/>
      <c r="T243" s="17"/>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7"/>
      <c r="BT243" s="17"/>
      <c r="BU243" s="17"/>
      <c r="BV243" s="17"/>
      <c r="BW243" s="17"/>
      <c r="BX243" s="18"/>
      <c r="BY243" s="18"/>
      <c r="BZ243" s="18"/>
      <c r="CA243" s="18"/>
      <c r="CB243" s="17"/>
      <c r="CC243" s="17"/>
      <c r="CD243" s="17"/>
      <c r="CE243" s="18"/>
      <c r="CF243" s="18"/>
      <c r="CG243" s="18"/>
      <c r="CH243" s="18"/>
      <c r="CI243" s="18"/>
      <c r="CJ243" s="18"/>
      <c r="CK243" s="18"/>
      <c r="CL243" s="18"/>
      <c r="CM243" s="18"/>
      <c r="CN243" s="18"/>
      <c r="CO243" s="18"/>
      <c r="CP243" s="18"/>
      <c r="CQ243" s="18"/>
      <c r="CR243" s="18"/>
      <c r="CS243" s="18"/>
      <c r="CT243" s="18"/>
      <c r="CU243" s="18"/>
      <c r="CV243" s="18"/>
      <c r="CW243" s="18"/>
      <c r="CX243" s="18"/>
      <c r="CY243" s="37"/>
      <c r="CZ243" s="38"/>
      <c r="DA243" s="18"/>
      <c r="DB243" s="37">
        <v>44201</v>
      </c>
      <c r="DC243" s="38">
        <v>17.073499999999999</v>
      </c>
      <c r="DD243" s="18"/>
      <c r="DE243" s="37">
        <v>44201</v>
      </c>
      <c r="DF243" s="38">
        <v>14.9963</v>
      </c>
      <c r="DG243" s="18"/>
      <c r="DH243" s="37">
        <v>44201</v>
      </c>
      <c r="DI243" s="38">
        <v>20.426300000000001</v>
      </c>
      <c r="DJ243" s="18"/>
      <c r="DK243" s="37">
        <v>44201</v>
      </c>
      <c r="DL243" s="38">
        <v>0.14599999999999999</v>
      </c>
      <c r="DM243" s="18"/>
      <c r="DN243" s="18"/>
      <c r="DO243" s="18"/>
      <c r="DP243" s="18"/>
      <c r="DQ243" s="18"/>
      <c r="DR243" s="18"/>
      <c r="DS243" s="18"/>
      <c r="DT243" s="18"/>
      <c r="DU243" s="18"/>
      <c r="DV243" s="18"/>
      <c r="DW243" s="18"/>
      <c r="DX243" s="18"/>
      <c r="DY243" s="18"/>
      <c r="DZ243" s="18"/>
    </row>
    <row r="244" spans="1:130" x14ac:dyDescent="0.3">
      <c r="A244" s="18"/>
      <c r="B244" s="18"/>
      <c r="C244" s="18"/>
      <c r="D244" s="18"/>
      <c r="E244" s="18"/>
      <c r="F244" s="18"/>
      <c r="G244" s="18"/>
      <c r="H244" s="18"/>
      <c r="I244" s="18"/>
      <c r="J244" s="18"/>
      <c r="K244" s="18"/>
      <c r="L244" s="18"/>
      <c r="M244" s="18"/>
      <c r="N244" s="17"/>
      <c r="O244" s="17"/>
      <c r="P244" s="17"/>
      <c r="Q244" s="17"/>
      <c r="R244" s="17"/>
      <c r="S244" s="17"/>
      <c r="T244" s="17"/>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7"/>
      <c r="BT244" s="17"/>
      <c r="BU244" s="17"/>
      <c r="BV244" s="17"/>
      <c r="BW244" s="17"/>
      <c r="BX244" s="18"/>
      <c r="BY244" s="18"/>
      <c r="BZ244" s="18"/>
      <c r="CA244" s="18"/>
      <c r="CB244" s="17"/>
      <c r="CC244" s="17"/>
      <c r="CD244" s="17"/>
      <c r="CE244" s="18"/>
      <c r="CF244" s="18"/>
      <c r="CG244" s="18"/>
      <c r="CH244" s="18"/>
      <c r="CI244" s="18"/>
      <c r="CJ244" s="18"/>
      <c r="CK244" s="18"/>
      <c r="CL244" s="18"/>
      <c r="CM244" s="18"/>
      <c r="CN244" s="18"/>
      <c r="CO244" s="18"/>
      <c r="CP244" s="18"/>
      <c r="CQ244" s="18"/>
      <c r="CR244" s="18"/>
      <c r="CS244" s="18"/>
      <c r="CT244" s="18"/>
      <c r="CU244" s="18"/>
      <c r="CV244" s="18"/>
      <c r="CW244" s="18"/>
      <c r="CX244" s="18"/>
      <c r="CY244" s="37"/>
      <c r="CZ244" s="38"/>
      <c r="DA244" s="18"/>
      <c r="DB244" s="37">
        <v>44202</v>
      </c>
      <c r="DC244" s="38">
        <v>17.152000000000001</v>
      </c>
      <c r="DD244" s="18"/>
      <c r="DE244" s="37">
        <v>44202</v>
      </c>
      <c r="DF244" s="38">
        <v>15.0692</v>
      </c>
      <c r="DG244" s="18"/>
      <c r="DH244" s="37">
        <v>44202</v>
      </c>
      <c r="DI244" s="38">
        <v>20.507200000000001</v>
      </c>
      <c r="DJ244" s="18"/>
      <c r="DK244" s="37">
        <v>44202</v>
      </c>
      <c r="DL244" s="38">
        <v>0.1462</v>
      </c>
      <c r="DM244" s="18"/>
      <c r="DN244" s="18"/>
      <c r="DO244" s="18"/>
      <c r="DP244" s="18"/>
      <c r="DQ244" s="18"/>
      <c r="DR244" s="18"/>
      <c r="DS244" s="18"/>
      <c r="DT244" s="18"/>
      <c r="DU244" s="18"/>
      <c r="DV244" s="18"/>
      <c r="DW244" s="18"/>
      <c r="DX244" s="18"/>
      <c r="DY244" s="18"/>
      <c r="DZ244" s="18"/>
    </row>
    <row r="245" spans="1:130" x14ac:dyDescent="0.3">
      <c r="A245" s="18"/>
      <c r="B245" s="18"/>
      <c r="C245" s="18"/>
      <c r="D245" s="18"/>
      <c r="E245" s="18"/>
      <c r="F245" s="18"/>
      <c r="G245" s="18"/>
      <c r="H245" s="18"/>
      <c r="I245" s="18"/>
      <c r="J245" s="18"/>
      <c r="K245" s="18"/>
      <c r="L245" s="18"/>
      <c r="M245" s="18"/>
      <c r="N245" s="17"/>
      <c r="O245" s="17"/>
      <c r="P245" s="17"/>
      <c r="Q245" s="17"/>
      <c r="R245" s="17"/>
      <c r="S245" s="17"/>
      <c r="T245" s="17"/>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7"/>
      <c r="BT245" s="17"/>
      <c r="BU245" s="17"/>
      <c r="BV245" s="17"/>
      <c r="BW245" s="17"/>
      <c r="BX245" s="18"/>
      <c r="BY245" s="18"/>
      <c r="BZ245" s="18"/>
      <c r="CA245" s="18"/>
      <c r="CB245" s="17"/>
      <c r="CC245" s="17"/>
      <c r="CD245" s="17"/>
      <c r="CE245" s="18"/>
      <c r="CF245" s="18"/>
      <c r="CG245" s="18"/>
      <c r="CH245" s="18"/>
      <c r="CI245" s="18"/>
      <c r="CJ245" s="18"/>
      <c r="CK245" s="18"/>
      <c r="CL245" s="18"/>
      <c r="CM245" s="18"/>
      <c r="CN245" s="18"/>
      <c r="CO245" s="18"/>
      <c r="CP245" s="18"/>
      <c r="CQ245" s="18"/>
      <c r="CR245" s="18"/>
      <c r="CS245" s="18"/>
      <c r="CT245" s="18"/>
      <c r="CU245" s="18"/>
      <c r="CV245" s="18"/>
      <c r="CW245" s="18"/>
      <c r="CX245" s="18"/>
      <c r="CY245" s="37"/>
      <c r="CZ245" s="38"/>
      <c r="DA245" s="18"/>
      <c r="DB245" s="37">
        <v>44203</v>
      </c>
      <c r="DC245" s="38">
        <v>17.435500000000001</v>
      </c>
      <c r="DD245" s="18"/>
      <c r="DE245" s="37">
        <v>44203</v>
      </c>
      <c r="DF245" s="38">
        <v>15.438800000000001</v>
      </c>
      <c r="DG245" s="18"/>
      <c r="DH245" s="37">
        <v>44203</v>
      </c>
      <c r="DI245" s="38">
        <v>20.968800000000002</v>
      </c>
      <c r="DJ245" s="18"/>
      <c r="DK245" s="37">
        <v>44203</v>
      </c>
      <c r="DL245" s="38">
        <v>0.14860000000000001</v>
      </c>
      <c r="DM245" s="18"/>
      <c r="DN245" s="18"/>
      <c r="DO245" s="18"/>
      <c r="DP245" s="18"/>
      <c r="DQ245" s="18"/>
      <c r="DR245" s="18"/>
      <c r="DS245" s="18"/>
      <c r="DT245" s="18"/>
      <c r="DU245" s="18"/>
      <c r="DV245" s="18"/>
      <c r="DW245" s="18"/>
      <c r="DX245" s="18"/>
      <c r="DY245" s="18"/>
      <c r="DZ245" s="18"/>
    </row>
    <row r="246" spans="1:130" x14ac:dyDescent="0.3">
      <c r="A246" s="18"/>
      <c r="B246" s="18"/>
      <c r="C246" s="18"/>
      <c r="D246" s="18"/>
      <c r="E246" s="18"/>
      <c r="F246" s="18"/>
      <c r="G246" s="18"/>
      <c r="H246" s="18"/>
      <c r="I246" s="18"/>
      <c r="J246" s="18"/>
      <c r="K246" s="18"/>
      <c r="L246" s="18"/>
      <c r="M246" s="18"/>
      <c r="N246" s="17"/>
      <c r="O246" s="17"/>
      <c r="P246" s="17"/>
      <c r="Q246" s="17"/>
      <c r="R246" s="17"/>
      <c r="S246" s="17"/>
      <c r="T246" s="17"/>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7"/>
      <c r="BT246" s="17"/>
      <c r="BU246" s="17"/>
      <c r="BV246" s="17"/>
      <c r="BW246" s="17"/>
      <c r="BX246" s="18"/>
      <c r="BY246" s="18"/>
      <c r="BZ246" s="18"/>
      <c r="CA246" s="18"/>
      <c r="CB246" s="17"/>
      <c r="CC246" s="17"/>
      <c r="CD246" s="17"/>
      <c r="CE246" s="18"/>
      <c r="CF246" s="18"/>
      <c r="CG246" s="18"/>
      <c r="CH246" s="18"/>
      <c r="CI246" s="18"/>
      <c r="CJ246" s="18"/>
      <c r="CK246" s="18"/>
      <c r="CL246" s="18"/>
      <c r="CM246" s="18"/>
      <c r="CN246" s="18"/>
      <c r="CO246" s="18"/>
      <c r="CP246" s="18"/>
      <c r="CQ246" s="18"/>
      <c r="CR246" s="18"/>
      <c r="CS246" s="18"/>
      <c r="CT246" s="18"/>
      <c r="CU246" s="18"/>
      <c r="CV246" s="18"/>
      <c r="CW246" s="18"/>
      <c r="CX246" s="18"/>
      <c r="CY246" s="37"/>
      <c r="CZ246" s="38"/>
      <c r="DA246" s="18"/>
      <c r="DB246" s="37">
        <v>44204</v>
      </c>
      <c r="DC246" s="38">
        <v>17.273900000000001</v>
      </c>
      <c r="DD246" s="18"/>
      <c r="DE246" s="37">
        <v>44204</v>
      </c>
      <c r="DF246" s="38">
        <v>15.298</v>
      </c>
      <c r="DG246" s="18"/>
      <c r="DH246" s="37">
        <v>44204</v>
      </c>
      <c r="DI246" s="38">
        <v>20.7545</v>
      </c>
      <c r="DJ246" s="18"/>
      <c r="DK246" s="37">
        <v>44204</v>
      </c>
      <c r="DL246" s="38">
        <v>0.1472</v>
      </c>
      <c r="DM246" s="18"/>
      <c r="DN246" s="18"/>
      <c r="DO246" s="18"/>
      <c r="DP246" s="18"/>
      <c r="DQ246" s="18"/>
      <c r="DR246" s="18"/>
      <c r="DS246" s="18"/>
      <c r="DT246" s="18"/>
      <c r="DU246" s="18"/>
      <c r="DV246" s="18"/>
      <c r="DW246" s="18"/>
      <c r="DX246" s="18"/>
      <c r="DY246" s="18"/>
      <c r="DZ246" s="18"/>
    </row>
    <row r="247" spans="1:130" x14ac:dyDescent="0.3">
      <c r="A247" s="18"/>
      <c r="B247" s="18"/>
      <c r="C247" s="18"/>
      <c r="D247" s="18"/>
      <c r="E247" s="18"/>
      <c r="F247" s="18"/>
      <c r="G247" s="18"/>
      <c r="H247" s="18"/>
      <c r="I247" s="18"/>
      <c r="J247" s="18"/>
      <c r="K247" s="18"/>
      <c r="L247" s="18"/>
      <c r="M247" s="18"/>
      <c r="N247" s="17"/>
      <c r="O247" s="17"/>
      <c r="P247" s="17"/>
      <c r="Q247" s="17"/>
      <c r="R247" s="17"/>
      <c r="S247" s="17"/>
      <c r="T247" s="17"/>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7"/>
      <c r="BT247" s="17"/>
      <c r="BU247" s="17"/>
      <c r="BV247" s="17"/>
      <c r="BW247" s="17"/>
      <c r="BX247" s="18"/>
      <c r="BY247" s="18"/>
      <c r="BZ247" s="18"/>
      <c r="CA247" s="18"/>
      <c r="CB247" s="17"/>
      <c r="CC247" s="17"/>
      <c r="CD247" s="17"/>
      <c r="CE247" s="18"/>
      <c r="CF247" s="18"/>
      <c r="CG247" s="18"/>
      <c r="CH247" s="18"/>
      <c r="CI247" s="18"/>
      <c r="CJ247" s="18"/>
      <c r="CK247" s="18"/>
      <c r="CL247" s="18"/>
      <c r="CM247" s="18"/>
      <c r="CN247" s="18"/>
      <c r="CO247" s="18"/>
      <c r="CP247" s="18"/>
      <c r="CQ247" s="18"/>
      <c r="CR247" s="18"/>
      <c r="CS247" s="18"/>
      <c r="CT247" s="18"/>
      <c r="CU247" s="18"/>
      <c r="CV247" s="18"/>
      <c r="CW247" s="18"/>
      <c r="CX247" s="18"/>
      <c r="CY247" s="37"/>
      <c r="CZ247" s="38"/>
      <c r="DA247" s="18"/>
      <c r="DB247" s="37">
        <v>44207</v>
      </c>
      <c r="DC247" s="38">
        <v>17.445900000000002</v>
      </c>
      <c r="DD247" s="18"/>
      <c r="DE247" s="37">
        <v>44207</v>
      </c>
      <c r="DF247" s="38">
        <v>15.530200000000001</v>
      </c>
      <c r="DG247" s="18"/>
      <c r="DH247" s="37">
        <v>44207</v>
      </c>
      <c r="DI247" s="38">
        <v>21.018699999999999</v>
      </c>
      <c r="DJ247" s="18"/>
      <c r="DK247" s="37">
        <v>44207</v>
      </c>
      <c r="DL247" s="38">
        <v>0.14899999999999999</v>
      </c>
      <c r="DM247" s="18"/>
      <c r="DN247" s="18"/>
      <c r="DO247" s="18"/>
      <c r="DP247" s="18"/>
      <c r="DQ247" s="18"/>
      <c r="DR247" s="18"/>
      <c r="DS247" s="18"/>
      <c r="DT247" s="18"/>
      <c r="DU247" s="18"/>
      <c r="DV247" s="18"/>
      <c r="DW247" s="18"/>
      <c r="DX247" s="18"/>
      <c r="DY247" s="18"/>
      <c r="DZ247" s="18"/>
    </row>
    <row r="248" spans="1:130" x14ac:dyDescent="0.3">
      <c r="A248" s="18"/>
      <c r="B248" s="18"/>
      <c r="C248" s="18"/>
      <c r="D248" s="18"/>
      <c r="E248" s="18"/>
      <c r="F248" s="18"/>
      <c r="G248" s="18"/>
      <c r="H248" s="18"/>
      <c r="I248" s="18"/>
      <c r="J248" s="18"/>
      <c r="K248" s="18"/>
      <c r="L248" s="18"/>
      <c r="M248" s="18"/>
      <c r="N248" s="17"/>
      <c r="O248" s="17"/>
      <c r="P248" s="17"/>
      <c r="Q248" s="17"/>
      <c r="R248" s="17"/>
      <c r="S248" s="17"/>
      <c r="T248" s="17"/>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7"/>
      <c r="BT248" s="17"/>
      <c r="BU248" s="17"/>
      <c r="BV248" s="17"/>
      <c r="BW248" s="17"/>
      <c r="BX248" s="18"/>
      <c r="BY248" s="18"/>
      <c r="BZ248" s="18"/>
      <c r="CA248" s="18"/>
      <c r="CB248" s="17"/>
      <c r="CC248" s="17"/>
      <c r="CD248" s="17"/>
      <c r="CE248" s="18"/>
      <c r="CF248" s="18"/>
      <c r="CG248" s="18"/>
      <c r="CH248" s="18"/>
      <c r="CI248" s="18"/>
      <c r="CJ248" s="18"/>
      <c r="CK248" s="18"/>
      <c r="CL248" s="18"/>
      <c r="CM248" s="18"/>
      <c r="CN248" s="18"/>
      <c r="CO248" s="18"/>
      <c r="CP248" s="18"/>
      <c r="CQ248" s="18"/>
      <c r="CR248" s="18"/>
      <c r="CS248" s="18"/>
      <c r="CT248" s="18"/>
      <c r="CU248" s="18"/>
      <c r="CV248" s="18"/>
      <c r="CW248" s="18"/>
      <c r="CX248" s="18"/>
      <c r="CY248" s="37"/>
      <c r="CZ248" s="38"/>
      <c r="DA248" s="18"/>
      <c r="DB248" s="37">
        <v>44208</v>
      </c>
      <c r="DC248" s="38">
        <v>17.1843</v>
      </c>
      <c r="DD248" s="18"/>
      <c r="DE248" s="37">
        <v>44208</v>
      </c>
      <c r="DF248" s="38">
        <v>15.2349</v>
      </c>
      <c r="DG248" s="18"/>
      <c r="DH248" s="37">
        <v>44208</v>
      </c>
      <c r="DI248" s="38">
        <v>20.811800000000002</v>
      </c>
      <c r="DJ248" s="18"/>
      <c r="DK248" s="37">
        <v>44208</v>
      </c>
      <c r="DL248" s="38">
        <v>0.14680000000000001</v>
      </c>
      <c r="DM248" s="18"/>
      <c r="DN248" s="18"/>
      <c r="DO248" s="18"/>
      <c r="DP248" s="18"/>
      <c r="DQ248" s="18"/>
      <c r="DR248" s="18"/>
      <c r="DS248" s="18"/>
      <c r="DT248" s="18"/>
      <c r="DU248" s="18"/>
      <c r="DV248" s="18"/>
      <c r="DW248" s="18"/>
      <c r="DX248" s="18"/>
      <c r="DY248" s="18"/>
      <c r="DZ248" s="18"/>
    </row>
    <row r="249" spans="1:130" x14ac:dyDescent="0.3">
      <c r="A249" s="18"/>
      <c r="B249" s="18"/>
      <c r="C249" s="18"/>
      <c r="D249" s="18"/>
      <c r="E249" s="18"/>
      <c r="F249" s="18"/>
      <c r="G249" s="18"/>
      <c r="H249" s="18"/>
      <c r="I249" s="18"/>
      <c r="J249" s="18"/>
      <c r="K249" s="18"/>
      <c r="L249" s="18"/>
      <c r="M249" s="18"/>
      <c r="N249" s="17"/>
      <c r="O249" s="17"/>
      <c r="P249" s="17"/>
      <c r="Q249" s="17"/>
      <c r="R249" s="17"/>
      <c r="S249" s="17"/>
      <c r="T249" s="17"/>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7"/>
      <c r="BT249" s="17"/>
      <c r="BU249" s="17"/>
      <c r="BV249" s="17"/>
      <c r="BW249" s="17"/>
      <c r="BX249" s="18"/>
      <c r="BY249" s="18"/>
      <c r="BZ249" s="18"/>
      <c r="CA249" s="18"/>
      <c r="CB249" s="17"/>
      <c r="CC249" s="17"/>
      <c r="CD249" s="17"/>
      <c r="CE249" s="18"/>
      <c r="CF249" s="18"/>
      <c r="CG249" s="18"/>
      <c r="CH249" s="18"/>
      <c r="CI249" s="18"/>
      <c r="CJ249" s="18"/>
      <c r="CK249" s="18"/>
      <c r="CL249" s="18"/>
      <c r="CM249" s="18"/>
      <c r="CN249" s="18"/>
      <c r="CO249" s="18"/>
      <c r="CP249" s="18"/>
      <c r="CQ249" s="18"/>
      <c r="CR249" s="18"/>
      <c r="CS249" s="18"/>
      <c r="CT249" s="18"/>
      <c r="CU249" s="18"/>
      <c r="CV249" s="18"/>
      <c r="CW249" s="18"/>
      <c r="CX249" s="18"/>
      <c r="CY249" s="37"/>
      <c r="CZ249" s="38"/>
      <c r="DA249" s="18"/>
      <c r="DB249" s="37">
        <v>44209</v>
      </c>
      <c r="DC249" s="38">
        <v>17.186599999999999</v>
      </c>
      <c r="DD249" s="18"/>
      <c r="DE249" s="37">
        <v>44209</v>
      </c>
      <c r="DF249" s="38">
        <v>15.257</v>
      </c>
      <c r="DG249" s="18"/>
      <c r="DH249" s="37">
        <v>44209</v>
      </c>
      <c r="DI249" s="38">
        <v>20.8095</v>
      </c>
      <c r="DJ249" s="18"/>
      <c r="DK249" s="37">
        <v>44209</v>
      </c>
      <c r="DL249" s="38">
        <v>0.1469</v>
      </c>
      <c r="DM249" s="18"/>
      <c r="DN249" s="18"/>
      <c r="DO249" s="18"/>
      <c r="DP249" s="18"/>
      <c r="DQ249" s="18"/>
      <c r="DR249" s="18"/>
      <c r="DS249" s="18"/>
      <c r="DT249" s="18"/>
      <c r="DU249" s="18"/>
      <c r="DV249" s="18"/>
      <c r="DW249" s="18"/>
      <c r="DX249" s="18"/>
      <c r="DY249" s="18"/>
      <c r="DZ249" s="18"/>
    </row>
    <row r="250" spans="1:130" x14ac:dyDescent="0.3">
      <c r="A250" s="18"/>
      <c r="B250" s="18"/>
      <c r="C250" s="18"/>
      <c r="D250" s="18"/>
      <c r="E250" s="18"/>
      <c r="F250" s="18"/>
      <c r="G250" s="18"/>
      <c r="H250" s="18"/>
      <c r="I250" s="18"/>
      <c r="J250" s="18"/>
      <c r="K250" s="18"/>
      <c r="L250" s="18"/>
      <c r="M250" s="18"/>
      <c r="N250" s="17"/>
      <c r="O250" s="17"/>
      <c r="P250" s="17"/>
      <c r="Q250" s="17"/>
      <c r="R250" s="17"/>
      <c r="S250" s="17"/>
      <c r="T250" s="17"/>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7"/>
      <c r="BT250" s="17"/>
      <c r="BU250" s="17"/>
      <c r="BV250" s="17"/>
      <c r="BW250" s="17"/>
      <c r="BX250" s="18"/>
      <c r="BY250" s="18"/>
      <c r="BZ250" s="18"/>
      <c r="CA250" s="18"/>
      <c r="CB250" s="17"/>
      <c r="CC250" s="17"/>
      <c r="CD250" s="17"/>
      <c r="CE250" s="18"/>
      <c r="CF250" s="18"/>
      <c r="CG250" s="18"/>
      <c r="CH250" s="18"/>
      <c r="CI250" s="18"/>
      <c r="CJ250" s="18"/>
      <c r="CK250" s="18"/>
      <c r="CL250" s="18"/>
      <c r="CM250" s="18"/>
      <c r="CN250" s="18"/>
      <c r="CO250" s="18"/>
      <c r="CP250" s="18"/>
      <c r="CQ250" s="18"/>
      <c r="CR250" s="18"/>
      <c r="CS250" s="18"/>
      <c r="CT250" s="18"/>
      <c r="CU250" s="18"/>
      <c r="CV250" s="18"/>
      <c r="CW250" s="18"/>
      <c r="CX250" s="18"/>
      <c r="CY250" s="37"/>
      <c r="CZ250" s="38"/>
      <c r="DA250" s="18"/>
      <c r="DB250" s="37">
        <v>44210</v>
      </c>
      <c r="DC250" s="38">
        <v>16.9922</v>
      </c>
      <c r="DD250" s="18"/>
      <c r="DE250" s="37">
        <v>44210</v>
      </c>
      <c r="DF250" s="38">
        <v>15.093</v>
      </c>
      <c r="DG250" s="18"/>
      <c r="DH250" s="37">
        <v>44210</v>
      </c>
      <c r="DI250" s="38">
        <v>20.664200000000001</v>
      </c>
      <c r="DJ250" s="18"/>
      <c r="DK250" s="37">
        <v>44210</v>
      </c>
      <c r="DL250" s="38">
        <v>0.1454</v>
      </c>
      <c r="DM250" s="18"/>
      <c r="DN250" s="18"/>
      <c r="DO250" s="18"/>
      <c r="DP250" s="18"/>
      <c r="DQ250" s="18"/>
      <c r="DR250" s="18"/>
      <c r="DS250" s="18"/>
      <c r="DT250" s="18"/>
      <c r="DU250" s="18"/>
      <c r="DV250" s="18"/>
      <c r="DW250" s="18"/>
      <c r="DX250" s="18"/>
      <c r="DY250" s="18"/>
      <c r="DZ250" s="18"/>
    </row>
    <row r="251" spans="1:130" x14ac:dyDescent="0.3">
      <c r="A251" s="18"/>
      <c r="B251" s="18"/>
      <c r="C251" s="18"/>
      <c r="D251" s="18"/>
      <c r="E251" s="18"/>
      <c r="F251" s="18"/>
      <c r="G251" s="18"/>
      <c r="H251" s="18"/>
      <c r="I251" s="18"/>
      <c r="J251" s="18"/>
      <c r="K251" s="18"/>
      <c r="L251" s="18"/>
      <c r="M251" s="18"/>
      <c r="N251" s="17"/>
      <c r="O251" s="17"/>
      <c r="P251" s="17"/>
      <c r="Q251" s="17"/>
      <c r="R251" s="17"/>
      <c r="S251" s="17"/>
      <c r="T251" s="17"/>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7"/>
      <c r="BT251" s="17"/>
      <c r="BU251" s="17"/>
      <c r="BV251" s="17"/>
      <c r="BW251" s="17"/>
      <c r="BX251" s="18"/>
      <c r="BY251" s="18"/>
      <c r="BZ251" s="18"/>
      <c r="CA251" s="18"/>
      <c r="CB251" s="17"/>
      <c r="CC251" s="17"/>
      <c r="CD251" s="17"/>
      <c r="CE251" s="18"/>
      <c r="CF251" s="18"/>
      <c r="CG251" s="18"/>
      <c r="CH251" s="18"/>
      <c r="CI251" s="18"/>
      <c r="CJ251" s="18"/>
      <c r="CK251" s="18"/>
      <c r="CL251" s="18"/>
      <c r="CM251" s="18"/>
      <c r="CN251" s="18"/>
      <c r="CO251" s="18"/>
      <c r="CP251" s="18"/>
      <c r="CQ251" s="18"/>
      <c r="CR251" s="18"/>
      <c r="CS251" s="18"/>
      <c r="CT251" s="18"/>
      <c r="CU251" s="18"/>
      <c r="CV251" s="18"/>
      <c r="CW251" s="18"/>
      <c r="CX251" s="18"/>
      <c r="CY251" s="37"/>
      <c r="CZ251" s="38"/>
      <c r="DA251" s="18"/>
      <c r="DB251" s="37">
        <v>44211</v>
      </c>
      <c r="DC251" s="38">
        <v>17.096399999999999</v>
      </c>
      <c r="DD251" s="18"/>
      <c r="DE251" s="37">
        <v>44211</v>
      </c>
      <c r="DF251" s="38">
        <v>15.231299999999999</v>
      </c>
      <c r="DG251" s="18"/>
      <c r="DH251" s="37">
        <v>44211</v>
      </c>
      <c r="DI251" s="38">
        <v>20.691199999999998</v>
      </c>
      <c r="DJ251" s="18"/>
      <c r="DK251" s="37">
        <v>44211</v>
      </c>
      <c r="DL251" s="38">
        <v>0.14660000000000001</v>
      </c>
      <c r="DM251" s="18"/>
      <c r="DN251" s="18"/>
      <c r="DO251" s="18"/>
      <c r="DP251" s="18"/>
      <c r="DQ251" s="18"/>
      <c r="DR251" s="18"/>
      <c r="DS251" s="18"/>
      <c r="DT251" s="18"/>
      <c r="DU251" s="18"/>
      <c r="DV251" s="18"/>
      <c r="DW251" s="18"/>
      <c r="DX251" s="18"/>
      <c r="DY251" s="18"/>
      <c r="DZ251" s="18"/>
    </row>
    <row r="252" spans="1:130" x14ac:dyDescent="0.3">
      <c r="A252" s="18"/>
      <c r="B252" s="18"/>
      <c r="C252" s="18"/>
      <c r="D252" s="18"/>
      <c r="E252" s="18"/>
      <c r="F252" s="18"/>
      <c r="G252" s="18"/>
      <c r="H252" s="18"/>
      <c r="I252" s="18"/>
      <c r="J252" s="18"/>
      <c r="K252" s="18"/>
      <c r="L252" s="18"/>
      <c r="M252" s="18"/>
      <c r="N252" s="17"/>
      <c r="O252" s="17"/>
      <c r="P252" s="17"/>
      <c r="Q252" s="17"/>
      <c r="R252" s="17"/>
      <c r="S252" s="17"/>
      <c r="T252" s="17"/>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7"/>
      <c r="BT252" s="17"/>
      <c r="BU252" s="17"/>
      <c r="BV252" s="17"/>
      <c r="BW252" s="17"/>
      <c r="BX252" s="18"/>
      <c r="BY252" s="18"/>
      <c r="BZ252" s="18"/>
      <c r="CA252" s="18"/>
      <c r="CB252" s="17"/>
      <c r="CC252" s="17"/>
      <c r="CD252" s="17"/>
      <c r="CE252" s="18"/>
      <c r="CF252" s="18"/>
      <c r="CG252" s="18"/>
      <c r="CH252" s="18"/>
      <c r="CI252" s="18"/>
      <c r="CJ252" s="18"/>
      <c r="CK252" s="18"/>
      <c r="CL252" s="18"/>
      <c r="CM252" s="18"/>
      <c r="CN252" s="18"/>
      <c r="CO252" s="18"/>
      <c r="CP252" s="18"/>
      <c r="CQ252" s="18"/>
      <c r="CR252" s="18"/>
      <c r="CS252" s="18"/>
      <c r="CT252" s="18"/>
      <c r="CU252" s="18"/>
      <c r="CV252" s="18"/>
      <c r="CW252" s="18"/>
      <c r="CX252" s="18"/>
      <c r="CY252" s="37"/>
      <c r="CZ252" s="38"/>
      <c r="DA252" s="18"/>
      <c r="DB252" s="37">
        <v>44214</v>
      </c>
      <c r="DC252" s="38">
        <v>17.014900000000001</v>
      </c>
      <c r="DD252" s="18"/>
      <c r="DE252" s="37">
        <v>44214</v>
      </c>
      <c r="DF252" s="38">
        <v>15.157</v>
      </c>
      <c r="DG252" s="18"/>
      <c r="DH252" s="37">
        <v>44214</v>
      </c>
      <c r="DI252" s="38">
        <v>20.5916</v>
      </c>
      <c r="DJ252" s="18"/>
      <c r="DK252" s="37">
        <v>44214</v>
      </c>
      <c r="DL252" s="38">
        <v>0.1462</v>
      </c>
      <c r="DM252" s="18"/>
      <c r="DN252" s="18"/>
      <c r="DO252" s="18"/>
      <c r="DP252" s="18"/>
      <c r="DQ252" s="18"/>
      <c r="DR252" s="18"/>
      <c r="DS252" s="18"/>
      <c r="DT252" s="18"/>
      <c r="DU252" s="18"/>
      <c r="DV252" s="18"/>
      <c r="DW252" s="18"/>
      <c r="DX252" s="18"/>
      <c r="DY252" s="18"/>
      <c r="DZ252" s="18"/>
    </row>
    <row r="253" spans="1:130" x14ac:dyDescent="0.3">
      <c r="A253" s="18"/>
      <c r="B253" s="18"/>
      <c r="C253" s="18"/>
      <c r="D253" s="18"/>
      <c r="E253" s="18"/>
      <c r="F253" s="18"/>
      <c r="G253" s="18"/>
      <c r="H253" s="18"/>
      <c r="I253" s="18"/>
      <c r="J253" s="18"/>
      <c r="K253" s="18"/>
      <c r="L253" s="18"/>
      <c r="M253" s="18"/>
      <c r="N253" s="17"/>
      <c r="O253" s="17"/>
      <c r="P253" s="17"/>
      <c r="Q253" s="17"/>
      <c r="R253" s="17"/>
      <c r="S253" s="17"/>
      <c r="T253" s="17"/>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7"/>
      <c r="BT253" s="17"/>
      <c r="BU253" s="17"/>
      <c r="BV253" s="17"/>
      <c r="BW253" s="17"/>
      <c r="BX253" s="18"/>
      <c r="BY253" s="18"/>
      <c r="BZ253" s="18"/>
      <c r="CA253" s="18"/>
      <c r="CB253" s="17"/>
      <c r="CC253" s="17"/>
      <c r="CD253" s="17"/>
      <c r="CE253" s="18"/>
      <c r="CF253" s="18"/>
      <c r="CG253" s="18"/>
      <c r="CH253" s="18"/>
      <c r="CI253" s="18"/>
      <c r="CJ253" s="18"/>
      <c r="CK253" s="18"/>
      <c r="CL253" s="18"/>
      <c r="CM253" s="18"/>
      <c r="CN253" s="18"/>
      <c r="CO253" s="18"/>
      <c r="CP253" s="18"/>
      <c r="CQ253" s="18"/>
      <c r="CR253" s="18"/>
      <c r="CS253" s="18"/>
      <c r="CT253" s="18"/>
      <c r="CU253" s="18"/>
      <c r="CV253" s="18"/>
      <c r="CW253" s="18"/>
      <c r="CX253" s="18"/>
      <c r="CY253" s="37"/>
      <c r="CZ253" s="38"/>
      <c r="DA253" s="18"/>
      <c r="DB253" s="37">
        <v>44215</v>
      </c>
      <c r="DC253" s="38">
        <v>16.867999999999999</v>
      </c>
      <c r="DD253" s="18"/>
      <c r="DE253" s="37">
        <v>44215</v>
      </c>
      <c r="DF253" s="38">
        <v>14.9857</v>
      </c>
      <c r="DG253" s="18"/>
      <c r="DH253" s="37">
        <v>44215</v>
      </c>
      <c r="DI253" s="38">
        <v>20.438099999999999</v>
      </c>
      <c r="DJ253" s="18"/>
      <c r="DK253" s="37">
        <v>44215</v>
      </c>
      <c r="DL253" s="38">
        <v>0.14419999999999999</v>
      </c>
      <c r="DM253" s="18"/>
      <c r="DN253" s="18"/>
      <c r="DO253" s="18"/>
      <c r="DP253" s="18"/>
      <c r="DQ253" s="18"/>
      <c r="DR253" s="18"/>
      <c r="DS253" s="18"/>
      <c r="DT253" s="18"/>
      <c r="DU253" s="18"/>
      <c r="DV253" s="18"/>
      <c r="DW253" s="18"/>
      <c r="DX253" s="18"/>
      <c r="DY253" s="18"/>
      <c r="DZ253" s="18"/>
    </row>
    <row r="254" spans="1:130" x14ac:dyDescent="0.3">
      <c r="A254" s="18"/>
      <c r="B254" s="18"/>
      <c r="C254" s="18"/>
      <c r="D254" s="18"/>
      <c r="E254" s="18"/>
      <c r="F254" s="18"/>
      <c r="G254" s="18"/>
      <c r="H254" s="18"/>
      <c r="I254" s="18"/>
      <c r="J254" s="18"/>
      <c r="K254" s="18"/>
      <c r="L254" s="18"/>
      <c r="M254" s="18"/>
      <c r="N254" s="17"/>
      <c r="O254" s="17"/>
      <c r="P254" s="17"/>
      <c r="Q254" s="17"/>
      <c r="R254" s="17"/>
      <c r="S254" s="17"/>
      <c r="T254" s="17"/>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7"/>
      <c r="BT254" s="17"/>
      <c r="BU254" s="17"/>
      <c r="BV254" s="17"/>
      <c r="BW254" s="17"/>
      <c r="BX254" s="18"/>
      <c r="BY254" s="18"/>
      <c r="BZ254" s="18"/>
      <c r="CA254" s="18"/>
      <c r="CB254" s="17"/>
      <c r="CC254" s="17"/>
      <c r="CD254" s="17"/>
      <c r="CE254" s="18"/>
      <c r="CF254" s="18"/>
      <c r="CG254" s="18"/>
      <c r="CH254" s="18"/>
      <c r="CI254" s="18"/>
      <c r="CJ254" s="18"/>
      <c r="CK254" s="18"/>
      <c r="CL254" s="18"/>
      <c r="CM254" s="18"/>
      <c r="CN254" s="18"/>
      <c r="CO254" s="18"/>
      <c r="CP254" s="18"/>
      <c r="CQ254" s="18"/>
      <c r="CR254" s="18"/>
      <c r="CS254" s="18"/>
      <c r="CT254" s="18"/>
      <c r="CU254" s="18"/>
      <c r="CV254" s="18"/>
      <c r="CW254" s="18"/>
      <c r="CX254" s="18"/>
      <c r="CY254" s="37"/>
      <c r="CZ254" s="38"/>
      <c r="DA254" s="18"/>
      <c r="DB254" s="37">
        <v>44216</v>
      </c>
      <c r="DC254" s="38">
        <v>16.7547</v>
      </c>
      <c r="DD254" s="18"/>
      <c r="DE254" s="37">
        <v>44216</v>
      </c>
      <c r="DF254" s="38">
        <v>14.905099999999999</v>
      </c>
      <c r="DG254" s="18"/>
      <c r="DH254" s="37">
        <v>44216</v>
      </c>
      <c r="DI254" s="38">
        <v>20.3613</v>
      </c>
      <c r="DJ254" s="18"/>
      <c r="DK254" s="37">
        <v>44216</v>
      </c>
      <c r="DL254" s="38">
        <v>0.14399999999999999</v>
      </c>
      <c r="DM254" s="18"/>
      <c r="DN254" s="18"/>
      <c r="DO254" s="18"/>
      <c r="DP254" s="18"/>
      <c r="DQ254" s="18"/>
      <c r="DR254" s="18"/>
      <c r="DS254" s="18"/>
      <c r="DT254" s="18"/>
      <c r="DU254" s="18"/>
      <c r="DV254" s="18"/>
      <c r="DW254" s="18"/>
      <c r="DX254" s="18"/>
      <c r="DY254" s="18"/>
      <c r="DZ254" s="18"/>
    </row>
    <row r="255" spans="1:130" x14ac:dyDescent="0.3">
      <c r="A255" s="18"/>
      <c r="B255" s="18"/>
      <c r="C255" s="18"/>
      <c r="D255" s="18"/>
      <c r="E255" s="18"/>
      <c r="F255" s="18"/>
      <c r="G255" s="18"/>
      <c r="H255" s="18"/>
      <c r="I255" s="18"/>
      <c r="J255" s="18"/>
      <c r="K255" s="18"/>
      <c r="L255" s="18"/>
      <c r="M255" s="18"/>
      <c r="N255" s="17"/>
      <c r="O255" s="17"/>
      <c r="P255" s="17"/>
      <c r="Q255" s="17"/>
      <c r="R255" s="17"/>
      <c r="S255" s="17"/>
      <c r="T255" s="17"/>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7"/>
      <c r="BT255" s="17"/>
      <c r="BU255" s="17"/>
      <c r="BV255" s="17"/>
      <c r="BW255" s="17"/>
      <c r="BX255" s="18"/>
      <c r="BY255" s="18"/>
      <c r="BZ255" s="18"/>
      <c r="CA255" s="18"/>
      <c r="CB255" s="17"/>
      <c r="CC255" s="17"/>
      <c r="CD255" s="17"/>
      <c r="CE255" s="18"/>
      <c r="CF255" s="18"/>
      <c r="CG255" s="18"/>
      <c r="CH255" s="18"/>
      <c r="CI255" s="18"/>
      <c r="CJ255" s="18"/>
      <c r="CK255" s="18"/>
      <c r="CL255" s="18"/>
      <c r="CM255" s="18"/>
      <c r="CN255" s="18"/>
      <c r="CO255" s="18"/>
      <c r="CP255" s="18"/>
      <c r="CQ255" s="18"/>
      <c r="CR255" s="18"/>
      <c r="CS255" s="18"/>
      <c r="CT255" s="18"/>
      <c r="CU255" s="18"/>
      <c r="CV255" s="18"/>
      <c r="CW255" s="18"/>
      <c r="CX255" s="18"/>
      <c r="CY255" s="37"/>
      <c r="CZ255" s="38"/>
      <c r="DA255" s="18"/>
      <c r="DB255" s="37">
        <v>44217</v>
      </c>
      <c r="DC255" s="38">
        <v>16.872800000000002</v>
      </c>
      <c r="DD255" s="18"/>
      <c r="DE255" s="37">
        <v>44217</v>
      </c>
      <c r="DF255" s="38">
        <v>14.943099999999999</v>
      </c>
      <c r="DG255" s="18"/>
      <c r="DH255" s="37">
        <v>44217</v>
      </c>
      <c r="DI255" s="38">
        <v>20.514399999999998</v>
      </c>
      <c r="DJ255" s="18"/>
      <c r="DK255" s="37">
        <v>44217</v>
      </c>
      <c r="DL255" s="38">
        <v>0.14430000000000001</v>
      </c>
      <c r="DM255" s="18"/>
      <c r="DN255" s="18"/>
      <c r="DO255" s="18"/>
      <c r="DP255" s="18"/>
      <c r="DQ255" s="18"/>
      <c r="DR255" s="18"/>
      <c r="DS255" s="18"/>
      <c r="DT255" s="18"/>
      <c r="DU255" s="18"/>
      <c r="DV255" s="18"/>
      <c r="DW255" s="18"/>
      <c r="DX255" s="18"/>
      <c r="DY255" s="18"/>
      <c r="DZ255" s="18"/>
    </row>
    <row r="256" spans="1:130" x14ac:dyDescent="0.3">
      <c r="A256" s="18"/>
      <c r="B256" s="18"/>
      <c r="C256" s="18"/>
      <c r="D256" s="18"/>
      <c r="E256" s="18"/>
      <c r="F256" s="18"/>
      <c r="G256" s="18"/>
      <c r="H256" s="18"/>
      <c r="I256" s="18"/>
      <c r="J256" s="18"/>
      <c r="K256" s="18"/>
      <c r="L256" s="18"/>
      <c r="M256" s="18"/>
      <c r="N256" s="17"/>
      <c r="O256" s="17"/>
      <c r="P256" s="17"/>
      <c r="Q256" s="17"/>
      <c r="R256" s="17"/>
      <c r="S256" s="17"/>
      <c r="T256" s="17"/>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7"/>
      <c r="BT256" s="17"/>
      <c r="BU256" s="17"/>
      <c r="BV256" s="17"/>
      <c r="BW256" s="17"/>
      <c r="BX256" s="18"/>
      <c r="BY256" s="18"/>
      <c r="BZ256" s="18"/>
      <c r="CA256" s="18"/>
      <c r="CB256" s="17"/>
      <c r="CC256" s="17"/>
      <c r="CD256" s="17"/>
      <c r="CE256" s="18"/>
      <c r="CF256" s="18"/>
      <c r="CG256" s="18"/>
      <c r="CH256" s="18"/>
      <c r="CI256" s="18"/>
      <c r="CJ256" s="18"/>
      <c r="CK256" s="18"/>
      <c r="CL256" s="18"/>
      <c r="CM256" s="18"/>
      <c r="CN256" s="18"/>
      <c r="CO256" s="18"/>
      <c r="CP256" s="18"/>
      <c r="CQ256" s="18"/>
      <c r="CR256" s="18"/>
      <c r="CS256" s="18"/>
      <c r="CT256" s="18"/>
      <c r="CU256" s="18"/>
      <c r="CV256" s="18"/>
      <c r="CW256" s="18"/>
      <c r="CX256" s="18"/>
      <c r="CY256" s="37"/>
      <c r="CZ256" s="38"/>
      <c r="DA256" s="18"/>
      <c r="DB256" s="37">
        <v>44218</v>
      </c>
      <c r="DC256" s="38">
        <v>17.1097</v>
      </c>
      <c r="DD256" s="18"/>
      <c r="DE256" s="37">
        <v>44218</v>
      </c>
      <c r="DF256" s="38">
        <v>15.147600000000001</v>
      </c>
      <c r="DG256" s="18"/>
      <c r="DH256" s="37">
        <v>44218</v>
      </c>
      <c r="DI256" s="38">
        <v>20.722300000000001</v>
      </c>
      <c r="DJ256" s="18"/>
      <c r="DK256" s="37">
        <v>44218</v>
      </c>
      <c r="DL256" s="38">
        <v>0.14599999999999999</v>
      </c>
      <c r="DM256" s="18"/>
      <c r="DN256" s="18"/>
      <c r="DO256" s="18"/>
      <c r="DP256" s="18"/>
      <c r="DQ256" s="18"/>
      <c r="DR256" s="18"/>
      <c r="DS256" s="18"/>
      <c r="DT256" s="18"/>
      <c r="DU256" s="18"/>
      <c r="DV256" s="18"/>
      <c r="DW256" s="18"/>
      <c r="DX256" s="18"/>
      <c r="DY256" s="18"/>
      <c r="DZ256" s="18"/>
    </row>
    <row r="257" spans="1:130" x14ac:dyDescent="0.3">
      <c r="A257" s="18"/>
      <c r="B257" s="18"/>
      <c r="C257" s="18"/>
      <c r="D257" s="18"/>
      <c r="E257" s="18"/>
      <c r="F257" s="18"/>
      <c r="G257" s="18"/>
      <c r="H257" s="18"/>
      <c r="I257" s="18"/>
      <c r="J257" s="18"/>
      <c r="K257" s="18"/>
      <c r="L257" s="18"/>
      <c r="M257" s="18"/>
      <c r="N257" s="17"/>
      <c r="O257" s="17"/>
      <c r="P257" s="17"/>
      <c r="Q257" s="17"/>
      <c r="R257" s="17"/>
      <c r="S257" s="17"/>
      <c r="T257" s="17"/>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7"/>
      <c r="BT257" s="17"/>
      <c r="BU257" s="17"/>
      <c r="BV257" s="17"/>
      <c r="BW257" s="17"/>
      <c r="BX257" s="18"/>
      <c r="BY257" s="18"/>
      <c r="BZ257" s="18"/>
      <c r="CA257" s="18"/>
      <c r="CB257" s="17"/>
      <c r="CC257" s="17"/>
      <c r="CD257" s="17"/>
      <c r="CE257" s="18"/>
      <c r="CF257" s="18"/>
      <c r="CG257" s="18"/>
      <c r="CH257" s="18"/>
      <c r="CI257" s="18"/>
      <c r="CJ257" s="18"/>
      <c r="CK257" s="18"/>
      <c r="CL257" s="18"/>
      <c r="CM257" s="18"/>
      <c r="CN257" s="18"/>
      <c r="CO257" s="18"/>
      <c r="CP257" s="18"/>
      <c r="CQ257" s="18"/>
      <c r="CR257" s="18"/>
      <c r="CS257" s="18"/>
      <c r="CT257" s="18"/>
      <c r="CU257" s="18"/>
      <c r="CV257" s="18"/>
      <c r="CW257" s="18"/>
      <c r="CX257" s="18"/>
      <c r="CY257" s="37"/>
      <c r="CZ257" s="38"/>
      <c r="DA257" s="18"/>
      <c r="DB257" s="37">
        <v>44221</v>
      </c>
      <c r="DC257" s="38">
        <v>17.1556</v>
      </c>
      <c r="DD257" s="18"/>
      <c r="DE257" s="37">
        <v>44221</v>
      </c>
      <c r="DF257" s="38">
        <v>15.242800000000001</v>
      </c>
      <c r="DG257" s="18"/>
      <c r="DH257" s="37">
        <v>44221</v>
      </c>
      <c r="DI257" s="38">
        <v>20.842700000000001</v>
      </c>
      <c r="DJ257" s="18"/>
      <c r="DK257" s="37">
        <v>44221</v>
      </c>
      <c r="DL257" s="38">
        <v>0.1469</v>
      </c>
      <c r="DM257" s="18"/>
      <c r="DN257" s="18"/>
      <c r="DO257" s="18"/>
      <c r="DP257" s="18"/>
      <c r="DQ257" s="18"/>
      <c r="DR257" s="18"/>
      <c r="DS257" s="18"/>
      <c r="DT257" s="18"/>
      <c r="DU257" s="18"/>
      <c r="DV257" s="18"/>
      <c r="DW257" s="18"/>
      <c r="DX257" s="18"/>
      <c r="DY257" s="18"/>
      <c r="DZ257" s="18"/>
    </row>
    <row r="258" spans="1:130" x14ac:dyDescent="0.3">
      <c r="A258" s="18"/>
      <c r="B258" s="18"/>
      <c r="C258" s="18"/>
      <c r="D258" s="18"/>
      <c r="E258" s="18"/>
      <c r="F258" s="18"/>
      <c r="G258" s="18"/>
      <c r="H258" s="18"/>
      <c r="I258" s="18"/>
      <c r="J258" s="18"/>
      <c r="K258" s="18"/>
      <c r="L258" s="18"/>
      <c r="M258" s="18"/>
      <c r="N258" s="17"/>
      <c r="O258" s="17"/>
      <c r="P258" s="17"/>
      <c r="Q258" s="17"/>
      <c r="R258" s="17"/>
      <c r="S258" s="17"/>
      <c r="T258" s="17"/>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7"/>
      <c r="BT258" s="17"/>
      <c r="BU258" s="17"/>
      <c r="BV258" s="17"/>
      <c r="BW258" s="17"/>
      <c r="BX258" s="18"/>
      <c r="BY258" s="18"/>
      <c r="BZ258" s="18"/>
      <c r="CA258" s="18"/>
      <c r="CB258" s="17"/>
      <c r="CC258" s="17"/>
      <c r="CD258" s="17"/>
      <c r="CE258" s="18"/>
      <c r="CF258" s="18"/>
      <c r="CG258" s="18"/>
      <c r="CH258" s="18"/>
      <c r="CI258" s="18"/>
      <c r="CJ258" s="18"/>
      <c r="CK258" s="18"/>
      <c r="CL258" s="18"/>
      <c r="CM258" s="18"/>
      <c r="CN258" s="18"/>
      <c r="CO258" s="18"/>
      <c r="CP258" s="18"/>
      <c r="CQ258" s="18"/>
      <c r="CR258" s="18"/>
      <c r="CS258" s="18"/>
      <c r="CT258" s="18"/>
      <c r="CU258" s="18"/>
      <c r="CV258" s="18"/>
      <c r="CW258" s="18"/>
      <c r="CX258" s="18"/>
      <c r="CY258" s="37"/>
      <c r="CZ258" s="38"/>
      <c r="DA258" s="18"/>
      <c r="DB258" s="37">
        <v>44222</v>
      </c>
      <c r="DC258" s="38">
        <v>16.990300000000001</v>
      </c>
      <c r="DD258" s="18"/>
      <c r="DE258" s="37">
        <v>44222</v>
      </c>
      <c r="DF258" s="38">
        <v>15.0684</v>
      </c>
      <c r="DG258" s="18"/>
      <c r="DH258" s="37">
        <v>44222</v>
      </c>
      <c r="DI258" s="38">
        <v>20.699100000000001</v>
      </c>
      <c r="DJ258" s="18"/>
      <c r="DK258" s="37">
        <v>44222</v>
      </c>
      <c r="DL258" s="38">
        <v>0.1454</v>
      </c>
      <c r="DM258" s="18"/>
      <c r="DN258" s="18"/>
      <c r="DO258" s="18"/>
      <c r="DP258" s="18"/>
      <c r="DQ258" s="18"/>
      <c r="DR258" s="18"/>
      <c r="DS258" s="18"/>
      <c r="DT258" s="18"/>
      <c r="DU258" s="18"/>
      <c r="DV258" s="18"/>
      <c r="DW258" s="18"/>
      <c r="DX258" s="18"/>
      <c r="DY258" s="18"/>
      <c r="DZ258" s="18"/>
    </row>
    <row r="259" spans="1:130" x14ac:dyDescent="0.3">
      <c r="A259" s="18"/>
      <c r="B259" s="18"/>
      <c r="C259" s="18"/>
      <c r="D259" s="18"/>
      <c r="E259" s="18"/>
      <c r="F259" s="18"/>
      <c r="G259" s="18"/>
      <c r="H259" s="18"/>
      <c r="I259" s="18"/>
      <c r="J259" s="18"/>
      <c r="K259" s="18"/>
      <c r="L259" s="18"/>
      <c r="M259" s="18"/>
      <c r="N259" s="17"/>
      <c r="O259" s="17"/>
      <c r="P259" s="17"/>
      <c r="Q259" s="17"/>
      <c r="R259" s="17"/>
      <c r="S259" s="17"/>
      <c r="T259" s="17"/>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7"/>
      <c r="BT259" s="17"/>
      <c r="BU259" s="17"/>
      <c r="BV259" s="17"/>
      <c r="BW259" s="17"/>
      <c r="BX259" s="18"/>
      <c r="BY259" s="18"/>
      <c r="BZ259" s="18"/>
      <c r="CA259" s="18"/>
      <c r="CB259" s="17"/>
      <c r="CC259" s="17"/>
      <c r="CD259" s="17"/>
      <c r="CE259" s="18"/>
      <c r="CF259" s="18"/>
      <c r="CG259" s="18"/>
      <c r="CH259" s="18"/>
      <c r="CI259" s="18"/>
      <c r="CJ259" s="18"/>
      <c r="CK259" s="18"/>
      <c r="CL259" s="18"/>
      <c r="CM259" s="18"/>
      <c r="CN259" s="18"/>
      <c r="CO259" s="18"/>
      <c r="CP259" s="18"/>
      <c r="CQ259" s="18"/>
      <c r="CR259" s="18"/>
      <c r="CS259" s="18"/>
      <c r="CT259" s="18"/>
      <c r="CU259" s="18"/>
      <c r="CV259" s="18"/>
      <c r="CW259" s="18"/>
      <c r="CX259" s="18"/>
      <c r="CY259" s="37"/>
      <c r="CZ259" s="38"/>
      <c r="DA259" s="18"/>
      <c r="DB259" s="37">
        <v>44223</v>
      </c>
      <c r="DC259" s="38">
        <v>17.189900000000002</v>
      </c>
      <c r="DD259" s="18"/>
      <c r="DE259" s="37">
        <v>44223</v>
      </c>
      <c r="DF259" s="38">
        <v>15.276400000000001</v>
      </c>
      <c r="DG259" s="18"/>
      <c r="DH259" s="37">
        <v>44223</v>
      </c>
      <c r="DI259" s="38">
        <v>20.903600000000001</v>
      </c>
      <c r="DJ259" s="18"/>
      <c r="DK259" s="37">
        <v>44223</v>
      </c>
      <c r="DL259" s="38">
        <v>0.1467</v>
      </c>
      <c r="DM259" s="18"/>
      <c r="DN259" s="18"/>
      <c r="DO259" s="18"/>
      <c r="DP259" s="18"/>
      <c r="DQ259" s="18"/>
      <c r="DR259" s="18"/>
      <c r="DS259" s="18"/>
      <c r="DT259" s="18"/>
      <c r="DU259" s="18"/>
      <c r="DV259" s="18"/>
      <c r="DW259" s="18"/>
      <c r="DX259" s="18"/>
      <c r="DY259" s="18"/>
      <c r="DZ259" s="18"/>
    </row>
    <row r="260" spans="1:130" x14ac:dyDescent="0.3">
      <c r="A260" s="18"/>
      <c r="B260" s="18"/>
      <c r="C260" s="18"/>
      <c r="D260" s="18"/>
      <c r="E260" s="18"/>
      <c r="F260" s="18"/>
      <c r="G260" s="18"/>
      <c r="H260" s="18"/>
      <c r="I260" s="18"/>
      <c r="J260" s="18"/>
      <c r="K260" s="18"/>
      <c r="L260" s="18"/>
      <c r="M260" s="18"/>
      <c r="N260" s="17"/>
      <c r="O260" s="17"/>
      <c r="P260" s="17"/>
      <c r="Q260" s="17"/>
      <c r="R260" s="17"/>
      <c r="S260" s="17"/>
      <c r="T260" s="17"/>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7"/>
      <c r="BT260" s="17"/>
      <c r="BU260" s="17"/>
      <c r="BV260" s="17"/>
      <c r="BW260" s="17"/>
      <c r="BX260" s="18"/>
      <c r="BY260" s="18"/>
      <c r="BZ260" s="18"/>
      <c r="CA260" s="18"/>
      <c r="CB260" s="17"/>
      <c r="CC260" s="17"/>
      <c r="CD260" s="17"/>
      <c r="CE260" s="18"/>
      <c r="CF260" s="18"/>
      <c r="CG260" s="18"/>
      <c r="CH260" s="18"/>
      <c r="CI260" s="18"/>
      <c r="CJ260" s="18"/>
      <c r="CK260" s="18"/>
      <c r="CL260" s="18"/>
      <c r="CM260" s="18"/>
      <c r="CN260" s="18"/>
      <c r="CO260" s="18"/>
      <c r="CP260" s="18"/>
      <c r="CQ260" s="18"/>
      <c r="CR260" s="18"/>
      <c r="CS260" s="18"/>
      <c r="CT260" s="18"/>
      <c r="CU260" s="18"/>
      <c r="CV260" s="18"/>
      <c r="CW260" s="18"/>
      <c r="CX260" s="18"/>
      <c r="CY260" s="37"/>
      <c r="CZ260" s="38"/>
      <c r="DA260" s="18"/>
      <c r="DB260" s="37">
        <v>44224</v>
      </c>
      <c r="DC260" s="38">
        <v>17.1188</v>
      </c>
      <c r="DD260" s="18"/>
      <c r="DE260" s="37">
        <v>44224</v>
      </c>
      <c r="DF260" s="38">
        <v>15.213100000000001</v>
      </c>
      <c r="DG260" s="18"/>
      <c r="DH260" s="37">
        <v>44224</v>
      </c>
      <c r="DI260" s="38">
        <v>20.8796</v>
      </c>
      <c r="DJ260" s="18"/>
      <c r="DK260" s="37">
        <v>44224</v>
      </c>
      <c r="DL260" s="38">
        <v>0.1459</v>
      </c>
      <c r="DM260" s="18"/>
      <c r="DN260" s="18"/>
      <c r="DO260" s="18"/>
      <c r="DP260" s="18"/>
      <c r="DQ260" s="18"/>
      <c r="DR260" s="18"/>
      <c r="DS260" s="18"/>
      <c r="DT260" s="18"/>
      <c r="DU260" s="18"/>
      <c r="DV260" s="18"/>
      <c r="DW260" s="18"/>
      <c r="DX260" s="18"/>
      <c r="DY260" s="18"/>
      <c r="DZ260" s="18"/>
    </row>
    <row r="261" spans="1:130" x14ac:dyDescent="0.3">
      <c r="A261" s="18"/>
      <c r="B261" s="18"/>
      <c r="C261" s="18"/>
      <c r="D261" s="18"/>
      <c r="E261" s="18"/>
      <c r="F261" s="18"/>
      <c r="G261" s="18"/>
      <c r="H261" s="18"/>
      <c r="I261" s="18"/>
      <c r="J261" s="18"/>
      <c r="K261" s="18"/>
      <c r="L261" s="18"/>
      <c r="M261" s="18"/>
      <c r="N261" s="17"/>
      <c r="O261" s="17"/>
      <c r="P261" s="17"/>
      <c r="Q261" s="17"/>
      <c r="R261" s="17"/>
      <c r="S261" s="17"/>
      <c r="T261" s="17"/>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7"/>
      <c r="BT261" s="17"/>
      <c r="BU261" s="17"/>
      <c r="BV261" s="17"/>
      <c r="BW261" s="17"/>
      <c r="BX261" s="18"/>
      <c r="BY261" s="18"/>
      <c r="BZ261" s="18"/>
      <c r="CA261" s="18"/>
      <c r="CB261" s="17"/>
      <c r="CC261" s="17"/>
      <c r="CD261" s="17"/>
      <c r="CE261" s="18"/>
      <c r="CF261" s="18"/>
      <c r="CG261" s="18"/>
      <c r="CH261" s="18"/>
      <c r="CI261" s="18"/>
      <c r="CJ261" s="18"/>
      <c r="CK261" s="18"/>
      <c r="CL261" s="18"/>
      <c r="CM261" s="18"/>
      <c r="CN261" s="18"/>
      <c r="CO261" s="18"/>
      <c r="CP261" s="18"/>
      <c r="CQ261" s="18"/>
      <c r="CR261" s="18"/>
      <c r="CS261" s="18"/>
      <c r="CT261" s="18"/>
      <c r="CU261" s="18"/>
      <c r="CV261" s="18"/>
      <c r="CW261" s="18"/>
      <c r="CX261" s="18"/>
      <c r="CY261" s="37"/>
      <c r="CZ261" s="38"/>
      <c r="DA261" s="18"/>
      <c r="DB261" s="37">
        <v>44225</v>
      </c>
      <c r="DC261" s="38">
        <v>17.0275</v>
      </c>
      <c r="DD261" s="18"/>
      <c r="DE261" s="37">
        <v>44225</v>
      </c>
      <c r="DF261" s="38">
        <v>15.1609</v>
      </c>
      <c r="DG261" s="18"/>
      <c r="DH261" s="37">
        <v>44225</v>
      </c>
      <c r="DI261" s="38">
        <v>20.772600000000001</v>
      </c>
      <c r="DJ261" s="18"/>
      <c r="DK261" s="37">
        <v>44225</v>
      </c>
      <c r="DL261" s="38">
        <v>0.14480000000000001</v>
      </c>
      <c r="DM261" s="18"/>
      <c r="DN261" s="18"/>
      <c r="DO261" s="18"/>
      <c r="DP261" s="18"/>
      <c r="DQ261" s="18"/>
      <c r="DR261" s="18"/>
      <c r="DS261" s="18"/>
      <c r="DT261" s="18"/>
      <c r="DU261" s="18"/>
      <c r="DV261" s="18"/>
      <c r="DW261" s="18"/>
      <c r="DX261" s="18"/>
      <c r="DY261" s="18"/>
      <c r="DZ261" s="18"/>
    </row>
    <row r="262" spans="1:130" x14ac:dyDescent="0.3">
      <c r="A262" s="18"/>
      <c r="B262" s="18"/>
      <c r="C262" s="18"/>
      <c r="D262" s="18"/>
      <c r="E262" s="18"/>
      <c r="F262" s="18"/>
      <c r="G262" s="18"/>
      <c r="H262" s="18"/>
      <c r="I262" s="18"/>
      <c r="J262" s="18"/>
      <c r="K262" s="18"/>
      <c r="L262" s="18"/>
      <c r="M262" s="18"/>
      <c r="N262" s="17"/>
      <c r="O262" s="17"/>
      <c r="P262" s="17"/>
      <c r="Q262" s="17"/>
      <c r="R262" s="17"/>
      <c r="S262" s="17"/>
      <c r="T262" s="17"/>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7"/>
      <c r="BT262" s="17"/>
      <c r="BU262" s="17"/>
      <c r="BV262" s="17"/>
      <c r="BW262" s="17"/>
      <c r="BX262" s="18"/>
      <c r="BY262" s="18"/>
      <c r="BZ262" s="18"/>
      <c r="CA262" s="18"/>
      <c r="CB262" s="17"/>
      <c r="CC262" s="17"/>
      <c r="CD262" s="17"/>
      <c r="CE262" s="18"/>
      <c r="CF262" s="18"/>
      <c r="CG262" s="18"/>
      <c r="CH262" s="18"/>
      <c r="CI262" s="18"/>
      <c r="CJ262" s="18"/>
      <c r="CK262" s="18"/>
      <c r="CL262" s="18"/>
      <c r="CM262" s="18"/>
      <c r="CN262" s="18"/>
      <c r="CO262" s="18"/>
      <c r="CP262" s="18"/>
      <c r="CQ262" s="18"/>
      <c r="CR262" s="18"/>
      <c r="CS262" s="18"/>
      <c r="CT262" s="18"/>
      <c r="CU262" s="18"/>
      <c r="CV262" s="18"/>
      <c r="CW262" s="18"/>
      <c r="CX262" s="18"/>
      <c r="CY262" s="37"/>
      <c r="CZ262" s="38"/>
      <c r="DA262" s="18"/>
      <c r="DB262" s="37">
        <v>44228</v>
      </c>
      <c r="DC262" s="38">
        <v>16.7407</v>
      </c>
      <c r="DD262" s="18"/>
      <c r="DE262" s="37">
        <v>44228</v>
      </c>
      <c r="DF262" s="38">
        <v>14.998100000000001</v>
      </c>
      <c r="DG262" s="18"/>
      <c r="DH262" s="37">
        <v>44228</v>
      </c>
      <c r="DI262" s="38">
        <v>20.538599999999999</v>
      </c>
      <c r="DJ262" s="18"/>
      <c r="DK262" s="37">
        <v>44228</v>
      </c>
      <c r="DL262" s="38">
        <v>0.14299999999999999</v>
      </c>
      <c r="DM262" s="18"/>
      <c r="DN262" s="18"/>
      <c r="DO262" s="18"/>
      <c r="DP262" s="18"/>
      <c r="DQ262" s="18"/>
      <c r="DR262" s="18"/>
      <c r="DS262" s="18"/>
      <c r="DT262" s="18"/>
      <c r="DU262" s="18"/>
      <c r="DV262" s="18"/>
      <c r="DW262" s="18"/>
      <c r="DX262" s="18"/>
      <c r="DY262" s="18"/>
      <c r="DZ262" s="18"/>
    </row>
    <row r="263" spans="1:130" x14ac:dyDescent="0.3">
      <c r="A263" s="18"/>
      <c r="B263" s="18"/>
      <c r="C263" s="18"/>
      <c r="D263" s="18"/>
      <c r="E263" s="18"/>
      <c r="F263" s="18"/>
      <c r="G263" s="18"/>
      <c r="H263" s="18"/>
      <c r="I263" s="18"/>
      <c r="J263" s="18"/>
      <c r="K263" s="18"/>
      <c r="L263" s="18"/>
      <c r="M263" s="18"/>
      <c r="N263" s="17"/>
      <c r="O263" s="17"/>
      <c r="P263" s="17"/>
      <c r="Q263" s="17"/>
      <c r="R263" s="17"/>
      <c r="S263" s="17"/>
      <c r="T263" s="17"/>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7"/>
      <c r="BT263" s="17"/>
      <c r="BU263" s="17"/>
      <c r="BV263" s="17"/>
      <c r="BW263" s="17"/>
      <c r="BX263" s="18"/>
      <c r="BY263" s="18"/>
      <c r="BZ263" s="18"/>
      <c r="CA263" s="18"/>
      <c r="CB263" s="17"/>
      <c r="CC263" s="17"/>
      <c r="CD263" s="17"/>
      <c r="CE263" s="18"/>
      <c r="CF263" s="18"/>
      <c r="CG263" s="18"/>
      <c r="CH263" s="18"/>
      <c r="CI263" s="18"/>
      <c r="CJ263" s="18"/>
      <c r="CK263" s="18"/>
      <c r="CL263" s="18"/>
      <c r="CM263" s="18"/>
      <c r="CN263" s="18"/>
      <c r="CO263" s="18"/>
      <c r="CP263" s="18"/>
      <c r="CQ263" s="18"/>
      <c r="CR263" s="18"/>
      <c r="CS263" s="18"/>
      <c r="CT263" s="18"/>
      <c r="CU263" s="18"/>
      <c r="CV263" s="18"/>
      <c r="CW263" s="18"/>
      <c r="CX263" s="18"/>
      <c r="CY263" s="37"/>
      <c r="CZ263" s="38"/>
      <c r="DA263" s="18"/>
      <c r="DB263" s="37">
        <v>44229</v>
      </c>
      <c r="DC263" s="38">
        <v>16.640899999999998</v>
      </c>
      <c r="DD263" s="18"/>
      <c r="DE263" s="37">
        <v>44229</v>
      </c>
      <c r="DF263" s="38">
        <v>14.9346</v>
      </c>
      <c r="DG263" s="18"/>
      <c r="DH263" s="37">
        <v>44229</v>
      </c>
      <c r="DI263" s="38">
        <v>20.422799999999999</v>
      </c>
      <c r="DJ263" s="18"/>
      <c r="DK263" s="37">
        <v>44229</v>
      </c>
      <c r="DL263" s="38">
        <v>0.14230000000000001</v>
      </c>
      <c r="DM263" s="18"/>
      <c r="DN263" s="18"/>
      <c r="DO263" s="18"/>
      <c r="DP263" s="18"/>
      <c r="DQ263" s="18"/>
      <c r="DR263" s="18"/>
      <c r="DS263" s="18"/>
      <c r="DT263" s="18"/>
      <c r="DU263" s="18"/>
      <c r="DV263" s="18"/>
      <c r="DW263" s="18"/>
      <c r="DX263" s="18"/>
      <c r="DY263" s="18"/>
      <c r="DZ263" s="18"/>
    </row>
    <row r="264" spans="1:130" x14ac:dyDescent="0.3">
      <c r="A264" s="18"/>
      <c r="B264" s="18"/>
      <c r="C264" s="18"/>
      <c r="D264" s="18"/>
      <c r="E264" s="18"/>
      <c r="F264" s="18"/>
      <c r="G264" s="18"/>
      <c r="H264" s="18"/>
      <c r="I264" s="18"/>
      <c r="J264" s="18"/>
      <c r="K264" s="18"/>
      <c r="L264" s="18"/>
      <c r="M264" s="18"/>
      <c r="N264" s="17"/>
      <c r="O264" s="17"/>
      <c r="P264" s="17"/>
      <c r="Q264" s="17"/>
      <c r="R264" s="17"/>
      <c r="S264" s="17"/>
      <c r="T264" s="17"/>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7"/>
      <c r="BT264" s="17"/>
      <c r="BU264" s="17"/>
      <c r="BV264" s="17"/>
      <c r="BW264" s="17"/>
      <c r="BX264" s="18"/>
      <c r="BY264" s="18"/>
      <c r="BZ264" s="18"/>
      <c r="CA264" s="18"/>
      <c r="CB264" s="17"/>
      <c r="CC264" s="17"/>
      <c r="CD264" s="17"/>
      <c r="CE264" s="18"/>
      <c r="CF264" s="18"/>
      <c r="CG264" s="18"/>
      <c r="CH264" s="18"/>
      <c r="CI264" s="18"/>
      <c r="CJ264" s="18"/>
      <c r="CK264" s="18"/>
      <c r="CL264" s="18"/>
      <c r="CM264" s="18"/>
      <c r="CN264" s="18"/>
      <c r="CO264" s="18"/>
      <c r="CP264" s="18"/>
      <c r="CQ264" s="18"/>
      <c r="CR264" s="18"/>
      <c r="CS264" s="18"/>
      <c r="CT264" s="18"/>
      <c r="CU264" s="18"/>
      <c r="CV264" s="18"/>
      <c r="CW264" s="18"/>
      <c r="CX264" s="18"/>
      <c r="CY264" s="37"/>
      <c r="CZ264" s="38"/>
      <c r="DA264" s="18"/>
      <c r="DB264" s="37">
        <v>44230</v>
      </c>
      <c r="DC264" s="38">
        <v>16.611599999999999</v>
      </c>
      <c r="DD264" s="18"/>
      <c r="DE264" s="37">
        <v>44230</v>
      </c>
      <c r="DF264" s="38">
        <v>14.939500000000001</v>
      </c>
      <c r="DG264" s="18"/>
      <c r="DH264" s="37">
        <v>44230</v>
      </c>
      <c r="DI264" s="38">
        <v>20.374300000000002</v>
      </c>
      <c r="DJ264" s="18"/>
      <c r="DK264" s="37">
        <v>44230</v>
      </c>
      <c r="DL264" s="38">
        <v>0.14219999999999999</v>
      </c>
      <c r="DM264" s="18"/>
      <c r="DN264" s="18"/>
      <c r="DO264" s="18"/>
      <c r="DP264" s="18"/>
      <c r="DQ264" s="18"/>
      <c r="DR264" s="18"/>
      <c r="DS264" s="18"/>
      <c r="DT264" s="18"/>
      <c r="DU264" s="18"/>
      <c r="DV264" s="18"/>
      <c r="DW264" s="18"/>
      <c r="DX264" s="18"/>
      <c r="DY264" s="18"/>
      <c r="DZ264" s="18"/>
    </row>
    <row r="265" spans="1:130" x14ac:dyDescent="0.3">
      <c r="A265" s="18"/>
      <c r="B265" s="18"/>
      <c r="C265" s="18"/>
      <c r="D265" s="18"/>
      <c r="E265" s="18"/>
      <c r="F265" s="18"/>
      <c r="G265" s="18"/>
      <c r="H265" s="18"/>
      <c r="I265" s="18"/>
      <c r="J265" s="18"/>
      <c r="K265" s="18"/>
      <c r="L265" s="18"/>
      <c r="M265" s="18"/>
      <c r="N265" s="17"/>
      <c r="O265" s="17"/>
      <c r="P265" s="17"/>
      <c r="Q265" s="17"/>
      <c r="R265" s="17"/>
      <c r="S265" s="17"/>
      <c r="T265" s="17"/>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7"/>
      <c r="BT265" s="17"/>
      <c r="BU265" s="17"/>
      <c r="BV265" s="17"/>
      <c r="BW265" s="17"/>
      <c r="BX265" s="18"/>
      <c r="BY265" s="18"/>
      <c r="BZ265" s="18"/>
      <c r="CA265" s="18"/>
      <c r="CB265" s="17"/>
      <c r="CC265" s="17"/>
      <c r="CD265" s="17"/>
      <c r="CE265" s="18"/>
      <c r="CF265" s="18"/>
      <c r="CG265" s="18"/>
      <c r="CH265" s="18"/>
      <c r="CI265" s="18"/>
      <c r="CJ265" s="18"/>
      <c r="CK265" s="18"/>
      <c r="CL265" s="18"/>
      <c r="CM265" s="18"/>
      <c r="CN265" s="18"/>
      <c r="CO265" s="18"/>
      <c r="CP265" s="18"/>
      <c r="CQ265" s="18"/>
      <c r="CR265" s="18"/>
      <c r="CS265" s="18"/>
      <c r="CT265" s="18"/>
      <c r="CU265" s="18"/>
      <c r="CV265" s="18"/>
      <c r="CW265" s="18"/>
      <c r="CX265" s="18"/>
      <c r="CY265" s="37"/>
      <c r="CZ265" s="38"/>
      <c r="DA265" s="18"/>
      <c r="DB265" s="37">
        <v>44231</v>
      </c>
      <c r="DC265" s="38">
        <v>16.614799999999999</v>
      </c>
      <c r="DD265" s="18"/>
      <c r="DE265" s="37">
        <v>44231</v>
      </c>
      <c r="DF265" s="38">
        <v>15.0291</v>
      </c>
      <c r="DG265" s="18"/>
      <c r="DH265" s="37">
        <v>44231</v>
      </c>
      <c r="DI265" s="38">
        <v>20.539000000000001</v>
      </c>
      <c r="DJ265" s="18"/>
      <c r="DK265" s="37">
        <v>44231</v>
      </c>
      <c r="DL265" s="38">
        <v>0.1424</v>
      </c>
      <c r="DM265" s="18"/>
      <c r="DN265" s="18"/>
      <c r="DO265" s="18"/>
      <c r="DP265" s="18"/>
      <c r="DQ265" s="18"/>
      <c r="DR265" s="18"/>
      <c r="DS265" s="18"/>
      <c r="DT265" s="18"/>
      <c r="DU265" s="18"/>
      <c r="DV265" s="18"/>
      <c r="DW265" s="18"/>
      <c r="DX265" s="18"/>
      <c r="DY265" s="18"/>
      <c r="DZ265" s="18"/>
    </row>
    <row r="266" spans="1:130" x14ac:dyDescent="0.3">
      <c r="A266" s="18"/>
      <c r="B266" s="18"/>
      <c r="C266" s="18"/>
      <c r="D266" s="18"/>
      <c r="E266" s="18"/>
      <c r="F266" s="18"/>
      <c r="G266" s="18"/>
      <c r="H266" s="18"/>
      <c r="I266" s="18"/>
      <c r="J266" s="18"/>
      <c r="K266" s="18"/>
      <c r="L266" s="18"/>
      <c r="M266" s="18"/>
      <c r="N266" s="17"/>
      <c r="O266" s="17"/>
      <c r="P266" s="17"/>
      <c r="Q266" s="17"/>
      <c r="R266" s="17"/>
      <c r="S266" s="17"/>
      <c r="T266" s="17"/>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7"/>
      <c r="BT266" s="17"/>
      <c r="BU266" s="17"/>
      <c r="BV266" s="17"/>
      <c r="BW266" s="17"/>
      <c r="BX266" s="18"/>
      <c r="BY266" s="18"/>
      <c r="BZ266" s="18"/>
      <c r="CA266" s="18"/>
      <c r="CB266" s="17"/>
      <c r="CC266" s="17"/>
      <c r="CD266" s="17"/>
      <c r="CE266" s="18"/>
      <c r="CF266" s="18"/>
      <c r="CG266" s="18"/>
      <c r="CH266" s="18"/>
      <c r="CI266" s="18"/>
      <c r="CJ266" s="18"/>
      <c r="CK266" s="18"/>
      <c r="CL266" s="18"/>
      <c r="CM266" s="18"/>
      <c r="CN266" s="18"/>
      <c r="CO266" s="18"/>
      <c r="CP266" s="18"/>
      <c r="CQ266" s="18"/>
      <c r="CR266" s="18"/>
      <c r="CS266" s="18"/>
      <c r="CT266" s="18"/>
      <c r="CU266" s="18"/>
      <c r="CV266" s="18"/>
      <c r="CW266" s="18"/>
      <c r="CX266" s="18"/>
      <c r="CY266" s="37"/>
      <c r="CZ266" s="38"/>
      <c r="DA266" s="18"/>
      <c r="DB266" s="37">
        <v>44232</v>
      </c>
      <c r="DC266" s="38">
        <v>16.509</v>
      </c>
      <c r="DD266" s="18"/>
      <c r="DE266" s="37">
        <v>44232</v>
      </c>
      <c r="DF266" s="38">
        <v>14.843999999999999</v>
      </c>
      <c r="DG266" s="18"/>
      <c r="DH266" s="37">
        <v>44232</v>
      </c>
      <c r="DI266" s="38">
        <v>20.388500000000001</v>
      </c>
      <c r="DJ266" s="18"/>
      <c r="DK266" s="37">
        <v>44232</v>
      </c>
      <c r="DL266" s="38">
        <v>0.14080000000000001</v>
      </c>
      <c r="DM266" s="18"/>
      <c r="DN266" s="18"/>
      <c r="DO266" s="18"/>
      <c r="DP266" s="18"/>
      <c r="DQ266" s="18"/>
      <c r="DR266" s="18"/>
      <c r="DS266" s="18"/>
      <c r="DT266" s="18"/>
      <c r="DU266" s="18"/>
      <c r="DV266" s="18"/>
      <c r="DW266" s="18"/>
      <c r="DX266" s="18"/>
      <c r="DY266" s="18"/>
      <c r="DZ266" s="18"/>
    </row>
    <row r="267" spans="1:130" x14ac:dyDescent="0.3">
      <c r="A267" s="18"/>
      <c r="B267" s="18"/>
      <c r="C267" s="18"/>
      <c r="D267" s="18"/>
      <c r="E267" s="18"/>
      <c r="F267" s="18"/>
      <c r="G267" s="18"/>
      <c r="H267" s="18"/>
      <c r="I267" s="18"/>
      <c r="J267" s="18"/>
      <c r="K267" s="18"/>
      <c r="L267" s="18"/>
      <c r="M267" s="18"/>
      <c r="N267" s="17"/>
      <c r="O267" s="17"/>
      <c r="P267" s="17"/>
      <c r="Q267" s="17"/>
      <c r="R267" s="17"/>
      <c r="S267" s="17"/>
      <c r="T267" s="17"/>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7"/>
      <c r="BT267" s="17"/>
      <c r="BU267" s="17"/>
      <c r="BV267" s="17"/>
      <c r="BW267" s="17"/>
      <c r="BX267" s="18"/>
      <c r="BY267" s="18"/>
      <c r="BZ267" s="18"/>
      <c r="CA267" s="18"/>
      <c r="CB267" s="17"/>
      <c r="CC267" s="17"/>
      <c r="CD267" s="17"/>
      <c r="CE267" s="18"/>
      <c r="CF267" s="18"/>
      <c r="CG267" s="18"/>
      <c r="CH267" s="18"/>
      <c r="CI267" s="18"/>
      <c r="CJ267" s="18"/>
      <c r="CK267" s="18"/>
      <c r="CL267" s="18"/>
      <c r="CM267" s="18"/>
      <c r="CN267" s="18"/>
      <c r="CO267" s="18"/>
      <c r="CP267" s="18"/>
      <c r="CQ267" s="18"/>
      <c r="CR267" s="18"/>
      <c r="CS267" s="18"/>
      <c r="CT267" s="18"/>
      <c r="CU267" s="18"/>
      <c r="CV267" s="18"/>
      <c r="CW267" s="18"/>
      <c r="CX267" s="18"/>
      <c r="CY267" s="37"/>
      <c r="CZ267" s="38"/>
      <c r="DA267" s="18"/>
      <c r="DB267" s="37">
        <v>44235</v>
      </c>
      <c r="DC267" s="38">
        <v>16.534800000000001</v>
      </c>
      <c r="DD267" s="18"/>
      <c r="DE267" s="37">
        <v>44235</v>
      </c>
      <c r="DF267" s="38">
        <v>14.823700000000001</v>
      </c>
      <c r="DG267" s="18"/>
      <c r="DH267" s="37">
        <v>44235</v>
      </c>
      <c r="DI267" s="38">
        <v>20.428100000000001</v>
      </c>
      <c r="DJ267" s="18"/>
      <c r="DK267" s="37">
        <v>44235</v>
      </c>
      <c r="DL267" s="38">
        <v>0.14130000000000001</v>
      </c>
      <c r="DM267" s="18"/>
      <c r="DN267" s="18"/>
      <c r="DO267" s="18"/>
      <c r="DP267" s="18"/>
      <c r="DQ267" s="18"/>
      <c r="DR267" s="18"/>
      <c r="DS267" s="18"/>
      <c r="DT267" s="18"/>
      <c r="DU267" s="18"/>
      <c r="DV267" s="18"/>
      <c r="DW267" s="18"/>
      <c r="DX267" s="18"/>
      <c r="DY267" s="18"/>
      <c r="DZ267" s="18"/>
    </row>
    <row r="268" spans="1:130" x14ac:dyDescent="0.3">
      <c r="A268" s="18"/>
      <c r="B268" s="18"/>
      <c r="C268" s="18"/>
      <c r="D268" s="18"/>
      <c r="E268" s="18"/>
      <c r="F268" s="18"/>
      <c r="G268" s="18"/>
      <c r="H268" s="18"/>
      <c r="I268" s="18"/>
      <c r="J268" s="18"/>
      <c r="K268" s="18"/>
      <c r="L268" s="18"/>
      <c r="M268" s="18"/>
      <c r="N268" s="17"/>
      <c r="O268" s="17"/>
      <c r="P268" s="17"/>
      <c r="Q268" s="17"/>
      <c r="R268" s="17"/>
      <c r="S268" s="17"/>
      <c r="T268" s="17"/>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7"/>
      <c r="BT268" s="17"/>
      <c r="BU268" s="17"/>
      <c r="BV268" s="17"/>
      <c r="BW268" s="17"/>
      <c r="BX268" s="18"/>
      <c r="BY268" s="18"/>
      <c r="BZ268" s="18"/>
      <c r="CA268" s="18"/>
      <c r="CB268" s="17"/>
      <c r="CC268" s="17"/>
      <c r="CD268" s="17"/>
      <c r="CE268" s="18"/>
      <c r="CF268" s="18"/>
      <c r="CG268" s="18"/>
      <c r="CH268" s="18"/>
      <c r="CI268" s="18"/>
      <c r="CJ268" s="18"/>
      <c r="CK268" s="18"/>
      <c r="CL268" s="18"/>
      <c r="CM268" s="18"/>
      <c r="CN268" s="18"/>
      <c r="CO268" s="18"/>
      <c r="CP268" s="18"/>
      <c r="CQ268" s="18"/>
      <c r="CR268" s="18"/>
      <c r="CS268" s="18"/>
      <c r="CT268" s="18"/>
      <c r="CU268" s="18"/>
      <c r="CV268" s="18"/>
      <c r="CW268" s="18"/>
      <c r="CX268" s="18"/>
      <c r="CY268" s="37"/>
      <c r="CZ268" s="38"/>
      <c r="DA268" s="18"/>
      <c r="DB268" s="37">
        <v>44236</v>
      </c>
      <c r="DC268" s="38">
        <v>16.509499999999999</v>
      </c>
      <c r="DD268" s="18"/>
      <c r="DE268" s="37">
        <v>44236</v>
      </c>
      <c r="DF268" s="38">
        <v>14.729200000000001</v>
      </c>
      <c r="DG268" s="18"/>
      <c r="DH268" s="37">
        <v>44236</v>
      </c>
      <c r="DI268" s="38">
        <v>20.360600000000002</v>
      </c>
      <c r="DJ268" s="18"/>
      <c r="DK268" s="37">
        <v>44236</v>
      </c>
      <c r="DL268" s="38">
        <v>0.1409</v>
      </c>
      <c r="DM268" s="18"/>
      <c r="DN268" s="18"/>
      <c r="DO268" s="18"/>
      <c r="DP268" s="18"/>
      <c r="DQ268" s="18"/>
      <c r="DR268" s="18"/>
      <c r="DS268" s="18"/>
      <c r="DT268" s="18"/>
      <c r="DU268" s="18"/>
      <c r="DV268" s="18"/>
      <c r="DW268" s="18"/>
      <c r="DX268" s="18"/>
      <c r="DY268" s="18"/>
      <c r="DZ268" s="18"/>
    </row>
    <row r="269" spans="1:130" x14ac:dyDescent="0.3">
      <c r="A269" s="18"/>
      <c r="B269" s="18"/>
      <c r="C269" s="18"/>
      <c r="D269" s="18"/>
      <c r="E269" s="18"/>
      <c r="F269" s="18"/>
      <c r="G269" s="18"/>
      <c r="H269" s="18"/>
      <c r="I269" s="18"/>
      <c r="J269" s="18"/>
      <c r="K269" s="18"/>
      <c r="L269" s="18"/>
      <c r="M269" s="18"/>
      <c r="N269" s="17"/>
      <c r="O269" s="17"/>
      <c r="P269" s="17"/>
      <c r="Q269" s="17"/>
      <c r="R269" s="17"/>
      <c r="S269" s="17"/>
      <c r="T269" s="17"/>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7"/>
      <c r="BT269" s="17"/>
      <c r="BU269" s="17"/>
      <c r="BV269" s="17"/>
      <c r="BW269" s="17"/>
      <c r="BX269" s="18"/>
      <c r="BY269" s="18"/>
      <c r="BZ269" s="18"/>
      <c r="CA269" s="18"/>
      <c r="CB269" s="17"/>
      <c r="CC269" s="17"/>
      <c r="CD269" s="17"/>
      <c r="CE269" s="18"/>
      <c r="CF269" s="18"/>
      <c r="CG269" s="18"/>
      <c r="CH269" s="18"/>
      <c r="CI269" s="18"/>
      <c r="CJ269" s="18"/>
      <c r="CK269" s="18"/>
      <c r="CL269" s="18"/>
      <c r="CM269" s="18"/>
      <c r="CN269" s="18"/>
      <c r="CO269" s="18"/>
      <c r="CP269" s="18"/>
      <c r="CQ269" s="18"/>
      <c r="CR269" s="18"/>
      <c r="CS269" s="18"/>
      <c r="CT269" s="18"/>
      <c r="CU269" s="18"/>
      <c r="CV269" s="18"/>
      <c r="CW269" s="18"/>
      <c r="CX269" s="18"/>
      <c r="CY269" s="37"/>
      <c r="CZ269" s="38"/>
      <c r="DA269" s="18"/>
      <c r="DB269" s="37">
        <v>44237</v>
      </c>
      <c r="DC269" s="38">
        <v>16.558</v>
      </c>
      <c r="DD269" s="18"/>
      <c r="DE269" s="37">
        <v>44237</v>
      </c>
      <c r="DF269" s="38">
        <v>14.7402</v>
      </c>
      <c r="DG269" s="18"/>
      <c r="DH269" s="37">
        <v>44237</v>
      </c>
      <c r="DI269" s="38">
        <v>20.395700000000001</v>
      </c>
      <c r="DJ269" s="18"/>
      <c r="DK269" s="37">
        <v>44237</v>
      </c>
      <c r="DL269" s="38">
        <v>0.1409</v>
      </c>
      <c r="DM269" s="18"/>
      <c r="DN269" s="18"/>
      <c r="DO269" s="18"/>
      <c r="DP269" s="18"/>
      <c r="DQ269" s="18"/>
      <c r="DR269" s="18"/>
      <c r="DS269" s="18"/>
      <c r="DT269" s="18"/>
      <c r="DU269" s="18"/>
      <c r="DV269" s="18"/>
      <c r="DW269" s="18"/>
      <c r="DX269" s="18"/>
      <c r="DY269" s="18"/>
      <c r="DZ269" s="18"/>
    </row>
    <row r="270" spans="1:130" x14ac:dyDescent="0.3">
      <c r="A270" s="18"/>
      <c r="B270" s="18"/>
      <c r="C270" s="18"/>
      <c r="D270" s="18"/>
      <c r="E270" s="18"/>
      <c r="F270" s="18"/>
      <c r="G270" s="18"/>
      <c r="H270" s="18"/>
      <c r="I270" s="18"/>
      <c r="J270" s="18"/>
      <c r="K270" s="18"/>
      <c r="L270" s="18"/>
      <c r="M270" s="18"/>
      <c r="N270" s="17"/>
      <c r="O270" s="17"/>
      <c r="P270" s="17"/>
      <c r="Q270" s="17"/>
      <c r="R270" s="17"/>
      <c r="S270" s="17"/>
      <c r="T270" s="17"/>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7"/>
      <c r="BT270" s="17"/>
      <c r="BU270" s="17"/>
      <c r="BV270" s="17"/>
      <c r="BW270" s="17"/>
      <c r="BX270" s="18"/>
      <c r="BY270" s="18"/>
      <c r="BZ270" s="18"/>
      <c r="CA270" s="18"/>
      <c r="CB270" s="17"/>
      <c r="CC270" s="17"/>
      <c r="CD270" s="17"/>
      <c r="CE270" s="18"/>
      <c r="CF270" s="18"/>
      <c r="CG270" s="18"/>
      <c r="CH270" s="18"/>
      <c r="CI270" s="18"/>
      <c r="CJ270" s="18"/>
      <c r="CK270" s="18"/>
      <c r="CL270" s="18"/>
      <c r="CM270" s="18"/>
      <c r="CN270" s="18"/>
      <c r="CO270" s="18"/>
      <c r="CP270" s="18"/>
      <c r="CQ270" s="18"/>
      <c r="CR270" s="18"/>
      <c r="CS270" s="18"/>
      <c r="CT270" s="18"/>
      <c r="CU270" s="18"/>
      <c r="CV270" s="18"/>
      <c r="CW270" s="18"/>
      <c r="CX270" s="18"/>
      <c r="CY270" s="37"/>
      <c r="CZ270" s="38"/>
      <c r="DA270" s="18"/>
      <c r="DB270" s="37">
        <v>44238</v>
      </c>
      <c r="DC270" s="38">
        <v>16.4344</v>
      </c>
      <c r="DD270" s="18"/>
      <c r="DE270" s="37">
        <v>44238</v>
      </c>
      <c r="DF270" s="38">
        <v>14.6389</v>
      </c>
      <c r="DG270" s="18"/>
      <c r="DH270" s="37">
        <v>44238</v>
      </c>
      <c r="DI270" s="38">
        <v>20.185600000000001</v>
      </c>
      <c r="DJ270" s="18"/>
      <c r="DK270" s="37">
        <v>44238</v>
      </c>
      <c r="DL270" s="38">
        <v>0.1396</v>
      </c>
      <c r="DM270" s="18"/>
      <c r="DN270" s="18"/>
      <c r="DO270" s="18"/>
      <c r="DP270" s="18"/>
      <c r="DQ270" s="18"/>
      <c r="DR270" s="18"/>
      <c r="DS270" s="18"/>
      <c r="DT270" s="18"/>
      <c r="DU270" s="18"/>
      <c r="DV270" s="18"/>
      <c r="DW270" s="18"/>
      <c r="DX270" s="18"/>
      <c r="DY270" s="18"/>
      <c r="DZ270" s="18"/>
    </row>
    <row r="271" spans="1:130" x14ac:dyDescent="0.3">
      <c r="A271" s="18"/>
      <c r="B271" s="18"/>
      <c r="C271" s="18"/>
      <c r="D271" s="18"/>
      <c r="E271" s="18"/>
      <c r="F271" s="18"/>
      <c r="G271" s="18"/>
      <c r="H271" s="18"/>
      <c r="I271" s="18"/>
      <c r="J271" s="18"/>
      <c r="K271" s="18"/>
      <c r="L271" s="18"/>
      <c r="M271" s="18"/>
      <c r="N271" s="17"/>
      <c r="O271" s="17"/>
      <c r="P271" s="17"/>
      <c r="Q271" s="17"/>
      <c r="R271" s="17"/>
      <c r="S271" s="17"/>
      <c r="T271" s="17"/>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7"/>
      <c r="BT271" s="17"/>
      <c r="BU271" s="17"/>
      <c r="BV271" s="17"/>
      <c r="BW271" s="17"/>
      <c r="BX271" s="18"/>
      <c r="BY271" s="18"/>
      <c r="BZ271" s="18"/>
      <c r="CA271" s="18"/>
      <c r="CB271" s="17"/>
      <c r="CC271" s="17"/>
      <c r="CD271" s="17"/>
      <c r="CE271" s="18"/>
      <c r="CF271" s="18"/>
      <c r="CG271" s="18"/>
      <c r="CH271" s="18"/>
      <c r="CI271" s="18"/>
      <c r="CJ271" s="18"/>
      <c r="CK271" s="18"/>
      <c r="CL271" s="18"/>
      <c r="CM271" s="18"/>
      <c r="CN271" s="18"/>
      <c r="CO271" s="18"/>
      <c r="CP271" s="18"/>
      <c r="CQ271" s="18"/>
      <c r="CR271" s="18"/>
      <c r="CS271" s="18"/>
      <c r="CT271" s="18"/>
      <c r="CU271" s="18"/>
      <c r="CV271" s="18"/>
      <c r="CW271" s="18"/>
      <c r="CX271" s="18"/>
      <c r="CY271" s="37"/>
      <c r="CZ271" s="38"/>
      <c r="DA271" s="18"/>
      <c r="DB271" s="37">
        <v>44239</v>
      </c>
      <c r="DC271" s="38">
        <v>16.309899999999999</v>
      </c>
      <c r="DD271" s="18"/>
      <c r="DE271" s="37">
        <v>44239</v>
      </c>
      <c r="DF271" s="38">
        <v>14.547499999999999</v>
      </c>
      <c r="DG271" s="18"/>
      <c r="DH271" s="37">
        <v>44239</v>
      </c>
      <c r="DI271" s="38">
        <v>20.1601</v>
      </c>
      <c r="DJ271" s="18"/>
      <c r="DK271" s="37">
        <v>44239</v>
      </c>
      <c r="DL271" s="38">
        <v>0.1386</v>
      </c>
      <c r="DM271" s="18"/>
      <c r="DN271" s="18"/>
      <c r="DO271" s="18"/>
      <c r="DP271" s="18"/>
      <c r="DQ271" s="18"/>
      <c r="DR271" s="18"/>
      <c r="DS271" s="18"/>
      <c r="DT271" s="18"/>
      <c r="DU271" s="18"/>
      <c r="DV271" s="18"/>
      <c r="DW271" s="18"/>
      <c r="DX271" s="18"/>
      <c r="DY271" s="18"/>
      <c r="DZ271" s="18"/>
    </row>
    <row r="272" spans="1:130" x14ac:dyDescent="0.3">
      <c r="A272" s="18"/>
      <c r="B272" s="18"/>
      <c r="C272" s="18"/>
      <c r="D272" s="18"/>
      <c r="E272" s="18"/>
      <c r="F272" s="18"/>
      <c r="G272" s="18"/>
      <c r="H272" s="18"/>
      <c r="I272" s="18"/>
      <c r="J272" s="18"/>
      <c r="K272" s="18"/>
      <c r="L272" s="18"/>
      <c r="M272" s="18"/>
      <c r="N272" s="17"/>
      <c r="O272" s="17"/>
      <c r="P272" s="17"/>
      <c r="Q272" s="17"/>
      <c r="R272" s="17"/>
      <c r="S272" s="17"/>
      <c r="T272" s="17"/>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7"/>
      <c r="BT272" s="17"/>
      <c r="BU272" s="17"/>
      <c r="BV272" s="17"/>
      <c r="BW272" s="17"/>
      <c r="BX272" s="18"/>
      <c r="BY272" s="18"/>
      <c r="BZ272" s="18"/>
      <c r="CA272" s="18"/>
      <c r="CB272" s="17"/>
      <c r="CC272" s="17"/>
      <c r="CD272" s="17"/>
      <c r="CE272" s="18"/>
      <c r="CF272" s="18"/>
      <c r="CG272" s="18"/>
      <c r="CH272" s="18"/>
      <c r="CI272" s="18"/>
      <c r="CJ272" s="18"/>
      <c r="CK272" s="18"/>
      <c r="CL272" s="18"/>
      <c r="CM272" s="18"/>
      <c r="CN272" s="18"/>
      <c r="CO272" s="18"/>
      <c r="CP272" s="18"/>
      <c r="CQ272" s="18"/>
      <c r="CR272" s="18"/>
      <c r="CS272" s="18"/>
      <c r="CT272" s="18"/>
      <c r="CU272" s="18"/>
      <c r="CV272" s="18"/>
      <c r="CW272" s="18"/>
      <c r="CX272" s="18"/>
      <c r="CY272" s="37"/>
      <c r="CZ272" s="38"/>
      <c r="DA272" s="18"/>
      <c r="DB272" s="37">
        <v>44242</v>
      </c>
      <c r="DC272" s="38">
        <v>16.235399999999998</v>
      </c>
      <c r="DD272" s="18"/>
      <c r="DE272" s="37">
        <v>44242</v>
      </c>
      <c r="DF272" s="38">
        <v>14.4282</v>
      </c>
      <c r="DG272" s="18"/>
      <c r="DH272" s="37">
        <v>44242</v>
      </c>
      <c r="DI272" s="38">
        <v>20.126300000000001</v>
      </c>
      <c r="DJ272" s="18"/>
      <c r="DK272" s="37">
        <v>44242</v>
      </c>
      <c r="DL272" s="38">
        <v>0.13669999999999999</v>
      </c>
      <c r="DM272" s="18"/>
      <c r="DN272" s="18"/>
      <c r="DO272" s="18"/>
      <c r="DP272" s="18"/>
      <c r="DQ272" s="18"/>
      <c r="DR272" s="18"/>
      <c r="DS272" s="18"/>
      <c r="DT272" s="18"/>
      <c r="DU272" s="18"/>
      <c r="DV272" s="18"/>
      <c r="DW272" s="18"/>
      <c r="DX272" s="18"/>
      <c r="DY272" s="18"/>
      <c r="DZ272" s="18"/>
    </row>
    <row r="273" spans="1:130" x14ac:dyDescent="0.3">
      <c r="A273" s="18"/>
      <c r="B273" s="18"/>
      <c r="C273" s="18"/>
      <c r="D273" s="18"/>
      <c r="E273" s="18"/>
      <c r="F273" s="18"/>
      <c r="G273" s="18"/>
      <c r="H273" s="18"/>
      <c r="I273" s="18"/>
      <c r="J273" s="18"/>
      <c r="K273" s="18"/>
      <c r="L273" s="18"/>
      <c r="M273" s="18"/>
      <c r="N273" s="17"/>
      <c r="O273" s="17"/>
      <c r="P273" s="17"/>
      <c r="Q273" s="17"/>
      <c r="R273" s="17"/>
      <c r="S273" s="17"/>
      <c r="T273" s="17"/>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7"/>
      <c r="BT273" s="17"/>
      <c r="BU273" s="17"/>
      <c r="BV273" s="17"/>
      <c r="BW273" s="17"/>
      <c r="BX273" s="18"/>
      <c r="BY273" s="18"/>
      <c r="BZ273" s="18"/>
      <c r="CA273" s="18"/>
      <c r="CB273" s="17"/>
      <c r="CC273" s="17"/>
      <c r="CD273" s="17"/>
      <c r="CE273" s="18"/>
      <c r="CF273" s="18"/>
      <c r="CG273" s="18"/>
      <c r="CH273" s="18"/>
      <c r="CI273" s="18"/>
      <c r="CJ273" s="18"/>
      <c r="CK273" s="18"/>
      <c r="CL273" s="18"/>
      <c r="CM273" s="18"/>
      <c r="CN273" s="18"/>
      <c r="CO273" s="18"/>
      <c r="CP273" s="18"/>
      <c r="CQ273" s="18"/>
      <c r="CR273" s="18"/>
      <c r="CS273" s="18"/>
      <c r="CT273" s="18"/>
      <c r="CU273" s="18"/>
      <c r="CV273" s="18"/>
      <c r="CW273" s="18"/>
      <c r="CX273" s="18"/>
      <c r="CY273" s="37"/>
      <c r="CZ273" s="38"/>
      <c r="DA273" s="18"/>
      <c r="DB273" s="37">
        <v>44243</v>
      </c>
      <c r="DC273" s="38">
        <v>16.446899999999999</v>
      </c>
      <c r="DD273" s="18"/>
      <c r="DE273" s="37">
        <v>44243</v>
      </c>
      <c r="DF273" s="38">
        <v>14.6861</v>
      </c>
      <c r="DG273" s="18"/>
      <c r="DH273" s="37">
        <v>44243</v>
      </c>
      <c r="DI273" s="38">
        <v>20.3917</v>
      </c>
      <c r="DJ273" s="18"/>
      <c r="DK273" s="37">
        <v>44243</v>
      </c>
      <c r="DL273" s="38">
        <v>0.1386</v>
      </c>
      <c r="DM273" s="18"/>
      <c r="DN273" s="18"/>
      <c r="DO273" s="18"/>
      <c r="DP273" s="18"/>
      <c r="DQ273" s="18"/>
      <c r="DR273" s="18"/>
      <c r="DS273" s="18"/>
      <c r="DT273" s="18"/>
      <c r="DU273" s="18"/>
      <c r="DV273" s="18"/>
      <c r="DW273" s="18"/>
      <c r="DX273" s="18"/>
      <c r="DY273" s="18"/>
      <c r="DZ273" s="18"/>
    </row>
    <row r="274" spans="1:130" x14ac:dyDescent="0.3">
      <c r="A274" s="18"/>
      <c r="B274" s="18"/>
      <c r="C274" s="18"/>
      <c r="D274" s="18"/>
      <c r="E274" s="18"/>
      <c r="F274" s="18"/>
      <c r="G274" s="18"/>
      <c r="H274" s="18"/>
      <c r="I274" s="18"/>
      <c r="J274" s="18"/>
      <c r="K274" s="18"/>
      <c r="L274" s="18"/>
      <c r="M274" s="18"/>
      <c r="N274" s="17"/>
      <c r="O274" s="17"/>
      <c r="P274" s="17"/>
      <c r="Q274" s="17"/>
      <c r="R274" s="17"/>
      <c r="S274" s="17"/>
      <c r="T274" s="17"/>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7"/>
      <c r="BT274" s="17"/>
      <c r="BU274" s="17"/>
      <c r="BV274" s="17"/>
      <c r="BW274" s="17"/>
      <c r="BX274" s="18"/>
      <c r="BY274" s="18"/>
      <c r="BZ274" s="18"/>
      <c r="CA274" s="18"/>
      <c r="CB274" s="17"/>
      <c r="CC274" s="17"/>
      <c r="CD274" s="17"/>
      <c r="CE274" s="18"/>
      <c r="CF274" s="18"/>
      <c r="CG274" s="18"/>
      <c r="CH274" s="18"/>
      <c r="CI274" s="18"/>
      <c r="CJ274" s="18"/>
      <c r="CK274" s="18"/>
      <c r="CL274" s="18"/>
      <c r="CM274" s="18"/>
      <c r="CN274" s="18"/>
      <c r="CO274" s="18"/>
      <c r="CP274" s="18"/>
      <c r="CQ274" s="18"/>
      <c r="CR274" s="18"/>
      <c r="CS274" s="18"/>
      <c r="CT274" s="18"/>
      <c r="CU274" s="18"/>
      <c r="CV274" s="18"/>
      <c r="CW274" s="18"/>
      <c r="CX274" s="18"/>
      <c r="CY274" s="37"/>
      <c r="CZ274" s="38"/>
      <c r="DA274" s="18"/>
      <c r="DB274" s="37">
        <v>44244</v>
      </c>
      <c r="DC274" s="38">
        <v>16.266200000000001</v>
      </c>
      <c r="DD274" s="18"/>
      <c r="DE274" s="37">
        <v>44244</v>
      </c>
      <c r="DF274" s="38">
        <v>14.6174</v>
      </c>
      <c r="DG274" s="18"/>
      <c r="DH274" s="37">
        <v>44244</v>
      </c>
      <c r="DI274" s="38">
        <v>20.263500000000001</v>
      </c>
      <c r="DJ274" s="18"/>
      <c r="DK274" s="37">
        <v>44244</v>
      </c>
      <c r="DL274" s="38">
        <v>0.1381</v>
      </c>
      <c r="DM274" s="18"/>
      <c r="DN274" s="18"/>
      <c r="DO274" s="18"/>
      <c r="DP274" s="18"/>
      <c r="DQ274" s="18"/>
      <c r="DR274" s="18"/>
      <c r="DS274" s="18"/>
      <c r="DT274" s="18"/>
      <c r="DU274" s="18"/>
      <c r="DV274" s="18"/>
      <c r="DW274" s="18"/>
      <c r="DX274" s="18"/>
      <c r="DY274" s="18"/>
      <c r="DZ274" s="18"/>
    </row>
    <row r="275" spans="1:130" x14ac:dyDescent="0.3">
      <c r="A275" s="18"/>
      <c r="B275" s="18"/>
      <c r="C275" s="18"/>
      <c r="D275" s="18"/>
      <c r="E275" s="18"/>
      <c r="F275" s="18"/>
      <c r="G275" s="18"/>
      <c r="H275" s="18"/>
      <c r="I275" s="18"/>
      <c r="J275" s="18"/>
      <c r="K275" s="18"/>
      <c r="L275" s="18"/>
      <c r="M275" s="18"/>
      <c r="N275" s="17"/>
      <c r="O275" s="17"/>
      <c r="P275" s="17"/>
      <c r="Q275" s="17"/>
      <c r="R275" s="17"/>
      <c r="S275" s="17"/>
      <c r="T275" s="17"/>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7"/>
      <c r="BT275" s="17"/>
      <c r="BU275" s="17"/>
      <c r="BV275" s="17"/>
      <c r="BW275" s="17"/>
      <c r="BX275" s="18"/>
      <c r="BY275" s="18"/>
      <c r="BZ275" s="18"/>
      <c r="CA275" s="18"/>
      <c r="CB275" s="17"/>
      <c r="CC275" s="17"/>
      <c r="CD275" s="17"/>
      <c r="CE275" s="18"/>
      <c r="CF275" s="18"/>
      <c r="CG275" s="18"/>
      <c r="CH275" s="18"/>
      <c r="CI275" s="18"/>
      <c r="CJ275" s="18"/>
      <c r="CK275" s="18"/>
      <c r="CL275" s="18"/>
      <c r="CM275" s="18"/>
      <c r="CN275" s="18"/>
      <c r="CO275" s="18"/>
      <c r="CP275" s="18"/>
      <c r="CQ275" s="18"/>
      <c r="CR275" s="18"/>
      <c r="CS275" s="18"/>
      <c r="CT275" s="18"/>
      <c r="CU275" s="18"/>
      <c r="CV275" s="18"/>
      <c r="CW275" s="18"/>
      <c r="CX275" s="18"/>
      <c r="CY275" s="37"/>
      <c r="CZ275" s="38"/>
      <c r="DA275" s="18"/>
      <c r="DB275" s="37">
        <v>44245</v>
      </c>
      <c r="DC275" s="38">
        <v>16.3111</v>
      </c>
      <c r="DD275" s="18"/>
      <c r="DE275" s="37">
        <v>44245</v>
      </c>
      <c r="DF275" s="38">
        <v>14.624000000000001</v>
      </c>
      <c r="DG275" s="18"/>
      <c r="DH275" s="37">
        <v>44245</v>
      </c>
      <c r="DI275" s="38">
        <v>20.408100000000001</v>
      </c>
      <c r="DJ275" s="18"/>
      <c r="DK275" s="37">
        <v>44245</v>
      </c>
      <c r="DL275" s="38">
        <v>0.1384</v>
      </c>
      <c r="DM275" s="18"/>
      <c r="DN275" s="18"/>
      <c r="DO275" s="18"/>
      <c r="DP275" s="18"/>
      <c r="DQ275" s="18"/>
      <c r="DR275" s="18"/>
      <c r="DS275" s="18"/>
      <c r="DT275" s="18"/>
      <c r="DU275" s="18"/>
      <c r="DV275" s="18"/>
      <c r="DW275" s="18"/>
      <c r="DX275" s="18"/>
      <c r="DY275" s="18"/>
      <c r="DZ275" s="18"/>
    </row>
    <row r="276" spans="1:130" x14ac:dyDescent="0.3">
      <c r="A276" s="18"/>
      <c r="B276" s="18"/>
      <c r="C276" s="18"/>
      <c r="D276" s="18"/>
      <c r="E276" s="18"/>
      <c r="F276" s="18"/>
      <c r="G276" s="18"/>
      <c r="H276" s="18"/>
      <c r="I276" s="18"/>
      <c r="J276" s="18"/>
      <c r="K276" s="18"/>
      <c r="L276" s="18"/>
      <c r="M276" s="18"/>
      <c r="N276" s="17"/>
      <c r="O276" s="17"/>
      <c r="P276" s="17"/>
      <c r="Q276" s="17"/>
      <c r="R276" s="17"/>
      <c r="S276" s="17"/>
      <c r="T276" s="17"/>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7"/>
      <c r="BT276" s="17"/>
      <c r="BU276" s="17"/>
      <c r="BV276" s="17"/>
      <c r="BW276" s="17"/>
      <c r="BX276" s="18"/>
      <c r="BY276" s="18"/>
      <c r="BZ276" s="18"/>
      <c r="CA276" s="18"/>
      <c r="CB276" s="17"/>
      <c r="CC276" s="17"/>
      <c r="CD276" s="17"/>
      <c r="CE276" s="18"/>
      <c r="CF276" s="18"/>
      <c r="CG276" s="18"/>
      <c r="CH276" s="18"/>
      <c r="CI276" s="18"/>
      <c r="CJ276" s="18"/>
      <c r="CK276" s="18"/>
      <c r="CL276" s="18"/>
      <c r="CM276" s="18"/>
      <c r="CN276" s="18"/>
      <c r="CO276" s="18"/>
      <c r="CP276" s="18"/>
      <c r="CQ276" s="18"/>
      <c r="CR276" s="18"/>
      <c r="CS276" s="18"/>
      <c r="CT276" s="18"/>
      <c r="CU276" s="18"/>
      <c r="CV276" s="18"/>
      <c r="CW276" s="18"/>
      <c r="CX276" s="18"/>
      <c r="CY276" s="37"/>
      <c r="CZ276" s="38"/>
      <c r="DA276" s="18"/>
      <c r="DB276" s="37">
        <v>44246</v>
      </c>
      <c r="DC276" s="38">
        <v>16.3964</v>
      </c>
      <c r="DD276" s="18"/>
      <c r="DE276" s="37">
        <v>44246</v>
      </c>
      <c r="DF276" s="38">
        <v>14.6943</v>
      </c>
      <c r="DG276" s="18"/>
      <c r="DH276" s="37">
        <v>44246</v>
      </c>
      <c r="DI276" s="38">
        <v>20.590699999999998</v>
      </c>
      <c r="DJ276" s="18"/>
      <c r="DK276" s="37">
        <v>44246</v>
      </c>
      <c r="DL276" s="38">
        <v>0.1394</v>
      </c>
      <c r="DM276" s="18"/>
      <c r="DN276" s="18"/>
      <c r="DO276" s="18"/>
      <c r="DP276" s="18"/>
      <c r="DQ276" s="18"/>
      <c r="DR276" s="18"/>
      <c r="DS276" s="18"/>
      <c r="DT276" s="18"/>
      <c r="DU276" s="18"/>
      <c r="DV276" s="18"/>
      <c r="DW276" s="18"/>
      <c r="DX276" s="18"/>
      <c r="DY276" s="18"/>
      <c r="DZ276" s="18"/>
    </row>
    <row r="277" spans="1:130" x14ac:dyDescent="0.3">
      <c r="A277" s="18"/>
      <c r="B277" s="18"/>
      <c r="C277" s="18"/>
      <c r="D277" s="18"/>
      <c r="E277" s="18"/>
      <c r="F277" s="18"/>
      <c r="G277" s="18"/>
      <c r="H277" s="18"/>
      <c r="I277" s="18"/>
      <c r="J277" s="18"/>
      <c r="K277" s="18"/>
      <c r="L277" s="18"/>
      <c r="M277" s="18"/>
      <c r="N277" s="17"/>
      <c r="O277" s="17"/>
      <c r="P277" s="17"/>
      <c r="Q277" s="17"/>
      <c r="R277" s="17"/>
      <c r="S277" s="17"/>
      <c r="T277" s="17"/>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7"/>
      <c r="BT277" s="17"/>
      <c r="BU277" s="17"/>
      <c r="BV277" s="17"/>
      <c r="BW277" s="17"/>
      <c r="BX277" s="18"/>
      <c r="BY277" s="18"/>
      <c r="BZ277" s="18"/>
      <c r="CA277" s="18"/>
      <c r="CB277" s="17"/>
      <c r="CC277" s="17"/>
      <c r="CD277" s="17"/>
      <c r="CE277" s="18"/>
      <c r="CF277" s="18"/>
      <c r="CG277" s="18"/>
      <c r="CH277" s="18"/>
      <c r="CI277" s="18"/>
      <c r="CJ277" s="18"/>
      <c r="CK277" s="18"/>
      <c r="CL277" s="18"/>
      <c r="CM277" s="18"/>
      <c r="CN277" s="18"/>
      <c r="CO277" s="18"/>
      <c r="CP277" s="18"/>
      <c r="CQ277" s="18"/>
      <c r="CR277" s="18"/>
      <c r="CS277" s="18"/>
      <c r="CT277" s="18"/>
      <c r="CU277" s="18"/>
      <c r="CV277" s="18"/>
      <c r="CW277" s="18"/>
      <c r="CX277" s="18"/>
      <c r="CY277" s="37"/>
      <c r="CZ277" s="38"/>
      <c r="DA277" s="18"/>
      <c r="DB277" s="37">
        <v>44249</v>
      </c>
      <c r="DC277" s="38">
        <v>16.345700000000001</v>
      </c>
      <c r="DD277" s="18"/>
      <c r="DE277" s="37">
        <v>44249</v>
      </c>
      <c r="DF277" s="38">
        <v>14.635199999999999</v>
      </c>
      <c r="DG277" s="18"/>
      <c r="DH277" s="37">
        <v>44249</v>
      </c>
      <c r="DI277" s="38">
        <v>20.601299999999998</v>
      </c>
      <c r="DJ277" s="18"/>
      <c r="DK277" s="37">
        <v>44249</v>
      </c>
      <c r="DL277" s="38">
        <v>0.1394</v>
      </c>
      <c r="DM277" s="18"/>
      <c r="DN277" s="18"/>
      <c r="DO277" s="18"/>
      <c r="DP277" s="18"/>
      <c r="DQ277" s="18"/>
      <c r="DR277" s="18"/>
      <c r="DS277" s="18"/>
      <c r="DT277" s="18"/>
      <c r="DU277" s="18"/>
      <c r="DV277" s="18"/>
      <c r="DW277" s="18"/>
      <c r="DX277" s="18"/>
      <c r="DY277" s="18"/>
      <c r="DZ277" s="18"/>
    </row>
    <row r="278" spans="1:130" x14ac:dyDescent="0.3">
      <c r="A278" s="18"/>
      <c r="B278" s="18"/>
      <c r="C278" s="18"/>
      <c r="D278" s="18"/>
      <c r="E278" s="18"/>
      <c r="F278" s="18"/>
      <c r="G278" s="18"/>
      <c r="H278" s="18"/>
      <c r="I278" s="18"/>
      <c r="J278" s="18"/>
      <c r="K278" s="18"/>
      <c r="L278" s="18"/>
      <c r="M278" s="18"/>
      <c r="N278" s="17"/>
      <c r="O278" s="17"/>
      <c r="P278" s="17"/>
      <c r="Q278" s="17"/>
      <c r="R278" s="17"/>
      <c r="S278" s="17"/>
      <c r="T278" s="17"/>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7"/>
      <c r="BT278" s="17"/>
      <c r="BU278" s="17"/>
      <c r="BV278" s="17"/>
      <c r="BW278" s="17"/>
      <c r="BX278" s="18"/>
      <c r="BY278" s="18"/>
      <c r="BZ278" s="18"/>
      <c r="CA278" s="18"/>
      <c r="CB278" s="17"/>
      <c r="CC278" s="17"/>
      <c r="CD278" s="17"/>
      <c r="CE278" s="18"/>
      <c r="CF278" s="18"/>
      <c r="CG278" s="18"/>
      <c r="CH278" s="18"/>
      <c r="CI278" s="18"/>
      <c r="CJ278" s="18"/>
      <c r="CK278" s="18"/>
      <c r="CL278" s="18"/>
      <c r="CM278" s="18"/>
      <c r="CN278" s="18"/>
      <c r="CO278" s="18"/>
      <c r="CP278" s="18"/>
      <c r="CQ278" s="18"/>
      <c r="CR278" s="18"/>
      <c r="CS278" s="18"/>
      <c r="CT278" s="18"/>
      <c r="CU278" s="18"/>
      <c r="CV278" s="18"/>
      <c r="CW278" s="18"/>
      <c r="CX278" s="18"/>
      <c r="CY278" s="37"/>
      <c r="CZ278" s="38"/>
      <c r="DA278" s="18"/>
      <c r="DB278" s="37">
        <v>44250</v>
      </c>
      <c r="DC278" s="38">
        <v>16.065100000000001</v>
      </c>
      <c r="DD278" s="18"/>
      <c r="DE278" s="37">
        <v>44250</v>
      </c>
      <c r="DF278" s="38">
        <v>14.552300000000001</v>
      </c>
      <c r="DG278" s="18"/>
      <c r="DH278" s="37">
        <v>44250</v>
      </c>
      <c r="DI278" s="38">
        <v>20.620200000000001</v>
      </c>
      <c r="DJ278" s="18"/>
      <c r="DK278" s="37">
        <v>44250</v>
      </c>
      <c r="DL278" s="38">
        <v>0.13789999999999999</v>
      </c>
      <c r="DM278" s="18"/>
      <c r="DN278" s="18"/>
      <c r="DO278" s="18"/>
      <c r="DP278" s="18"/>
      <c r="DQ278" s="18"/>
      <c r="DR278" s="18"/>
      <c r="DS278" s="18"/>
      <c r="DT278" s="18"/>
      <c r="DU278" s="18"/>
      <c r="DV278" s="18"/>
      <c r="DW278" s="18"/>
      <c r="DX278" s="18"/>
      <c r="DY278" s="18"/>
      <c r="DZ278" s="18"/>
    </row>
    <row r="279" spans="1:130" x14ac:dyDescent="0.3">
      <c r="A279" s="18"/>
      <c r="B279" s="18"/>
      <c r="C279" s="18"/>
      <c r="D279" s="18"/>
      <c r="E279" s="18"/>
      <c r="F279" s="18"/>
      <c r="G279" s="18"/>
      <c r="H279" s="18"/>
      <c r="I279" s="18"/>
      <c r="J279" s="18"/>
      <c r="K279" s="18"/>
      <c r="L279" s="18"/>
      <c r="M279" s="18"/>
      <c r="N279" s="17"/>
      <c r="O279" s="17"/>
      <c r="P279" s="17"/>
      <c r="Q279" s="17"/>
      <c r="R279" s="17"/>
      <c r="S279" s="17"/>
      <c r="T279" s="17"/>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7"/>
      <c r="BT279" s="17"/>
      <c r="BU279" s="17"/>
      <c r="BV279" s="17"/>
      <c r="BW279" s="17"/>
      <c r="BX279" s="18"/>
      <c r="BY279" s="18"/>
      <c r="BZ279" s="18"/>
      <c r="CA279" s="18"/>
      <c r="CB279" s="17"/>
      <c r="CC279" s="17"/>
      <c r="CD279" s="17"/>
      <c r="CE279" s="18"/>
      <c r="CF279" s="18"/>
      <c r="CG279" s="18"/>
      <c r="CH279" s="18"/>
      <c r="CI279" s="18"/>
      <c r="CJ279" s="18"/>
      <c r="CK279" s="18"/>
      <c r="CL279" s="18"/>
      <c r="CM279" s="18"/>
      <c r="CN279" s="18"/>
      <c r="CO279" s="18"/>
      <c r="CP279" s="18"/>
      <c r="CQ279" s="18"/>
      <c r="CR279" s="18"/>
      <c r="CS279" s="18"/>
      <c r="CT279" s="18"/>
      <c r="CU279" s="18"/>
      <c r="CV279" s="18"/>
      <c r="CW279" s="18"/>
      <c r="CX279" s="18"/>
      <c r="CY279" s="37"/>
      <c r="CZ279" s="38"/>
      <c r="DA279" s="18"/>
      <c r="DB279" s="37">
        <v>44251</v>
      </c>
      <c r="DC279" s="38">
        <v>16.013999999999999</v>
      </c>
      <c r="DD279" s="18"/>
      <c r="DE279" s="37">
        <v>44251</v>
      </c>
      <c r="DF279" s="38">
        <v>14.519500000000001</v>
      </c>
      <c r="DG279" s="18"/>
      <c r="DH279" s="37">
        <v>44251</v>
      </c>
      <c r="DI279" s="38">
        <v>20.526599999999998</v>
      </c>
      <c r="DJ279" s="18"/>
      <c r="DK279" s="37">
        <v>44251</v>
      </c>
      <c r="DL279" s="38">
        <v>0.13689999999999999</v>
      </c>
      <c r="DM279" s="18"/>
      <c r="DN279" s="18"/>
      <c r="DO279" s="18"/>
      <c r="DP279" s="18"/>
      <c r="DQ279" s="18"/>
      <c r="DR279" s="18"/>
      <c r="DS279" s="18"/>
      <c r="DT279" s="18"/>
      <c r="DU279" s="18"/>
      <c r="DV279" s="18"/>
      <c r="DW279" s="18"/>
      <c r="DX279" s="18"/>
      <c r="DY279" s="18"/>
      <c r="DZ279" s="18"/>
    </row>
    <row r="280" spans="1:130" x14ac:dyDescent="0.3">
      <c r="A280" s="18"/>
      <c r="B280" s="18"/>
      <c r="C280" s="18"/>
      <c r="D280" s="18"/>
      <c r="E280" s="18"/>
      <c r="F280" s="18"/>
      <c r="G280" s="18"/>
      <c r="H280" s="18"/>
      <c r="I280" s="18"/>
      <c r="J280" s="18"/>
      <c r="K280" s="18"/>
      <c r="L280" s="18"/>
      <c r="M280" s="18"/>
      <c r="N280" s="17"/>
      <c r="O280" s="17"/>
      <c r="P280" s="17"/>
      <c r="Q280" s="17"/>
      <c r="R280" s="17"/>
      <c r="S280" s="17"/>
      <c r="T280" s="17"/>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7"/>
      <c r="BT280" s="17"/>
      <c r="BU280" s="17"/>
      <c r="BV280" s="17"/>
      <c r="BW280" s="17"/>
      <c r="BX280" s="18"/>
      <c r="BY280" s="18"/>
      <c r="BZ280" s="18"/>
      <c r="CA280" s="18"/>
      <c r="CB280" s="17"/>
      <c r="CC280" s="17"/>
      <c r="CD280" s="17"/>
      <c r="CE280" s="18"/>
      <c r="CF280" s="18"/>
      <c r="CG280" s="18"/>
      <c r="CH280" s="18"/>
      <c r="CI280" s="18"/>
      <c r="CJ280" s="18"/>
      <c r="CK280" s="18"/>
      <c r="CL280" s="18"/>
      <c r="CM280" s="18"/>
      <c r="CN280" s="18"/>
      <c r="CO280" s="18"/>
      <c r="CP280" s="18"/>
      <c r="CQ280" s="18"/>
      <c r="CR280" s="18"/>
      <c r="CS280" s="18"/>
      <c r="CT280" s="18"/>
      <c r="CU280" s="18"/>
      <c r="CV280" s="18"/>
      <c r="CW280" s="18"/>
      <c r="CX280" s="18"/>
      <c r="CY280" s="37"/>
      <c r="CZ280" s="38"/>
      <c r="DA280" s="18"/>
      <c r="DB280" s="37">
        <v>44252</v>
      </c>
      <c r="DC280" s="38">
        <v>16.5777</v>
      </c>
      <c r="DD280" s="18"/>
      <c r="DE280" s="37">
        <v>44252</v>
      </c>
      <c r="DF280" s="38">
        <v>14.996</v>
      </c>
      <c r="DG280" s="18"/>
      <c r="DH280" s="37">
        <v>44252</v>
      </c>
      <c r="DI280" s="38">
        <v>21.014099999999999</v>
      </c>
      <c r="DJ280" s="18"/>
      <c r="DK280" s="37">
        <v>44252</v>
      </c>
      <c r="DL280" s="38">
        <v>0.14149999999999999</v>
      </c>
      <c r="DM280" s="18"/>
      <c r="DN280" s="18"/>
      <c r="DO280" s="18"/>
      <c r="DP280" s="18"/>
      <c r="DQ280" s="18"/>
      <c r="DR280" s="18"/>
      <c r="DS280" s="18"/>
      <c r="DT280" s="18"/>
      <c r="DU280" s="18"/>
      <c r="DV280" s="18"/>
      <c r="DW280" s="18"/>
      <c r="DX280" s="18"/>
      <c r="DY280" s="18"/>
      <c r="DZ280" s="18"/>
    </row>
    <row r="281" spans="1:130" x14ac:dyDescent="0.3">
      <c r="A281" s="18"/>
      <c r="B281" s="18"/>
      <c r="C281" s="18"/>
      <c r="D281" s="18"/>
      <c r="E281" s="18"/>
      <c r="F281" s="18"/>
      <c r="G281" s="18"/>
      <c r="H281" s="18"/>
      <c r="I281" s="18"/>
      <c r="J281" s="18"/>
      <c r="K281" s="18"/>
      <c r="L281" s="18"/>
      <c r="M281" s="18"/>
      <c r="N281" s="17"/>
      <c r="O281" s="17"/>
      <c r="P281" s="17"/>
      <c r="Q281" s="17"/>
      <c r="R281" s="17"/>
      <c r="S281" s="17"/>
      <c r="T281" s="17"/>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7"/>
      <c r="BT281" s="17"/>
      <c r="BU281" s="17"/>
      <c r="BV281" s="17"/>
      <c r="BW281" s="17"/>
      <c r="BX281" s="18"/>
      <c r="BY281" s="18"/>
      <c r="BZ281" s="18"/>
      <c r="CA281" s="18"/>
      <c r="CB281" s="17"/>
      <c r="CC281" s="17"/>
      <c r="CD281" s="17"/>
      <c r="CE281" s="18"/>
      <c r="CF281" s="18"/>
      <c r="CG281" s="18"/>
      <c r="CH281" s="18"/>
      <c r="CI281" s="18"/>
      <c r="CJ281" s="18"/>
      <c r="CK281" s="18"/>
      <c r="CL281" s="18"/>
      <c r="CM281" s="18"/>
      <c r="CN281" s="18"/>
      <c r="CO281" s="18"/>
      <c r="CP281" s="18"/>
      <c r="CQ281" s="18"/>
      <c r="CR281" s="18"/>
      <c r="CS281" s="18"/>
      <c r="CT281" s="18"/>
      <c r="CU281" s="18"/>
      <c r="CV281" s="18"/>
      <c r="CW281" s="18"/>
      <c r="CX281" s="18"/>
      <c r="CY281" s="37"/>
      <c r="CZ281" s="38"/>
      <c r="DA281" s="18"/>
      <c r="DB281" s="37">
        <v>44253</v>
      </c>
      <c r="DC281" s="38">
        <v>16.6403</v>
      </c>
      <c r="DD281" s="18"/>
      <c r="DE281" s="37">
        <v>44253</v>
      </c>
      <c r="DF281" s="38">
        <v>15.1204</v>
      </c>
      <c r="DG281" s="18"/>
      <c r="DH281" s="37">
        <v>44253</v>
      </c>
      <c r="DI281" s="38">
        <v>21.041699999999999</v>
      </c>
      <c r="DJ281" s="18"/>
      <c r="DK281" s="37">
        <v>44253</v>
      </c>
      <c r="DL281" s="38">
        <v>0.1419</v>
      </c>
      <c r="DM281" s="18"/>
      <c r="DN281" s="18"/>
      <c r="DO281" s="18"/>
      <c r="DP281" s="18"/>
      <c r="DQ281" s="18"/>
      <c r="DR281" s="18"/>
      <c r="DS281" s="18"/>
      <c r="DT281" s="18"/>
      <c r="DU281" s="18"/>
      <c r="DV281" s="18"/>
      <c r="DW281" s="18"/>
      <c r="DX281" s="18"/>
      <c r="DY281" s="18"/>
      <c r="DZ281" s="18"/>
    </row>
    <row r="282" spans="1:130" x14ac:dyDescent="0.3">
      <c r="A282" s="18"/>
      <c r="B282" s="18"/>
      <c r="C282" s="18"/>
      <c r="D282" s="18"/>
      <c r="E282" s="18"/>
      <c r="F282" s="18"/>
      <c r="G282" s="18"/>
      <c r="H282" s="18"/>
      <c r="I282" s="18"/>
      <c r="J282" s="18"/>
      <c r="K282" s="18"/>
      <c r="L282" s="18"/>
      <c r="M282" s="18"/>
      <c r="N282" s="17"/>
      <c r="O282" s="17"/>
      <c r="P282" s="17"/>
      <c r="Q282" s="17"/>
      <c r="R282" s="17"/>
      <c r="S282" s="17"/>
      <c r="T282" s="17"/>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7"/>
      <c r="BT282" s="17"/>
      <c r="BU282" s="17"/>
      <c r="BV282" s="17"/>
      <c r="BW282" s="17"/>
      <c r="BX282" s="18"/>
      <c r="BY282" s="18"/>
      <c r="BZ282" s="18"/>
      <c r="CA282" s="18"/>
      <c r="CB282" s="17"/>
      <c r="CC282" s="17"/>
      <c r="CD282" s="17"/>
      <c r="CE282" s="18"/>
      <c r="CF282" s="18"/>
      <c r="CG282" s="18"/>
      <c r="CH282" s="18"/>
      <c r="CI282" s="18"/>
      <c r="CJ282" s="18"/>
      <c r="CK282" s="18"/>
      <c r="CL282" s="18"/>
      <c r="CM282" s="18"/>
      <c r="CN282" s="18"/>
      <c r="CO282" s="18"/>
      <c r="CP282" s="18"/>
      <c r="CQ282" s="18"/>
      <c r="CR282" s="18"/>
      <c r="CS282" s="18"/>
      <c r="CT282" s="18"/>
      <c r="CU282" s="18"/>
      <c r="CV282" s="18"/>
      <c r="CW282" s="18"/>
      <c r="CX282" s="18"/>
      <c r="CY282" s="37"/>
      <c r="CZ282" s="38"/>
      <c r="DA282" s="18"/>
      <c r="DB282" s="37">
        <v>44256</v>
      </c>
      <c r="DC282" s="38">
        <v>16.440100000000001</v>
      </c>
      <c r="DD282" s="18"/>
      <c r="DE282" s="37">
        <v>44256</v>
      </c>
      <c r="DF282" s="38">
        <v>15.054500000000001</v>
      </c>
      <c r="DG282" s="18"/>
      <c r="DH282" s="37">
        <v>44256</v>
      </c>
      <c r="DI282" s="38">
        <v>20.903300000000002</v>
      </c>
      <c r="DJ282" s="18"/>
      <c r="DK282" s="37">
        <v>44256</v>
      </c>
      <c r="DL282" s="38">
        <v>0.1411</v>
      </c>
      <c r="DM282" s="18"/>
      <c r="DN282" s="18"/>
      <c r="DO282" s="18"/>
      <c r="DP282" s="18"/>
      <c r="DQ282" s="18"/>
      <c r="DR282" s="18"/>
      <c r="DS282" s="18"/>
      <c r="DT282" s="18"/>
      <c r="DU282" s="18"/>
      <c r="DV282" s="18"/>
      <c r="DW282" s="18"/>
      <c r="DX282" s="18"/>
      <c r="DY282" s="18"/>
      <c r="DZ282" s="18"/>
    </row>
    <row r="283" spans="1:130" x14ac:dyDescent="0.3">
      <c r="A283" s="18"/>
      <c r="B283" s="18"/>
      <c r="C283" s="18"/>
      <c r="D283" s="18"/>
      <c r="E283" s="18"/>
      <c r="F283" s="18"/>
      <c r="G283" s="18"/>
      <c r="H283" s="18"/>
      <c r="I283" s="18"/>
      <c r="J283" s="18"/>
      <c r="K283" s="18"/>
      <c r="L283" s="18"/>
      <c r="M283" s="18"/>
      <c r="N283" s="17"/>
      <c r="O283" s="17"/>
      <c r="P283" s="17"/>
      <c r="Q283" s="17"/>
      <c r="R283" s="17"/>
      <c r="S283" s="17"/>
      <c r="T283" s="17"/>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7"/>
      <c r="BT283" s="17"/>
      <c r="BU283" s="17"/>
      <c r="BV283" s="17"/>
      <c r="BW283" s="17"/>
      <c r="BX283" s="18"/>
      <c r="BY283" s="18"/>
      <c r="BZ283" s="18"/>
      <c r="CA283" s="18"/>
      <c r="CB283" s="17"/>
      <c r="CC283" s="17"/>
      <c r="CD283" s="17"/>
      <c r="CE283" s="18"/>
      <c r="CF283" s="18"/>
      <c r="CG283" s="18"/>
      <c r="CH283" s="18"/>
      <c r="CI283" s="18"/>
      <c r="CJ283" s="18"/>
      <c r="CK283" s="18"/>
      <c r="CL283" s="18"/>
      <c r="CM283" s="18"/>
      <c r="CN283" s="18"/>
      <c r="CO283" s="18"/>
      <c r="CP283" s="18"/>
      <c r="CQ283" s="18"/>
      <c r="CR283" s="18"/>
      <c r="CS283" s="18"/>
      <c r="CT283" s="18"/>
      <c r="CU283" s="18"/>
      <c r="CV283" s="18"/>
      <c r="CW283" s="18"/>
      <c r="CX283" s="18"/>
      <c r="CY283" s="37"/>
      <c r="CZ283" s="38"/>
      <c r="DA283" s="18"/>
      <c r="DB283" s="37">
        <v>44257</v>
      </c>
      <c r="DC283" s="38">
        <v>16.322399999999998</v>
      </c>
      <c r="DD283" s="18"/>
      <c r="DE283" s="37">
        <v>44257</v>
      </c>
      <c r="DF283" s="38">
        <v>14.941599999999999</v>
      </c>
      <c r="DG283" s="18"/>
      <c r="DH283" s="37">
        <v>44257</v>
      </c>
      <c r="DI283" s="38">
        <v>20.856999999999999</v>
      </c>
      <c r="DJ283" s="18"/>
      <c r="DK283" s="37">
        <v>44257</v>
      </c>
      <c r="DL283" s="38">
        <v>0.13980000000000001</v>
      </c>
      <c r="DM283" s="18"/>
      <c r="DN283" s="18"/>
      <c r="DO283" s="18"/>
      <c r="DP283" s="18"/>
      <c r="DQ283" s="18"/>
      <c r="DR283" s="18"/>
      <c r="DS283" s="18"/>
      <c r="DT283" s="18"/>
      <c r="DU283" s="18"/>
      <c r="DV283" s="18"/>
      <c r="DW283" s="18"/>
      <c r="DX283" s="18"/>
      <c r="DY283" s="18"/>
      <c r="DZ283" s="18"/>
    </row>
    <row r="284" spans="1:130" x14ac:dyDescent="0.3">
      <c r="A284" s="18"/>
      <c r="B284" s="18"/>
      <c r="C284" s="18"/>
      <c r="D284" s="18"/>
      <c r="E284" s="18"/>
      <c r="F284" s="18"/>
      <c r="G284" s="18"/>
      <c r="H284" s="18"/>
      <c r="I284" s="18"/>
      <c r="J284" s="18"/>
      <c r="K284" s="18"/>
      <c r="L284" s="18"/>
      <c r="M284" s="18"/>
      <c r="N284" s="17"/>
      <c r="O284" s="17"/>
      <c r="P284" s="17"/>
      <c r="Q284" s="17"/>
      <c r="R284" s="17"/>
      <c r="S284" s="17"/>
      <c r="T284" s="17"/>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7"/>
      <c r="BT284" s="17"/>
      <c r="BU284" s="17"/>
      <c r="BV284" s="17"/>
      <c r="BW284" s="17"/>
      <c r="BX284" s="18"/>
      <c r="BY284" s="18"/>
      <c r="BZ284" s="18"/>
      <c r="CA284" s="18"/>
      <c r="CB284" s="17"/>
      <c r="CC284" s="17"/>
      <c r="CD284" s="17"/>
      <c r="CE284" s="18"/>
      <c r="CF284" s="18"/>
      <c r="CG284" s="18"/>
      <c r="CH284" s="18"/>
      <c r="CI284" s="18"/>
      <c r="CJ284" s="18"/>
      <c r="CK284" s="18"/>
      <c r="CL284" s="18"/>
      <c r="CM284" s="18"/>
      <c r="CN284" s="18"/>
      <c r="CO284" s="18"/>
      <c r="CP284" s="18"/>
      <c r="CQ284" s="18"/>
      <c r="CR284" s="18"/>
      <c r="CS284" s="18"/>
      <c r="CT284" s="18"/>
      <c r="CU284" s="18"/>
      <c r="CV284" s="18"/>
      <c r="CW284" s="18"/>
      <c r="CX284" s="18"/>
      <c r="CY284" s="37"/>
      <c r="CZ284" s="38"/>
      <c r="DA284" s="18"/>
      <c r="DB284" s="37">
        <v>44258</v>
      </c>
      <c r="DC284" s="38">
        <v>16.423200000000001</v>
      </c>
      <c r="DD284" s="18"/>
      <c r="DE284" s="37">
        <v>44258</v>
      </c>
      <c r="DF284" s="38">
        <v>15.1008</v>
      </c>
      <c r="DG284" s="18"/>
      <c r="DH284" s="37">
        <v>44258</v>
      </c>
      <c r="DI284" s="38">
        <v>21.0471</v>
      </c>
      <c r="DJ284" s="18"/>
      <c r="DK284" s="37">
        <v>44258</v>
      </c>
      <c r="DL284" s="38">
        <v>0.14099999999999999</v>
      </c>
      <c r="DM284" s="18"/>
      <c r="DN284" s="18"/>
      <c r="DO284" s="18"/>
      <c r="DP284" s="18"/>
      <c r="DQ284" s="18"/>
      <c r="DR284" s="18"/>
      <c r="DS284" s="18"/>
      <c r="DT284" s="18"/>
      <c r="DU284" s="18"/>
      <c r="DV284" s="18"/>
      <c r="DW284" s="18"/>
      <c r="DX284" s="18"/>
      <c r="DY284" s="18"/>
      <c r="DZ284" s="18"/>
    </row>
    <row r="285" spans="1:130" x14ac:dyDescent="0.3">
      <c r="A285" s="18"/>
      <c r="B285" s="18"/>
      <c r="C285" s="18"/>
      <c r="D285" s="18"/>
      <c r="E285" s="18"/>
      <c r="F285" s="18"/>
      <c r="G285" s="18"/>
      <c r="H285" s="18"/>
      <c r="I285" s="18"/>
      <c r="J285" s="18"/>
      <c r="K285" s="18"/>
      <c r="L285" s="18"/>
      <c r="M285" s="18"/>
      <c r="N285" s="17"/>
      <c r="O285" s="17"/>
      <c r="P285" s="17"/>
      <c r="Q285" s="17"/>
      <c r="R285" s="17"/>
      <c r="S285" s="17"/>
      <c r="T285" s="17"/>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7"/>
      <c r="BT285" s="17"/>
      <c r="BU285" s="17"/>
      <c r="BV285" s="17"/>
      <c r="BW285" s="17"/>
      <c r="BX285" s="18"/>
      <c r="BY285" s="18"/>
      <c r="BZ285" s="18"/>
      <c r="CA285" s="18"/>
      <c r="CB285" s="17"/>
      <c r="CC285" s="17"/>
      <c r="CD285" s="17"/>
      <c r="CE285" s="18"/>
      <c r="CF285" s="18"/>
      <c r="CG285" s="18"/>
      <c r="CH285" s="18"/>
      <c r="CI285" s="18"/>
      <c r="CJ285" s="18"/>
      <c r="CK285" s="18"/>
      <c r="CL285" s="18"/>
      <c r="CM285" s="18"/>
      <c r="CN285" s="18"/>
      <c r="CO285" s="18"/>
      <c r="CP285" s="18"/>
      <c r="CQ285" s="18"/>
      <c r="CR285" s="18"/>
      <c r="CS285" s="18"/>
      <c r="CT285" s="18"/>
      <c r="CU285" s="18"/>
      <c r="CV285" s="18"/>
      <c r="CW285" s="18"/>
      <c r="CX285" s="18"/>
      <c r="CY285" s="37"/>
      <c r="CZ285" s="38"/>
      <c r="DA285" s="18"/>
      <c r="DB285" s="37">
        <v>44259</v>
      </c>
      <c r="DC285" s="38">
        <v>16.485900000000001</v>
      </c>
      <c r="DD285" s="18"/>
      <c r="DE285" s="37">
        <v>44259</v>
      </c>
      <c r="DF285" s="38">
        <v>15.3125</v>
      </c>
      <c r="DG285" s="18"/>
      <c r="DH285" s="37">
        <v>44259</v>
      </c>
      <c r="DI285" s="38">
        <v>21.2682</v>
      </c>
      <c r="DJ285" s="18"/>
      <c r="DK285" s="37">
        <v>44259</v>
      </c>
      <c r="DL285" s="38">
        <v>0.1419</v>
      </c>
      <c r="DM285" s="18"/>
      <c r="DN285" s="18"/>
      <c r="DO285" s="18"/>
      <c r="DP285" s="18"/>
      <c r="DQ285" s="18"/>
      <c r="DR285" s="18"/>
      <c r="DS285" s="18"/>
      <c r="DT285" s="18"/>
      <c r="DU285" s="18"/>
      <c r="DV285" s="18"/>
      <c r="DW285" s="18"/>
      <c r="DX285" s="18"/>
      <c r="DY285" s="18"/>
      <c r="DZ285" s="18"/>
    </row>
    <row r="286" spans="1:130" x14ac:dyDescent="0.3">
      <c r="A286" s="18"/>
      <c r="B286" s="18"/>
      <c r="C286" s="18"/>
      <c r="D286" s="18"/>
      <c r="E286" s="18"/>
      <c r="F286" s="18"/>
      <c r="G286" s="18"/>
      <c r="H286" s="18"/>
      <c r="I286" s="18"/>
      <c r="J286" s="18"/>
      <c r="K286" s="18"/>
      <c r="L286" s="18"/>
      <c r="M286" s="18"/>
      <c r="N286" s="17"/>
      <c r="O286" s="17"/>
      <c r="P286" s="17"/>
      <c r="Q286" s="17"/>
      <c r="R286" s="17"/>
      <c r="S286" s="17"/>
      <c r="T286" s="17"/>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7"/>
      <c r="BT286" s="17"/>
      <c r="BU286" s="17"/>
      <c r="BV286" s="17"/>
      <c r="BW286" s="17"/>
      <c r="BX286" s="18"/>
      <c r="BY286" s="18"/>
      <c r="BZ286" s="18"/>
      <c r="CA286" s="18"/>
      <c r="CB286" s="17"/>
      <c r="CC286" s="17"/>
      <c r="CD286" s="17"/>
      <c r="CE286" s="18"/>
      <c r="CF286" s="18"/>
      <c r="CG286" s="18"/>
      <c r="CH286" s="18"/>
      <c r="CI286" s="18"/>
      <c r="CJ286" s="18"/>
      <c r="CK286" s="18"/>
      <c r="CL286" s="18"/>
      <c r="CM286" s="18"/>
      <c r="CN286" s="18"/>
      <c r="CO286" s="18"/>
      <c r="CP286" s="18"/>
      <c r="CQ286" s="18"/>
      <c r="CR286" s="18"/>
      <c r="CS286" s="18"/>
      <c r="CT286" s="18"/>
      <c r="CU286" s="18"/>
      <c r="CV286" s="18"/>
      <c r="CW286" s="18"/>
      <c r="CX286" s="18"/>
      <c r="CY286" s="37"/>
      <c r="CZ286" s="38"/>
      <c r="DA286" s="18"/>
      <c r="DB286" s="37">
        <v>44260</v>
      </c>
      <c r="DC286" s="38">
        <v>16.513100000000001</v>
      </c>
      <c r="DD286" s="18"/>
      <c r="DE286" s="37">
        <v>44260</v>
      </c>
      <c r="DF286" s="38">
        <v>15.357900000000001</v>
      </c>
      <c r="DG286" s="18"/>
      <c r="DH286" s="37">
        <v>44260</v>
      </c>
      <c r="DI286" s="38">
        <v>21.278700000000001</v>
      </c>
      <c r="DJ286" s="18"/>
      <c r="DK286" s="37">
        <v>44260</v>
      </c>
      <c r="DL286" s="38">
        <v>0.14180000000000001</v>
      </c>
      <c r="DM286" s="18"/>
      <c r="DN286" s="18"/>
      <c r="DO286" s="18"/>
      <c r="DP286" s="18"/>
      <c r="DQ286" s="18"/>
      <c r="DR286" s="18"/>
      <c r="DS286" s="18"/>
      <c r="DT286" s="18"/>
      <c r="DU286" s="18"/>
      <c r="DV286" s="18"/>
      <c r="DW286" s="18"/>
      <c r="DX286" s="18"/>
      <c r="DY286" s="18"/>
      <c r="DZ286" s="18"/>
    </row>
    <row r="287" spans="1:130" x14ac:dyDescent="0.3">
      <c r="A287" s="18"/>
      <c r="B287" s="18"/>
      <c r="C287" s="18"/>
      <c r="D287" s="18"/>
      <c r="E287" s="18"/>
      <c r="F287" s="18"/>
      <c r="G287" s="18"/>
      <c r="H287" s="18"/>
      <c r="I287" s="18"/>
      <c r="J287" s="18"/>
      <c r="K287" s="18"/>
      <c r="L287" s="18"/>
      <c r="M287" s="18"/>
      <c r="N287" s="17"/>
      <c r="O287" s="17"/>
      <c r="P287" s="17"/>
      <c r="Q287" s="17"/>
      <c r="R287" s="17"/>
      <c r="S287" s="17"/>
      <c r="T287" s="17"/>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7"/>
      <c r="BT287" s="17"/>
      <c r="BU287" s="17"/>
      <c r="BV287" s="17"/>
      <c r="BW287" s="17"/>
      <c r="BX287" s="18"/>
      <c r="BY287" s="18"/>
      <c r="BZ287" s="18"/>
      <c r="CA287" s="18"/>
      <c r="CB287" s="17"/>
      <c r="CC287" s="17"/>
      <c r="CD287" s="17"/>
      <c r="CE287" s="18"/>
      <c r="CF287" s="18"/>
      <c r="CG287" s="18"/>
      <c r="CH287" s="18"/>
      <c r="CI287" s="18"/>
      <c r="CJ287" s="18"/>
      <c r="CK287" s="18"/>
      <c r="CL287" s="18"/>
      <c r="CM287" s="18"/>
      <c r="CN287" s="18"/>
      <c r="CO287" s="18"/>
      <c r="CP287" s="18"/>
      <c r="CQ287" s="18"/>
      <c r="CR287" s="18"/>
      <c r="CS287" s="18"/>
      <c r="CT287" s="18"/>
      <c r="CU287" s="18"/>
      <c r="CV287" s="18"/>
      <c r="CW287" s="18"/>
      <c r="CX287" s="18"/>
      <c r="CY287" s="37"/>
      <c r="CZ287" s="38"/>
      <c r="DA287" s="18"/>
      <c r="DB287" s="37">
        <v>44263</v>
      </c>
      <c r="DC287" s="38">
        <v>16.567499999999999</v>
      </c>
      <c r="DD287" s="18"/>
      <c r="DE287" s="37">
        <v>44263</v>
      </c>
      <c r="DF287" s="38">
        <v>15.5168</v>
      </c>
      <c r="DG287" s="18"/>
      <c r="DH287" s="37">
        <v>44263</v>
      </c>
      <c r="DI287" s="38">
        <v>21.4621</v>
      </c>
      <c r="DJ287" s="18"/>
      <c r="DK287" s="37">
        <v>44263</v>
      </c>
      <c r="DL287" s="38">
        <v>0.1421</v>
      </c>
      <c r="DM287" s="18"/>
      <c r="DN287" s="18"/>
      <c r="DO287" s="18"/>
      <c r="DP287" s="18"/>
      <c r="DQ287" s="18"/>
      <c r="DR287" s="18"/>
      <c r="DS287" s="18"/>
      <c r="DT287" s="18"/>
      <c r="DU287" s="18"/>
      <c r="DV287" s="18"/>
      <c r="DW287" s="18"/>
      <c r="DX287" s="18"/>
      <c r="DY287" s="18"/>
      <c r="DZ287" s="18"/>
    </row>
    <row r="288" spans="1:130" x14ac:dyDescent="0.3">
      <c r="A288" s="18"/>
      <c r="B288" s="18"/>
      <c r="C288" s="18"/>
      <c r="D288" s="18"/>
      <c r="E288" s="18"/>
      <c r="F288" s="18"/>
      <c r="G288" s="18"/>
      <c r="H288" s="18"/>
      <c r="I288" s="18"/>
      <c r="J288" s="18"/>
      <c r="K288" s="18"/>
      <c r="L288" s="18"/>
      <c r="M288" s="18"/>
      <c r="N288" s="17"/>
      <c r="O288" s="17"/>
      <c r="P288" s="17"/>
      <c r="Q288" s="17"/>
      <c r="R288" s="17"/>
      <c r="S288" s="17"/>
      <c r="T288" s="17"/>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7"/>
      <c r="BT288" s="17"/>
      <c r="BU288" s="17"/>
      <c r="BV288" s="17"/>
      <c r="BW288" s="17"/>
      <c r="BX288" s="18"/>
      <c r="BY288" s="18"/>
      <c r="BZ288" s="18"/>
      <c r="CA288" s="18"/>
      <c r="CB288" s="17"/>
      <c r="CC288" s="17"/>
      <c r="CD288" s="17"/>
      <c r="CE288" s="18"/>
      <c r="CF288" s="18"/>
      <c r="CG288" s="18"/>
      <c r="CH288" s="18"/>
      <c r="CI288" s="18"/>
      <c r="CJ288" s="18"/>
      <c r="CK288" s="18"/>
      <c r="CL288" s="18"/>
      <c r="CM288" s="18"/>
      <c r="CN288" s="18"/>
      <c r="CO288" s="18"/>
      <c r="CP288" s="18"/>
      <c r="CQ288" s="18"/>
      <c r="CR288" s="18"/>
      <c r="CS288" s="18"/>
      <c r="CT288" s="18"/>
      <c r="CU288" s="18"/>
      <c r="CV288" s="18"/>
      <c r="CW288" s="18"/>
      <c r="CX288" s="18"/>
      <c r="CY288" s="37"/>
      <c r="CZ288" s="38"/>
      <c r="DA288" s="18"/>
      <c r="DB288" s="37">
        <v>44264</v>
      </c>
      <c r="DC288" s="38">
        <v>16.4909</v>
      </c>
      <c r="DD288" s="18"/>
      <c r="DE288" s="37">
        <v>44264</v>
      </c>
      <c r="DF288" s="38">
        <v>15.3384</v>
      </c>
      <c r="DG288" s="18"/>
      <c r="DH288" s="37">
        <v>44264</v>
      </c>
      <c r="DI288" s="38">
        <v>21.263000000000002</v>
      </c>
      <c r="DJ288" s="18"/>
      <c r="DK288" s="37">
        <v>44264</v>
      </c>
      <c r="DL288" s="38">
        <v>0.1409</v>
      </c>
      <c r="DM288" s="18"/>
      <c r="DN288" s="18"/>
      <c r="DO288" s="18"/>
      <c r="DP288" s="18"/>
      <c r="DQ288" s="18"/>
      <c r="DR288" s="18"/>
      <c r="DS288" s="18"/>
      <c r="DT288" s="18"/>
      <c r="DU288" s="18"/>
      <c r="DV288" s="18"/>
      <c r="DW288" s="18"/>
      <c r="DX288" s="18"/>
      <c r="DY288" s="18"/>
      <c r="DZ288" s="18"/>
    </row>
    <row r="289" spans="1:130" x14ac:dyDescent="0.3">
      <c r="A289" s="18"/>
      <c r="B289" s="18"/>
      <c r="C289" s="18"/>
      <c r="D289" s="18"/>
      <c r="E289" s="18"/>
      <c r="F289" s="18"/>
      <c r="G289" s="18"/>
      <c r="H289" s="18"/>
      <c r="I289" s="18"/>
      <c r="J289" s="18"/>
      <c r="K289" s="18"/>
      <c r="L289" s="18"/>
      <c r="M289" s="18"/>
      <c r="N289" s="17"/>
      <c r="O289" s="17"/>
      <c r="P289" s="17"/>
      <c r="Q289" s="17"/>
      <c r="R289" s="17"/>
      <c r="S289" s="17"/>
      <c r="T289" s="17"/>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7"/>
      <c r="BT289" s="17"/>
      <c r="BU289" s="17"/>
      <c r="BV289" s="17"/>
      <c r="BW289" s="17"/>
      <c r="BX289" s="18"/>
      <c r="BY289" s="18"/>
      <c r="BZ289" s="18"/>
      <c r="CA289" s="18"/>
      <c r="CB289" s="17"/>
      <c r="CC289" s="17"/>
      <c r="CD289" s="17"/>
      <c r="CE289" s="18"/>
      <c r="CF289" s="18"/>
      <c r="CG289" s="18"/>
      <c r="CH289" s="18"/>
      <c r="CI289" s="18"/>
      <c r="CJ289" s="18"/>
      <c r="CK289" s="18"/>
      <c r="CL289" s="18"/>
      <c r="CM289" s="18"/>
      <c r="CN289" s="18"/>
      <c r="CO289" s="18"/>
      <c r="CP289" s="18"/>
      <c r="CQ289" s="18"/>
      <c r="CR289" s="18"/>
      <c r="CS289" s="18"/>
      <c r="CT289" s="18"/>
      <c r="CU289" s="18"/>
      <c r="CV289" s="18"/>
      <c r="CW289" s="18"/>
      <c r="CX289" s="18"/>
      <c r="CY289" s="37"/>
      <c r="CZ289" s="38"/>
      <c r="DA289" s="18"/>
      <c r="DB289" s="37">
        <v>44265</v>
      </c>
      <c r="DC289" s="38">
        <v>16.206299999999999</v>
      </c>
      <c r="DD289" s="18"/>
      <c r="DE289" s="37">
        <v>44265</v>
      </c>
      <c r="DF289" s="38">
        <v>15.076000000000001</v>
      </c>
      <c r="DG289" s="18"/>
      <c r="DH289" s="37">
        <v>44265</v>
      </c>
      <c r="DI289" s="38">
        <v>21.000499999999999</v>
      </c>
      <c r="DJ289" s="18"/>
      <c r="DK289" s="37">
        <v>44265</v>
      </c>
      <c r="DL289" s="38">
        <v>0.1389</v>
      </c>
      <c r="DM289" s="18"/>
      <c r="DN289" s="18"/>
      <c r="DO289" s="18"/>
      <c r="DP289" s="18"/>
      <c r="DQ289" s="18"/>
      <c r="DR289" s="18"/>
      <c r="DS289" s="18"/>
      <c r="DT289" s="18"/>
      <c r="DU289" s="18"/>
      <c r="DV289" s="18"/>
      <c r="DW289" s="18"/>
      <c r="DX289" s="18"/>
      <c r="DY289" s="18"/>
      <c r="DZ289" s="18"/>
    </row>
    <row r="290" spans="1:130" x14ac:dyDescent="0.3">
      <c r="A290" s="18"/>
      <c r="B290" s="18"/>
      <c r="C290" s="18"/>
      <c r="D290" s="18"/>
      <c r="E290" s="18"/>
      <c r="F290" s="18"/>
      <c r="G290" s="18"/>
      <c r="H290" s="18"/>
      <c r="I290" s="18"/>
      <c r="J290" s="18"/>
      <c r="K290" s="18"/>
      <c r="L290" s="18"/>
      <c r="M290" s="18"/>
      <c r="N290" s="17"/>
      <c r="O290" s="17"/>
      <c r="P290" s="17"/>
      <c r="Q290" s="17"/>
      <c r="R290" s="17"/>
      <c r="S290" s="17"/>
      <c r="T290" s="17"/>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7"/>
      <c r="BT290" s="17"/>
      <c r="BU290" s="17"/>
      <c r="BV290" s="17"/>
      <c r="BW290" s="17"/>
      <c r="BX290" s="18"/>
      <c r="BY290" s="18"/>
      <c r="BZ290" s="18"/>
      <c r="CA290" s="18"/>
      <c r="CB290" s="17"/>
      <c r="CC290" s="17"/>
      <c r="CD290" s="17"/>
      <c r="CE290" s="18"/>
      <c r="CF290" s="18"/>
      <c r="CG290" s="18"/>
      <c r="CH290" s="18"/>
      <c r="CI290" s="18"/>
      <c r="CJ290" s="18"/>
      <c r="CK290" s="18"/>
      <c r="CL290" s="18"/>
      <c r="CM290" s="18"/>
      <c r="CN290" s="18"/>
      <c r="CO290" s="18"/>
      <c r="CP290" s="18"/>
      <c r="CQ290" s="18"/>
      <c r="CR290" s="18"/>
      <c r="CS290" s="18"/>
      <c r="CT290" s="18"/>
      <c r="CU290" s="18"/>
      <c r="CV290" s="18"/>
      <c r="CW290" s="18"/>
      <c r="CX290" s="18"/>
      <c r="CY290" s="37"/>
      <c r="CZ290" s="38"/>
      <c r="DA290" s="18"/>
      <c r="DB290" s="37">
        <v>44266</v>
      </c>
      <c r="DC290" s="38">
        <v>16.095500000000001</v>
      </c>
      <c r="DD290" s="18"/>
      <c r="DE290" s="37">
        <v>44266</v>
      </c>
      <c r="DF290" s="38">
        <v>14.9124</v>
      </c>
      <c r="DG290" s="18"/>
      <c r="DH290" s="37">
        <v>44266</v>
      </c>
      <c r="DI290" s="38">
        <v>20.8446</v>
      </c>
      <c r="DJ290" s="18"/>
      <c r="DK290" s="37">
        <v>44266</v>
      </c>
      <c r="DL290" s="38">
        <v>0.1371</v>
      </c>
      <c r="DM290" s="18"/>
      <c r="DN290" s="18"/>
      <c r="DO290" s="18"/>
      <c r="DP290" s="18"/>
      <c r="DQ290" s="18"/>
      <c r="DR290" s="18"/>
      <c r="DS290" s="18"/>
      <c r="DT290" s="18"/>
      <c r="DU290" s="18"/>
      <c r="DV290" s="18"/>
      <c r="DW290" s="18"/>
      <c r="DX290" s="18"/>
      <c r="DY290" s="18"/>
      <c r="DZ290" s="18"/>
    </row>
    <row r="291" spans="1:130" x14ac:dyDescent="0.3">
      <c r="A291" s="18"/>
      <c r="B291" s="18"/>
      <c r="C291" s="18"/>
      <c r="D291" s="18"/>
      <c r="E291" s="18"/>
      <c r="F291" s="18"/>
      <c r="G291" s="18"/>
      <c r="H291" s="18"/>
      <c r="I291" s="18"/>
      <c r="J291" s="18"/>
      <c r="K291" s="18"/>
      <c r="L291" s="18"/>
      <c r="M291" s="18"/>
      <c r="N291" s="17"/>
      <c r="O291" s="17"/>
      <c r="P291" s="17"/>
      <c r="Q291" s="17"/>
      <c r="R291" s="17"/>
      <c r="S291" s="17"/>
      <c r="T291" s="17"/>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7"/>
      <c r="BT291" s="17"/>
      <c r="BU291" s="17"/>
      <c r="BV291" s="17"/>
      <c r="BW291" s="17"/>
      <c r="BX291" s="18"/>
      <c r="BY291" s="18"/>
      <c r="BZ291" s="18"/>
      <c r="CA291" s="18"/>
      <c r="CB291" s="17"/>
      <c r="CC291" s="17"/>
      <c r="CD291" s="17"/>
      <c r="CE291" s="18"/>
      <c r="CF291" s="18"/>
      <c r="CG291" s="18"/>
      <c r="CH291" s="18"/>
      <c r="CI291" s="18"/>
      <c r="CJ291" s="18"/>
      <c r="CK291" s="18"/>
      <c r="CL291" s="18"/>
      <c r="CM291" s="18"/>
      <c r="CN291" s="18"/>
      <c r="CO291" s="18"/>
      <c r="CP291" s="18"/>
      <c r="CQ291" s="18"/>
      <c r="CR291" s="18"/>
      <c r="CS291" s="18"/>
      <c r="CT291" s="18"/>
      <c r="CU291" s="18"/>
      <c r="CV291" s="18"/>
      <c r="CW291" s="18"/>
      <c r="CX291" s="18"/>
      <c r="CY291" s="37"/>
      <c r="CZ291" s="38"/>
      <c r="DA291" s="18"/>
      <c r="DB291" s="37">
        <v>44267</v>
      </c>
      <c r="DC291" s="38">
        <v>16.066800000000001</v>
      </c>
      <c r="DD291" s="18"/>
      <c r="DE291" s="37">
        <v>44267</v>
      </c>
      <c r="DF291" s="38">
        <v>14.950799999999999</v>
      </c>
      <c r="DG291" s="18"/>
      <c r="DH291" s="37">
        <v>44267</v>
      </c>
      <c r="DI291" s="38">
        <v>20.799299999999999</v>
      </c>
      <c r="DJ291" s="18"/>
      <c r="DK291" s="37">
        <v>44267</v>
      </c>
      <c r="DL291" s="38">
        <v>0.1371</v>
      </c>
      <c r="DM291" s="18"/>
      <c r="DN291" s="18"/>
      <c r="DO291" s="18"/>
      <c r="DP291" s="18"/>
      <c r="DQ291" s="18"/>
      <c r="DR291" s="18"/>
      <c r="DS291" s="18"/>
      <c r="DT291" s="18"/>
      <c r="DU291" s="18"/>
      <c r="DV291" s="18"/>
      <c r="DW291" s="18"/>
      <c r="DX291" s="18"/>
      <c r="DY291" s="18"/>
      <c r="DZ291" s="18"/>
    </row>
    <row r="292" spans="1:130" x14ac:dyDescent="0.3">
      <c r="A292" s="18"/>
      <c r="B292" s="18"/>
      <c r="C292" s="18"/>
      <c r="D292" s="18"/>
      <c r="E292" s="18"/>
      <c r="F292" s="18"/>
      <c r="G292" s="18"/>
      <c r="H292" s="18"/>
      <c r="I292" s="18"/>
      <c r="J292" s="18"/>
      <c r="K292" s="18"/>
      <c r="L292" s="18"/>
      <c r="M292" s="18"/>
      <c r="N292" s="17"/>
      <c r="O292" s="17"/>
      <c r="P292" s="17"/>
      <c r="Q292" s="17"/>
      <c r="R292" s="17"/>
      <c r="S292" s="17"/>
      <c r="T292" s="17"/>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7"/>
      <c r="BT292" s="17"/>
      <c r="BU292" s="17"/>
      <c r="BV292" s="17"/>
      <c r="BW292" s="17"/>
      <c r="BX292" s="18"/>
      <c r="BY292" s="18"/>
      <c r="BZ292" s="18"/>
      <c r="CA292" s="18"/>
      <c r="CB292" s="17"/>
      <c r="CC292" s="17"/>
      <c r="CD292" s="17"/>
      <c r="CE292" s="18"/>
      <c r="CF292" s="18"/>
      <c r="CG292" s="18"/>
      <c r="CH292" s="18"/>
      <c r="CI292" s="18"/>
      <c r="CJ292" s="18"/>
      <c r="CK292" s="18"/>
      <c r="CL292" s="18"/>
      <c r="CM292" s="18"/>
      <c r="CN292" s="18"/>
      <c r="CO292" s="18"/>
      <c r="CP292" s="18"/>
      <c r="CQ292" s="18"/>
      <c r="CR292" s="18"/>
      <c r="CS292" s="18"/>
      <c r="CT292" s="18"/>
      <c r="CU292" s="18"/>
      <c r="CV292" s="18"/>
      <c r="CW292" s="18"/>
      <c r="CX292" s="18"/>
      <c r="CY292" s="37"/>
      <c r="CZ292" s="38"/>
      <c r="DA292" s="18"/>
      <c r="DB292" s="37">
        <v>44270</v>
      </c>
      <c r="DC292" s="38">
        <v>16.0261</v>
      </c>
      <c r="DD292" s="18"/>
      <c r="DE292" s="37">
        <v>44270</v>
      </c>
      <c r="DF292" s="38">
        <v>14.8652</v>
      </c>
      <c r="DG292" s="18"/>
      <c r="DH292" s="37">
        <v>44270</v>
      </c>
      <c r="DI292" s="38">
        <v>20.6159</v>
      </c>
      <c r="DJ292" s="18"/>
      <c r="DK292" s="37">
        <v>44270</v>
      </c>
      <c r="DL292" s="38">
        <v>0.1361</v>
      </c>
      <c r="DM292" s="18"/>
      <c r="DN292" s="18"/>
      <c r="DO292" s="18"/>
      <c r="DP292" s="18"/>
      <c r="DQ292" s="18"/>
      <c r="DR292" s="18"/>
      <c r="DS292" s="18"/>
      <c r="DT292" s="18"/>
      <c r="DU292" s="18"/>
      <c r="DV292" s="18"/>
      <c r="DW292" s="18"/>
      <c r="DX292" s="18"/>
      <c r="DY292" s="18"/>
      <c r="DZ292" s="18"/>
    </row>
    <row r="293" spans="1:130" x14ac:dyDescent="0.3">
      <c r="A293" s="18"/>
      <c r="B293" s="18"/>
      <c r="C293" s="18"/>
      <c r="D293" s="18"/>
      <c r="E293" s="18"/>
      <c r="F293" s="18"/>
      <c r="G293" s="18"/>
      <c r="H293" s="18"/>
      <c r="I293" s="18"/>
      <c r="J293" s="18"/>
      <c r="K293" s="18"/>
      <c r="L293" s="18"/>
      <c r="M293" s="18"/>
      <c r="N293" s="17"/>
      <c r="O293" s="17"/>
      <c r="P293" s="17"/>
      <c r="Q293" s="17"/>
      <c r="R293" s="17"/>
      <c r="S293" s="17"/>
      <c r="T293" s="17"/>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7"/>
      <c r="BT293" s="17"/>
      <c r="BU293" s="17"/>
      <c r="BV293" s="17"/>
      <c r="BW293" s="17"/>
      <c r="BX293" s="18"/>
      <c r="BY293" s="18"/>
      <c r="BZ293" s="18"/>
      <c r="CA293" s="18"/>
      <c r="CB293" s="17"/>
      <c r="CC293" s="17"/>
      <c r="CD293" s="17"/>
      <c r="CE293" s="18"/>
      <c r="CF293" s="18"/>
      <c r="CG293" s="18"/>
      <c r="CH293" s="18"/>
      <c r="CI293" s="18"/>
      <c r="CJ293" s="18"/>
      <c r="CK293" s="18"/>
      <c r="CL293" s="18"/>
      <c r="CM293" s="18"/>
      <c r="CN293" s="18"/>
      <c r="CO293" s="18"/>
      <c r="CP293" s="18"/>
      <c r="CQ293" s="18"/>
      <c r="CR293" s="18"/>
      <c r="CS293" s="18"/>
      <c r="CT293" s="18"/>
      <c r="CU293" s="18"/>
      <c r="CV293" s="18"/>
      <c r="CW293" s="18"/>
      <c r="CX293" s="18"/>
      <c r="CY293" s="37"/>
      <c r="CZ293" s="38"/>
      <c r="DA293" s="18"/>
      <c r="DB293" s="37">
        <v>44271</v>
      </c>
      <c r="DC293" s="38">
        <v>16.092300000000002</v>
      </c>
      <c r="DD293" s="18"/>
      <c r="DE293" s="37">
        <v>44271</v>
      </c>
      <c r="DF293" s="38">
        <v>14.898400000000001</v>
      </c>
      <c r="DG293" s="18"/>
      <c r="DH293" s="37">
        <v>44271</v>
      </c>
      <c r="DI293" s="38">
        <v>20.688600000000001</v>
      </c>
      <c r="DJ293" s="18"/>
      <c r="DK293" s="37">
        <v>44271</v>
      </c>
      <c r="DL293" s="38">
        <v>0.1366</v>
      </c>
      <c r="DM293" s="18"/>
      <c r="DN293" s="18"/>
      <c r="DO293" s="18"/>
      <c r="DP293" s="18"/>
      <c r="DQ293" s="18"/>
      <c r="DR293" s="18"/>
      <c r="DS293" s="18"/>
      <c r="DT293" s="18"/>
      <c r="DU293" s="18"/>
      <c r="DV293" s="18"/>
      <c r="DW293" s="18"/>
      <c r="DX293" s="18"/>
      <c r="DY293" s="18"/>
      <c r="DZ293" s="18"/>
    </row>
    <row r="294" spans="1:130" x14ac:dyDescent="0.3">
      <c r="A294" s="18"/>
      <c r="B294" s="18"/>
      <c r="C294" s="18"/>
      <c r="D294" s="18"/>
      <c r="E294" s="18"/>
      <c r="F294" s="18"/>
      <c r="G294" s="18"/>
      <c r="H294" s="18"/>
      <c r="I294" s="18"/>
      <c r="J294" s="18"/>
      <c r="K294" s="18"/>
      <c r="L294" s="18"/>
      <c r="M294" s="18"/>
      <c r="N294" s="17"/>
      <c r="O294" s="17"/>
      <c r="P294" s="17"/>
      <c r="Q294" s="17"/>
      <c r="R294" s="17"/>
      <c r="S294" s="17"/>
      <c r="T294" s="17"/>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7"/>
      <c r="BT294" s="17"/>
      <c r="BU294" s="17"/>
      <c r="BV294" s="17"/>
      <c r="BW294" s="17"/>
      <c r="BX294" s="18"/>
      <c r="BY294" s="18"/>
      <c r="BZ294" s="18"/>
      <c r="CA294" s="18"/>
      <c r="CB294" s="17"/>
      <c r="CC294" s="17"/>
      <c r="CD294" s="17"/>
      <c r="CE294" s="18"/>
      <c r="CF294" s="18"/>
      <c r="CG294" s="18"/>
      <c r="CH294" s="18"/>
      <c r="CI294" s="18"/>
      <c r="CJ294" s="18"/>
      <c r="CK294" s="18"/>
      <c r="CL294" s="18"/>
      <c r="CM294" s="18"/>
      <c r="CN294" s="18"/>
      <c r="CO294" s="18"/>
      <c r="CP294" s="18"/>
      <c r="CQ294" s="18"/>
      <c r="CR294" s="18"/>
      <c r="CS294" s="18"/>
      <c r="CT294" s="18"/>
      <c r="CU294" s="18"/>
      <c r="CV294" s="18"/>
      <c r="CW294" s="18"/>
      <c r="CX294" s="18"/>
      <c r="CY294" s="37"/>
      <c r="CZ294" s="38"/>
      <c r="DA294" s="18"/>
      <c r="DB294" s="37">
        <v>44272</v>
      </c>
      <c r="DC294" s="38">
        <v>15.871</v>
      </c>
      <c r="DD294" s="18"/>
      <c r="DE294" s="37">
        <v>44272</v>
      </c>
      <c r="DF294" s="38">
        <v>14.660500000000001</v>
      </c>
      <c r="DG294" s="18"/>
      <c r="DH294" s="37">
        <v>44272</v>
      </c>
      <c r="DI294" s="38">
        <v>20.4495</v>
      </c>
      <c r="DJ294" s="18"/>
      <c r="DK294" s="37">
        <v>44272</v>
      </c>
      <c r="DL294" s="38">
        <v>0.13439999999999999</v>
      </c>
      <c r="DM294" s="18"/>
      <c r="DN294" s="18"/>
      <c r="DO294" s="18"/>
      <c r="DP294" s="18"/>
      <c r="DQ294" s="18"/>
      <c r="DR294" s="18"/>
      <c r="DS294" s="18"/>
      <c r="DT294" s="18"/>
      <c r="DU294" s="18"/>
      <c r="DV294" s="18"/>
      <c r="DW294" s="18"/>
      <c r="DX294" s="18"/>
      <c r="DY294" s="18"/>
      <c r="DZ294" s="18"/>
    </row>
    <row r="295" spans="1:130" x14ac:dyDescent="0.3">
      <c r="A295" s="18"/>
      <c r="B295" s="18"/>
      <c r="C295" s="18"/>
      <c r="D295" s="18"/>
      <c r="E295" s="18"/>
      <c r="F295" s="18"/>
      <c r="G295" s="18"/>
      <c r="H295" s="18"/>
      <c r="I295" s="18"/>
      <c r="J295" s="18"/>
      <c r="K295" s="18"/>
      <c r="L295" s="18"/>
      <c r="M295" s="18"/>
      <c r="N295" s="17"/>
      <c r="O295" s="17"/>
      <c r="P295" s="17"/>
      <c r="Q295" s="17"/>
      <c r="R295" s="17"/>
      <c r="S295" s="17"/>
      <c r="T295" s="17"/>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7"/>
      <c r="BT295" s="17"/>
      <c r="BU295" s="17"/>
      <c r="BV295" s="17"/>
      <c r="BW295" s="17"/>
      <c r="BX295" s="18"/>
      <c r="BY295" s="18"/>
      <c r="BZ295" s="18"/>
      <c r="CA295" s="18"/>
      <c r="CB295" s="17"/>
      <c r="CC295" s="17"/>
      <c r="CD295" s="17"/>
      <c r="CE295" s="18"/>
      <c r="CF295" s="18"/>
      <c r="CG295" s="18"/>
      <c r="CH295" s="18"/>
      <c r="CI295" s="18"/>
      <c r="CJ295" s="18"/>
      <c r="CK295" s="18"/>
      <c r="CL295" s="18"/>
      <c r="CM295" s="18"/>
      <c r="CN295" s="18"/>
      <c r="CO295" s="18"/>
      <c r="CP295" s="18"/>
      <c r="CQ295" s="18"/>
      <c r="CR295" s="18"/>
      <c r="CS295" s="18"/>
      <c r="CT295" s="18"/>
      <c r="CU295" s="18"/>
      <c r="CV295" s="18"/>
      <c r="CW295" s="18"/>
      <c r="CX295" s="18"/>
      <c r="CY295" s="37"/>
      <c r="CZ295" s="38"/>
      <c r="DA295" s="18"/>
      <c r="DB295" s="37">
        <v>44273</v>
      </c>
      <c r="DC295" s="38">
        <v>15.9133</v>
      </c>
      <c r="DD295" s="18"/>
      <c r="DE295" s="37">
        <v>44273</v>
      </c>
      <c r="DF295" s="38">
        <v>14.7689</v>
      </c>
      <c r="DG295" s="18"/>
      <c r="DH295" s="37">
        <v>44273</v>
      </c>
      <c r="DI295" s="38">
        <v>20.5382</v>
      </c>
      <c r="DJ295" s="18"/>
      <c r="DK295" s="37">
        <v>44273</v>
      </c>
      <c r="DL295" s="38">
        <v>0.13550000000000001</v>
      </c>
      <c r="DM295" s="18"/>
      <c r="DN295" s="18"/>
      <c r="DO295" s="18"/>
      <c r="DP295" s="18"/>
      <c r="DQ295" s="18"/>
      <c r="DR295" s="18"/>
      <c r="DS295" s="18"/>
      <c r="DT295" s="18"/>
      <c r="DU295" s="18"/>
      <c r="DV295" s="18"/>
      <c r="DW295" s="18"/>
      <c r="DX295" s="18"/>
      <c r="DY295" s="18"/>
      <c r="DZ295" s="18"/>
    </row>
    <row r="296" spans="1:130" x14ac:dyDescent="0.3">
      <c r="A296" s="18"/>
      <c r="B296" s="18"/>
      <c r="C296" s="18"/>
      <c r="D296" s="18"/>
      <c r="E296" s="18"/>
      <c r="F296" s="18"/>
      <c r="G296" s="18"/>
      <c r="H296" s="18"/>
      <c r="I296" s="18"/>
      <c r="J296" s="18"/>
      <c r="K296" s="18"/>
      <c r="L296" s="18"/>
      <c r="M296" s="18"/>
      <c r="N296" s="17"/>
      <c r="O296" s="17"/>
      <c r="P296" s="17"/>
      <c r="Q296" s="17"/>
      <c r="R296" s="17"/>
      <c r="S296" s="17"/>
      <c r="T296" s="17"/>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7"/>
      <c r="BT296" s="17"/>
      <c r="BU296" s="17"/>
      <c r="BV296" s="17"/>
      <c r="BW296" s="17"/>
      <c r="BX296" s="18"/>
      <c r="BY296" s="18"/>
      <c r="BZ296" s="18"/>
      <c r="CA296" s="18"/>
      <c r="CB296" s="17"/>
      <c r="CC296" s="17"/>
      <c r="CD296" s="17"/>
      <c r="CE296" s="18"/>
      <c r="CF296" s="18"/>
      <c r="CG296" s="18"/>
      <c r="CH296" s="18"/>
      <c r="CI296" s="18"/>
      <c r="CJ296" s="18"/>
      <c r="CK296" s="18"/>
      <c r="CL296" s="18"/>
      <c r="CM296" s="18"/>
      <c r="CN296" s="18"/>
      <c r="CO296" s="18"/>
      <c r="CP296" s="18"/>
      <c r="CQ296" s="18"/>
      <c r="CR296" s="18"/>
      <c r="CS296" s="18"/>
      <c r="CT296" s="18"/>
      <c r="CU296" s="18"/>
      <c r="CV296" s="18"/>
      <c r="CW296" s="18"/>
      <c r="CX296" s="18"/>
      <c r="CY296" s="37"/>
      <c r="CZ296" s="38"/>
      <c r="DA296" s="18"/>
      <c r="DB296" s="37">
        <v>44274</v>
      </c>
      <c r="DC296" s="38">
        <v>15.838699999999999</v>
      </c>
      <c r="DD296" s="18"/>
      <c r="DE296" s="37">
        <v>44274</v>
      </c>
      <c r="DF296" s="38">
        <v>14.7119</v>
      </c>
      <c r="DG296" s="18"/>
      <c r="DH296" s="37">
        <v>44274</v>
      </c>
      <c r="DI296" s="38">
        <v>20.406300000000002</v>
      </c>
      <c r="DJ296" s="18"/>
      <c r="DK296" s="37">
        <v>44274</v>
      </c>
      <c r="DL296" s="38">
        <v>0.1351</v>
      </c>
      <c r="DM296" s="18"/>
      <c r="DN296" s="18"/>
      <c r="DO296" s="18"/>
      <c r="DP296" s="18"/>
      <c r="DQ296" s="18"/>
      <c r="DR296" s="18"/>
      <c r="DS296" s="18"/>
      <c r="DT296" s="18"/>
      <c r="DU296" s="18"/>
      <c r="DV296" s="18"/>
      <c r="DW296" s="18"/>
      <c r="DX296" s="18"/>
      <c r="DY296" s="18"/>
      <c r="DZ296" s="18"/>
    </row>
    <row r="297" spans="1:130" x14ac:dyDescent="0.3">
      <c r="A297" s="18"/>
      <c r="B297" s="18"/>
      <c r="C297" s="18"/>
      <c r="D297" s="18"/>
      <c r="E297" s="18"/>
      <c r="F297" s="18"/>
      <c r="G297" s="18"/>
      <c r="H297" s="18"/>
      <c r="I297" s="18"/>
      <c r="J297" s="18"/>
      <c r="K297" s="18"/>
      <c r="L297" s="18"/>
      <c r="M297" s="18"/>
      <c r="N297" s="17"/>
      <c r="O297" s="17"/>
      <c r="P297" s="17"/>
      <c r="Q297" s="17"/>
      <c r="R297" s="17"/>
      <c r="S297" s="17"/>
      <c r="T297" s="17"/>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7"/>
      <c r="BT297" s="17"/>
      <c r="BU297" s="17"/>
      <c r="BV297" s="17"/>
      <c r="BW297" s="17"/>
      <c r="BX297" s="18"/>
      <c r="BY297" s="18"/>
      <c r="BZ297" s="18"/>
      <c r="CA297" s="18"/>
      <c r="CB297" s="17"/>
      <c r="CC297" s="17"/>
      <c r="CD297" s="17"/>
      <c r="CE297" s="18"/>
      <c r="CF297" s="18"/>
      <c r="CG297" s="18"/>
      <c r="CH297" s="18"/>
      <c r="CI297" s="18"/>
      <c r="CJ297" s="18"/>
      <c r="CK297" s="18"/>
      <c r="CL297" s="18"/>
      <c r="CM297" s="18"/>
      <c r="CN297" s="18"/>
      <c r="CO297" s="18"/>
      <c r="CP297" s="18"/>
      <c r="CQ297" s="18"/>
      <c r="CR297" s="18"/>
      <c r="CS297" s="18"/>
      <c r="CT297" s="18"/>
      <c r="CU297" s="18"/>
      <c r="CV297" s="18"/>
      <c r="CW297" s="18"/>
      <c r="CX297" s="18"/>
      <c r="CY297" s="37"/>
      <c r="CZ297" s="38"/>
      <c r="DA297" s="18"/>
      <c r="DB297" s="37">
        <v>44277</v>
      </c>
      <c r="DC297" s="38">
        <v>15.954000000000001</v>
      </c>
      <c r="DD297" s="18"/>
      <c r="DE297" s="37">
        <v>44277</v>
      </c>
      <c r="DF297" s="38">
        <v>14.7318</v>
      </c>
      <c r="DG297" s="18"/>
      <c r="DH297" s="37">
        <v>44277</v>
      </c>
      <c r="DI297" s="38">
        <v>20.4178</v>
      </c>
      <c r="DJ297" s="18"/>
      <c r="DK297" s="37">
        <v>44277</v>
      </c>
      <c r="DL297" s="38">
        <v>0.13539999999999999</v>
      </c>
      <c r="DM297" s="18"/>
      <c r="DN297" s="18"/>
      <c r="DO297" s="18"/>
      <c r="DP297" s="18"/>
      <c r="DQ297" s="18"/>
      <c r="DR297" s="18"/>
      <c r="DS297" s="18"/>
      <c r="DT297" s="18"/>
      <c r="DU297" s="18"/>
      <c r="DV297" s="18"/>
      <c r="DW297" s="18"/>
      <c r="DX297" s="18"/>
      <c r="DY297" s="18"/>
      <c r="DZ297" s="18"/>
    </row>
    <row r="298" spans="1:130" x14ac:dyDescent="0.3">
      <c r="A298" s="18"/>
      <c r="B298" s="18"/>
      <c r="C298" s="18"/>
      <c r="D298" s="18"/>
      <c r="E298" s="18"/>
      <c r="F298" s="18"/>
      <c r="G298" s="18"/>
      <c r="H298" s="18"/>
      <c r="I298" s="18"/>
      <c r="J298" s="18"/>
      <c r="K298" s="18"/>
      <c r="L298" s="18"/>
      <c r="M298" s="18"/>
      <c r="N298" s="17"/>
      <c r="O298" s="17"/>
      <c r="P298" s="17"/>
      <c r="Q298" s="17"/>
      <c r="R298" s="17"/>
      <c r="S298" s="17"/>
      <c r="T298" s="17"/>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7"/>
      <c r="BT298" s="17"/>
      <c r="BU298" s="17"/>
      <c r="BV298" s="17"/>
      <c r="BW298" s="17"/>
      <c r="BX298" s="18"/>
      <c r="BY298" s="18"/>
      <c r="BZ298" s="18"/>
      <c r="CA298" s="18"/>
      <c r="CB298" s="17"/>
      <c r="CC298" s="17"/>
      <c r="CD298" s="17"/>
      <c r="CE298" s="18"/>
      <c r="CF298" s="18"/>
      <c r="CG298" s="18"/>
      <c r="CH298" s="18"/>
      <c r="CI298" s="18"/>
      <c r="CJ298" s="18"/>
      <c r="CK298" s="18"/>
      <c r="CL298" s="18"/>
      <c r="CM298" s="18"/>
      <c r="CN298" s="18"/>
      <c r="CO298" s="18"/>
      <c r="CP298" s="18"/>
      <c r="CQ298" s="18"/>
      <c r="CR298" s="18"/>
      <c r="CS298" s="18"/>
      <c r="CT298" s="18"/>
      <c r="CU298" s="18"/>
      <c r="CV298" s="18"/>
      <c r="CW298" s="18"/>
      <c r="CX298" s="18"/>
      <c r="CY298" s="37"/>
      <c r="CZ298" s="38"/>
      <c r="DA298" s="18"/>
      <c r="DB298" s="37">
        <v>44279</v>
      </c>
      <c r="DC298" s="38">
        <v>15.9696</v>
      </c>
      <c r="DD298" s="18"/>
      <c r="DE298" s="37">
        <v>44279</v>
      </c>
      <c r="DF298" s="38">
        <v>14.9483</v>
      </c>
      <c r="DG298" s="18"/>
      <c r="DH298" s="37">
        <v>44279</v>
      </c>
      <c r="DI298" s="38">
        <v>20.459599999999998</v>
      </c>
      <c r="DJ298" s="18"/>
      <c r="DK298" s="37">
        <v>44279</v>
      </c>
      <c r="DL298" s="38">
        <v>0.13739999999999999</v>
      </c>
      <c r="DM298" s="18"/>
      <c r="DN298" s="18"/>
      <c r="DO298" s="18"/>
      <c r="DP298" s="18"/>
      <c r="DQ298" s="18"/>
      <c r="DR298" s="18"/>
      <c r="DS298" s="18"/>
      <c r="DT298" s="18"/>
      <c r="DU298" s="18"/>
      <c r="DV298" s="18"/>
      <c r="DW298" s="18"/>
      <c r="DX298" s="18"/>
      <c r="DY298" s="18"/>
      <c r="DZ298" s="18"/>
    </row>
    <row r="299" spans="1:130" x14ac:dyDescent="0.3">
      <c r="A299" s="18"/>
      <c r="B299" s="18"/>
      <c r="C299" s="18"/>
      <c r="D299" s="18"/>
      <c r="E299" s="18"/>
      <c r="F299" s="18"/>
      <c r="G299" s="18"/>
      <c r="H299" s="18"/>
      <c r="I299" s="18"/>
      <c r="J299" s="18"/>
      <c r="K299" s="18"/>
      <c r="L299" s="18"/>
      <c r="M299" s="18"/>
      <c r="N299" s="17"/>
      <c r="O299" s="17"/>
      <c r="P299" s="17"/>
      <c r="Q299" s="17"/>
      <c r="R299" s="17"/>
      <c r="S299" s="17"/>
      <c r="T299" s="17"/>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7"/>
      <c r="BT299" s="17"/>
      <c r="BU299" s="17"/>
      <c r="BV299" s="17"/>
      <c r="BW299" s="17"/>
      <c r="BX299" s="18"/>
      <c r="BY299" s="18"/>
      <c r="BZ299" s="18"/>
      <c r="CA299" s="18"/>
      <c r="CB299" s="17"/>
      <c r="CC299" s="17"/>
      <c r="CD299" s="17"/>
      <c r="CE299" s="18"/>
      <c r="CF299" s="18"/>
      <c r="CG299" s="18"/>
      <c r="CH299" s="18"/>
      <c r="CI299" s="18"/>
      <c r="CJ299" s="18"/>
      <c r="CK299" s="18"/>
      <c r="CL299" s="18"/>
      <c r="CM299" s="18"/>
      <c r="CN299" s="18"/>
      <c r="CO299" s="18"/>
      <c r="CP299" s="18"/>
      <c r="CQ299" s="18"/>
      <c r="CR299" s="18"/>
      <c r="CS299" s="18"/>
      <c r="CT299" s="18"/>
      <c r="CU299" s="18"/>
      <c r="CV299" s="18"/>
      <c r="CW299" s="18"/>
      <c r="CX299" s="18"/>
      <c r="CY299" s="37"/>
      <c r="CZ299" s="38"/>
      <c r="DA299" s="18"/>
      <c r="DB299" s="37">
        <v>44280</v>
      </c>
      <c r="DC299" s="38">
        <v>15.9656</v>
      </c>
      <c r="DD299" s="18"/>
      <c r="DE299" s="37">
        <v>44280</v>
      </c>
      <c r="DF299" s="38">
        <v>14.9984</v>
      </c>
      <c r="DG299" s="18"/>
      <c r="DH299" s="37">
        <v>44280</v>
      </c>
      <c r="DI299" s="38">
        <v>20.620999999999999</v>
      </c>
      <c r="DJ299" s="18"/>
      <c r="DK299" s="37">
        <v>44280</v>
      </c>
      <c r="DL299" s="38">
        <v>0.13739999999999999</v>
      </c>
      <c r="DM299" s="18"/>
      <c r="DN299" s="18"/>
      <c r="DO299" s="18"/>
      <c r="DP299" s="18"/>
      <c r="DQ299" s="18"/>
      <c r="DR299" s="18"/>
      <c r="DS299" s="18"/>
      <c r="DT299" s="18"/>
      <c r="DU299" s="18"/>
      <c r="DV299" s="18"/>
      <c r="DW299" s="18"/>
      <c r="DX299" s="18"/>
      <c r="DY299" s="18"/>
      <c r="DZ299" s="18"/>
    </row>
    <row r="300" spans="1:130" x14ac:dyDescent="0.3">
      <c r="A300" s="18"/>
      <c r="B300" s="18"/>
      <c r="C300" s="18"/>
      <c r="D300" s="18"/>
      <c r="E300" s="18"/>
      <c r="F300" s="18"/>
      <c r="G300" s="18"/>
      <c r="H300" s="18"/>
      <c r="I300" s="18"/>
      <c r="J300" s="18"/>
      <c r="K300" s="18"/>
      <c r="L300" s="18"/>
      <c r="M300" s="18"/>
      <c r="N300" s="17"/>
      <c r="O300" s="17"/>
      <c r="P300" s="17"/>
      <c r="Q300" s="17"/>
      <c r="R300" s="17"/>
      <c r="S300" s="17"/>
      <c r="T300" s="17"/>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7"/>
      <c r="BT300" s="17"/>
      <c r="BU300" s="17"/>
      <c r="BV300" s="17"/>
      <c r="BW300" s="17"/>
      <c r="BX300" s="18"/>
      <c r="BY300" s="18"/>
      <c r="BZ300" s="18"/>
      <c r="CA300" s="18"/>
      <c r="CB300" s="17"/>
      <c r="CC300" s="17"/>
      <c r="CD300" s="17"/>
      <c r="CE300" s="18"/>
      <c r="CF300" s="18"/>
      <c r="CG300" s="18"/>
      <c r="CH300" s="18"/>
      <c r="CI300" s="18"/>
      <c r="CJ300" s="18"/>
      <c r="CK300" s="18"/>
      <c r="CL300" s="18"/>
      <c r="CM300" s="18"/>
      <c r="CN300" s="18"/>
      <c r="CO300" s="18"/>
      <c r="CP300" s="18"/>
      <c r="CQ300" s="18"/>
      <c r="CR300" s="18"/>
      <c r="CS300" s="18"/>
      <c r="CT300" s="18"/>
      <c r="CU300" s="18"/>
      <c r="CV300" s="18"/>
      <c r="CW300" s="18"/>
      <c r="CX300" s="18"/>
      <c r="CY300" s="37"/>
      <c r="CZ300" s="38"/>
      <c r="DA300" s="18"/>
      <c r="DB300" s="37">
        <v>44281</v>
      </c>
      <c r="DC300" s="38">
        <v>15.955500000000001</v>
      </c>
      <c r="DD300" s="18"/>
      <c r="DE300" s="37">
        <v>44281</v>
      </c>
      <c r="DF300" s="38">
        <v>14.984400000000001</v>
      </c>
      <c r="DG300" s="18"/>
      <c r="DH300" s="37">
        <v>44281</v>
      </c>
      <c r="DI300" s="38">
        <v>20.655999999999999</v>
      </c>
      <c r="DJ300" s="18"/>
      <c r="DK300" s="37">
        <v>44281</v>
      </c>
      <c r="DL300" s="38">
        <v>0.1366</v>
      </c>
      <c r="DM300" s="18"/>
      <c r="DN300" s="18"/>
      <c r="DO300" s="18"/>
      <c r="DP300" s="18"/>
      <c r="DQ300" s="18"/>
      <c r="DR300" s="18"/>
      <c r="DS300" s="18"/>
      <c r="DT300" s="18"/>
      <c r="DU300" s="18"/>
      <c r="DV300" s="18"/>
      <c r="DW300" s="18"/>
      <c r="DX300" s="18"/>
      <c r="DY300" s="18"/>
      <c r="DZ300" s="18"/>
    </row>
    <row r="301" spans="1:130" x14ac:dyDescent="0.3">
      <c r="A301" s="18"/>
      <c r="B301" s="18"/>
      <c r="C301" s="18"/>
      <c r="D301" s="18"/>
      <c r="E301" s="18"/>
      <c r="F301" s="18"/>
      <c r="G301" s="18"/>
      <c r="H301" s="18"/>
      <c r="I301" s="18"/>
      <c r="J301" s="18"/>
      <c r="K301" s="18"/>
      <c r="L301" s="18"/>
      <c r="M301" s="18"/>
      <c r="N301" s="17"/>
      <c r="O301" s="17"/>
      <c r="P301" s="17"/>
      <c r="Q301" s="17"/>
      <c r="R301" s="17"/>
      <c r="S301" s="17"/>
      <c r="T301" s="17"/>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7"/>
      <c r="BT301" s="17"/>
      <c r="BU301" s="17"/>
      <c r="BV301" s="17"/>
      <c r="BW301" s="17"/>
      <c r="BX301" s="18"/>
      <c r="BY301" s="18"/>
      <c r="BZ301" s="18"/>
      <c r="CA301" s="18"/>
      <c r="CB301" s="17"/>
      <c r="CC301" s="17"/>
      <c r="CD301" s="17"/>
      <c r="CE301" s="18"/>
      <c r="CF301" s="18"/>
      <c r="CG301" s="18"/>
      <c r="CH301" s="18"/>
      <c r="CI301" s="18"/>
      <c r="CJ301" s="18"/>
      <c r="CK301" s="18"/>
      <c r="CL301" s="18"/>
      <c r="CM301" s="18"/>
      <c r="CN301" s="18"/>
      <c r="CO301" s="18"/>
      <c r="CP301" s="18"/>
      <c r="CQ301" s="18"/>
      <c r="CR301" s="18"/>
      <c r="CS301" s="18"/>
      <c r="CT301" s="18"/>
      <c r="CU301" s="18"/>
      <c r="CV301" s="18"/>
      <c r="CW301" s="18"/>
      <c r="CX301" s="18"/>
      <c r="CY301" s="37"/>
      <c r="CZ301" s="38"/>
      <c r="DA301" s="18"/>
      <c r="DB301" s="37">
        <v>44284</v>
      </c>
      <c r="DC301" s="38">
        <v>15.891299999999999</v>
      </c>
      <c r="DD301" s="18"/>
      <c r="DE301" s="37">
        <v>44284</v>
      </c>
      <c r="DF301" s="38">
        <v>14.920500000000001</v>
      </c>
      <c r="DG301" s="18"/>
      <c r="DH301" s="37">
        <v>44284</v>
      </c>
      <c r="DI301" s="38">
        <v>20.560600000000001</v>
      </c>
      <c r="DJ301" s="18"/>
      <c r="DK301" s="37">
        <v>44284</v>
      </c>
      <c r="DL301" s="38">
        <v>0.1358</v>
      </c>
      <c r="DM301" s="18"/>
      <c r="DN301" s="18"/>
      <c r="DO301" s="18"/>
      <c r="DP301" s="18"/>
      <c r="DQ301" s="18"/>
      <c r="DR301" s="18"/>
      <c r="DS301" s="18"/>
      <c r="DT301" s="18"/>
      <c r="DU301" s="18"/>
      <c r="DV301" s="18"/>
      <c r="DW301" s="18"/>
      <c r="DX301" s="18"/>
      <c r="DY301" s="18"/>
      <c r="DZ301" s="18"/>
    </row>
    <row r="302" spans="1:130" x14ac:dyDescent="0.3">
      <c r="A302" s="18"/>
      <c r="B302" s="18"/>
      <c r="C302" s="18"/>
      <c r="D302" s="18"/>
      <c r="E302" s="18"/>
      <c r="F302" s="18"/>
      <c r="G302" s="18"/>
      <c r="H302" s="18"/>
      <c r="I302" s="18"/>
      <c r="J302" s="18"/>
      <c r="K302" s="18"/>
      <c r="L302" s="18"/>
      <c r="M302" s="18"/>
      <c r="N302" s="17"/>
      <c r="O302" s="17"/>
      <c r="P302" s="17"/>
      <c r="Q302" s="17"/>
      <c r="R302" s="17"/>
      <c r="S302" s="17"/>
      <c r="T302" s="17"/>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7"/>
      <c r="BT302" s="17"/>
      <c r="BU302" s="17"/>
      <c r="BV302" s="17"/>
      <c r="BW302" s="17"/>
      <c r="BX302" s="18"/>
      <c r="BY302" s="18"/>
      <c r="BZ302" s="18"/>
      <c r="CA302" s="18"/>
      <c r="CB302" s="17"/>
      <c r="CC302" s="17"/>
      <c r="CD302" s="17"/>
      <c r="CE302" s="18"/>
      <c r="CF302" s="18"/>
      <c r="CG302" s="18"/>
      <c r="CH302" s="18"/>
      <c r="CI302" s="18"/>
      <c r="CJ302" s="18"/>
      <c r="CK302" s="18"/>
      <c r="CL302" s="18"/>
      <c r="CM302" s="18"/>
      <c r="CN302" s="18"/>
      <c r="CO302" s="18"/>
      <c r="CP302" s="18"/>
      <c r="CQ302" s="18"/>
      <c r="CR302" s="18"/>
      <c r="CS302" s="18"/>
      <c r="CT302" s="18"/>
      <c r="CU302" s="18"/>
      <c r="CV302" s="18"/>
      <c r="CW302" s="18"/>
      <c r="CX302" s="18"/>
      <c r="CY302" s="37"/>
      <c r="CZ302" s="38"/>
      <c r="DA302" s="18"/>
      <c r="DB302" s="37">
        <v>44285</v>
      </c>
      <c r="DC302" s="38">
        <v>15.8283</v>
      </c>
      <c r="DD302" s="18"/>
      <c r="DE302" s="37">
        <v>44285</v>
      </c>
      <c r="DF302" s="38">
        <v>14.9062</v>
      </c>
      <c r="DG302" s="18"/>
      <c r="DH302" s="37">
        <v>44285</v>
      </c>
      <c r="DI302" s="38">
        <v>20.488099999999999</v>
      </c>
      <c r="DJ302" s="18"/>
      <c r="DK302" s="37">
        <v>44285</v>
      </c>
      <c r="DL302" s="38">
        <v>0.13519999999999999</v>
      </c>
      <c r="DM302" s="18"/>
      <c r="DN302" s="18"/>
      <c r="DO302" s="18"/>
      <c r="DP302" s="18"/>
      <c r="DQ302" s="18"/>
      <c r="DR302" s="18"/>
      <c r="DS302" s="18"/>
      <c r="DT302" s="18"/>
      <c r="DU302" s="18"/>
      <c r="DV302" s="18"/>
      <c r="DW302" s="18"/>
      <c r="DX302" s="18"/>
      <c r="DY302" s="18"/>
      <c r="DZ302" s="18"/>
    </row>
    <row r="303" spans="1:130" x14ac:dyDescent="0.3">
      <c r="A303" s="18"/>
      <c r="B303" s="18"/>
      <c r="C303" s="18"/>
      <c r="D303" s="18"/>
      <c r="E303" s="18"/>
      <c r="F303" s="18"/>
      <c r="G303" s="18"/>
      <c r="H303" s="18"/>
      <c r="I303" s="18"/>
      <c r="J303" s="18"/>
      <c r="K303" s="18"/>
      <c r="L303" s="18"/>
      <c r="M303" s="18"/>
      <c r="N303" s="17"/>
      <c r="O303" s="17"/>
      <c r="P303" s="17"/>
      <c r="Q303" s="17"/>
      <c r="R303" s="17"/>
      <c r="S303" s="17"/>
      <c r="T303" s="17"/>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7"/>
      <c r="BT303" s="17"/>
      <c r="BU303" s="17"/>
      <c r="BV303" s="17"/>
      <c r="BW303" s="17"/>
      <c r="BX303" s="18"/>
      <c r="BY303" s="18"/>
      <c r="BZ303" s="18"/>
      <c r="CA303" s="18"/>
      <c r="CB303" s="17"/>
      <c r="CC303" s="17"/>
      <c r="CD303" s="17"/>
      <c r="CE303" s="18"/>
      <c r="CF303" s="18"/>
      <c r="CG303" s="18"/>
      <c r="CH303" s="18"/>
      <c r="CI303" s="18"/>
      <c r="CJ303" s="18"/>
      <c r="CK303" s="18"/>
      <c r="CL303" s="18"/>
      <c r="CM303" s="18"/>
      <c r="CN303" s="18"/>
      <c r="CO303" s="18"/>
      <c r="CP303" s="18"/>
      <c r="CQ303" s="18"/>
      <c r="CR303" s="18"/>
      <c r="CS303" s="18"/>
      <c r="CT303" s="18"/>
      <c r="CU303" s="18"/>
      <c r="CV303" s="18"/>
      <c r="CW303" s="18"/>
      <c r="CX303" s="18"/>
      <c r="CY303" s="37"/>
      <c r="CZ303" s="38"/>
      <c r="DA303" s="18"/>
      <c r="DB303" s="37">
        <v>44286</v>
      </c>
      <c r="DC303" s="38">
        <v>15.6639</v>
      </c>
      <c r="DD303" s="18"/>
      <c r="DE303" s="37">
        <v>44286</v>
      </c>
      <c r="DF303" s="38">
        <v>14.783799999999999</v>
      </c>
      <c r="DG303" s="18"/>
      <c r="DH303" s="37">
        <v>44286</v>
      </c>
      <c r="DI303" s="38">
        <v>20.382899999999999</v>
      </c>
      <c r="DJ303" s="18"/>
      <c r="DK303" s="37">
        <v>44286</v>
      </c>
      <c r="DL303" s="38">
        <v>0.13350000000000001</v>
      </c>
      <c r="DM303" s="18"/>
      <c r="DN303" s="18"/>
      <c r="DO303" s="18"/>
      <c r="DP303" s="18"/>
      <c r="DQ303" s="18"/>
      <c r="DR303" s="18"/>
      <c r="DS303" s="18"/>
      <c r="DT303" s="18"/>
      <c r="DU303" s="18"/>
      <c r="DV303" s="18"/>
      <c r="DW303" s="18"/>
      <c r="DX303" s="18"/>
      <c r="DY303" s="18"/>
      <c r="DZ303" s="18"/>
    </row>
    <row r="304" spans="1:130" x14ac:dyDescent="0.3">
      <c r="A304" s="18"/>
      <c r="B304" s="18"/>
      <c r="C304" s="18"/>
      <c r="D304" s="18"/>
      <c r="E304" s="18"/>
      <c r="F304" s="18"/>
      <c r="G304" s="18"/>
      <c r="H304" s="18"/>
      <c r="I304" s="18"/>
      <c r="J304" s="18"/>
      <c r="K304" s="18"/>
      <c r="L304" s="18"/>
      <c r="M304" s="18"/>
      <c r="N304" s="17"/>
      <c r="O304" s="17"/>
      <c r="P304" s="17"/>
      <c r="Q304" s="17"/>
      <c r="R304" s="17"/>
      <c r="S304" s="17"/>
      <c r="T304" s="17"/>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7"/>
      <c r="BT304" s="17"/>
      <c r="BU304" s="17"/>
      <c r="BV304" s="17"/>
      <c r="BW304" s="17"/>
      <c r="BX304" s="18"/>
      <c r="BY304" s="18"/>
      <c r="BZ304" s="18"/>
      <c r="CA304" s="18"/>
      <c r="CB304" s="17"/>
      <c r="CC304" s="17"/>
      <c r="CD304" s="17"/>
      <c r="CE304" s="18"/>
      <c r="CF304" s="18"/>
      <c r="CG304" s="18"/>
      <c r="CH304" s="18"/>
      <c r="CI304" s="18"/>
      <c r="CJ304" s="18"/>
      <c r="CK304" s="18"/>
      <c r="CL304" s="18"/>
      <c r="CM304" s="18"/>
      <c r="CN304" s="18"/>
      <c r="CO304" s="18"/>
      <c r="CP304" s="18"/>
      <c r="CQ304" s="18"/>
      <c r="CR304" s="18"/>
      <c r="CS304" s="18"/>
      <c r="CT304" s="18"/>
      <c r="CU304" s="18"/>
      <c r="CV304" s="18"/>
      <c r="CW304" s="18"/>
      <c r="CX304" s="18"/>
      <c r="CY304" s="37"/>
      <c r="CZ304" s="38"/>
      <c r="DA304" s="18"/>
      <c r="DB304" s="37">
        <v>44287</v>
      </c>
      <c r="DC304" s="38">
        <v>15.524699999999999</v>
      </c>
      <c r="DD304" s="18"/>
      <c r="DE304" s="37">
        <v>44287</v>
      </c>
      <c r="DF304" s="38">
        <v>14.6256</v>
      </c>
      <c r="DG304" s="18"/>
      <c r="DH304" s="37">
        <v>44287</v>
      </c>
      <c r="DI304" s="38">
        <v>20.234100000000002</v>
      </c>
      <c r="DJ304" s="18"/>
      <c r="DK304" s="37">
        <v>44287</v>
      </c>
      <c r="DL304" s="38">
        <v>0.13220000000000001</v>
      </c>
      <c r="DM304" s="18"/>
      <c r="DN304" s="18"/>
      <c r="DO304" s="18"/>
      <c r="DP304" s="18"/>
      <c r="DQ304" s="18"/>
      <c r="DR304" s="18"/>
      <c r="DS304" s="18"/>
      <c r="DT304" s="18"/>
      <c r="DU304" s="18"/>
      <c r="DV304" s="18"/>
      <c r="DW304" s="18"/>
      <c r="DX304" s="18"/>
      <c r="DY304" s="18"/>
      <c r="DZ304" s="18"/>
    </row>
    <row r="305" spans="1:130" x14ac:dyDescent="0.3">
      <c r="A305" s="18"/>
      <c r="B305" s="18"/>
      <c r="C305" s="18"/>
      <c r="D305" s="18"/>
      <c r="E305" s="18"/>
      <c r="F305" s="18"/>
      <c r="G305" s="18"/>
      <c r="H305" s="18"/>
      <c r="I305" s="18"/>
      <c r="J305" s="18"/>
      <c r="K305" s="18"/>
      <c r="L305" s="18"/>
      <c r="M305" s="18"/>
      <c r="N305" s="17"/>
      <c r="O305" s="17"/>
      <c r="P305" s="17"/>
      <c r="Q305" s="17"/>
      <c r="R305" s="17"/>
      <c r="S305" s="17"/>
      <c r="T305" s="17"/>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7"/>
      <c r="BT305" s="17"/>
      <c r="BU305" s="17"/>
      <c r="BV305" s="17"/>
      <c r="BW305" s="17"/>
      <c r="BX305" s="18"/>
      <c r="BY305" s="18"/>
      <c r="BZ305" s="18"/>
      <c r="CA305" s="18"/>
      <c r="CB305" s="17"/>
      <c r="CC305" s="17"/>
      <c r="CD305" s="17"/>
      <c r="CE305" s="18"/>
      <c r="CF305" s="18"/>
      <c r="CG305" s="18"/>
      <c r="CH305" s="18"/>
      <c r="CI305" s="18"/>
      <c r="CJ305" s="18"/>
      <c r="CK305" s="18"/>
      <c r="CL305" s="18"/>
      <c r="CM305" s="18"/>
      <c r="CN305" s="18"/>
      <c r="CO305" s="18"/>
      <c r="CP305" s="18"/>
      <c r="CQ305" s="18"/>
      <c r="CR305" s="18"/>
      <c r="CS305" s="18"/>
      <c r="CT305" s="18"/>
      <c r="CU305" s="18"/>
      <c r="CV305" s="18"/>
      <c r="CW305" s="18"/>
      <c r="CX305" s="18"/>
      <c r="CY305" s="37"/>
      <c r="CZ305" s="38"/>
      <c r="DA305" s="18"/>
      <c r="DB305" s="37">
        <v>44292</v>
      </c>
      <c r="DC305" s="38">
        <v>15.603999999999999</v>
      </c>
      <c r="DD305" s="18"/>
      <c r="DE305" s="37">
        <v>44292</v>
      </c>
      <c r="DF305" s="38">
        <v>14.5251</v>
      </c>
      <c r="DG305" s="18"/>
      <c r="DH305" s="37">
        <v>44292</v>
      </c>
      <c r="DI305" s="38">
        <v>20.083400000000001</v>
      </c>
      <c r="DJ305" s="18"/>
      <c r="DK305" s="37">
        <v>44292</v>
      </c>
      <c r="DL305" s="38">
        <v>0.1323</v>
      </c>
      <c r="DM305" s="18"/>
      <c r="DN305" s="18"/>
      <c r="DO305" s="18"/>
      <c r="DP305" s="18"/>
      <c r="DQ305" s="18"/>
      <c r="DR305" s="18"/>
      <c r="DS305" s="18"/>
      <c r="DT305" s="18"/>
      <c r="DU305" s="18"/>
      <c r="DV305" s="18"/>
      <c r="DW305" s="18"/>
      <c r="DX305" s="18"/>
      <c r="DY305" s="18"/>
      <c r="DZ305" s="18"/>
    </row>
    <row r="306" spans="1:130" x14ac:dyDescent="0.3">
      <c r="A306" s="18"/>
      <c r="B306" s="18"/>
      <c r="C306" s="18"/>
      <c r="D306" s="18"/>
      <c r="E306" s="18"/>
      <c r="F306" s="18"/>
      <c r="G306" s="18"/>
      <c r="H306" s="18"/>
      <c r="I306" s="18"/>
      <c r="J306" s="18"/>
      <c r="K306" s="18"/>
      <c r="L306" s="18"/>
      <c r="M306" s="18"/>
      <c r="N306" s="17"/>
      <c r="O306" s="17"/>
      <c r="P306" s="17"/>
      <c r="Q306" s="17"/>
      <c r="R306" s="17"/>
      <c r="S306" s="17"/>
      <c r="T306" s="17"/>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7"/>
      <c r="BT306" s="17"/>
      <c r="BU306" s="17"/>
      <c r="BV306" s="17"/>
      <c r="BW306" s="17"/>
      <c r="BX306" s="18"/>
      <c r="BY306" s="18"/>
      <c r="BZ306" s="18"/>
      <c r="CA306" s="18"/>
      <c r="CB306" s="17"/>
      <c r="CC306" s="17"/>
      <c r="CD306" s="17"/>
      <c r="CE306" s="18"/>
      <c r="CF306" s="18"/>
      <c r="CG306" s="18"/>
      <c r="CH306" s="18"/>
      <c r="CI306" s="18"/>
      <c r="CJ306" s="18"/>
      <c r="CK306" s="18"/>
      <c r="CL306" s="18"/>
      <c r="CM306" s="18"/>
      <c r="CN306" s="18"/>
      <c r="CO306" s="18"/>
      <c r="CP306" s="18"/>
      <c r="CQ306" s="18"/>
      <c r="CR306" s="18"/>
      <c r="CS306" s="18"/>
      <c r="CT306" s="18"/>
      <c r="CU306" s="18"/>
      <c r="CV306" s="18"/>
      <c r="CW306" s="18"/>
      <c r="CX306" s="18"/>
      <c r="CY306" s="37"/>
      <c r="CZ306" s="38"/>
      <c r="DA306" s="18"/>
      <c r="DB306" s="37">
        <v>44293</v>
      </c>
      <c r="DC306" s="38">
        <v>15.6797</v>
      </c>
      <c r="DD306" s="18"/>
      <c r="DE306" s="37">
        <v>44293</v>
      </c>
      <c r="DF306" s="38">
        <v>14.575900000000001</v>
      </c>
      <c r="DG306" s="18"/>
      <c r="DH306" s="37">
        <v>44293</v>
      </c>
      <c r="DI306" s="38">
        <v>20.028400000000001</v>
      </c>
      <c r="DJ306" s="18"/>
      <c r="DK306" s="37">
        <v>44293</v>
      </c>
      <c r="DL306" s="38">
        <v>0.1326</v>
      </c>
      <c r="DM306" s="18"/>
      <c r="DN306" s="18"/>
      <c r="DO306" s="18"/>
      <c r="DP306" s="18"/>
      <c r="DQ306" s="18"/>
      <c r="DR306" s="18"/>
      <c r="DS306" s="18"/>
      <c r="DT306" s="18"/>
      <c r="DU306" s="18"/>
      <c r="DV306" s="18"/>
      <c r="DW306" s="18"/>
      <c r="DX306" s="18"/>
      <c r="DY306" s="18"/>
      <c r="DZ306" s="18"/>
    </row>
    <row r="307" spans="1:130" x14ac:dyDescent="0.3">
      <c r="A307" s="18"/>
      <c r="B307" s="18"/>
      <c r="C307" s="18"/>
      <c r="D307" s="18"/>
      <c r="E307" s="18"/>
      <c r="F307" s="18"/>
      <c r="G307" s="18"/>
      <c r="H307" s="18"/>
      <c r="I307" s="18"/>
      <c r="J307" s="18"/>
      <c r="K307" s="18"/>
      <c r="L307" s="18"/>
      <c r="M307" s="18"/>
      <c r="N307" s="17"/>
      <c r="O307" s="17"/>
      <c r="P307" s="17"/>
      <c r="Q307" s="17"/>
      <c r="R307" s="17"/>
      <c r="S307" s="17"/>
      <c r="T307" s="17"/>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7"/>
      <c r="BT307" s="17"/>
      <c r="BU307" s="17"/>
      <c r="BV307" s="17"/>
      <c r="BW307" s="17"/>
      <c r="BX307" s="18"/>
      <c r="BY307" s="18"/>
      <c r="BZ307" s="18"/>
      <c r="CA307" s="18"/>
      <c r="CB307" s="17"/>
      <c r="CC307" s="17"/>
      <c r="CD307" s="17"/>
      <c r="CE307" s="18"/>
      <c r="CF307" s="18"/>
      <c r="CG307" s="18"/>
      <c r="CH307" s="18"/>
      <c r="CI307" s="18"/>
      <c r="CJ307" s="18"/>
      <c r="CK307" s="18"/>
      <c r="CL307" s="18"/>
      <c r="CM307" s="18"/>
      <c r="CN307" s="18"/>
      <c r="CO307" s="18"/>
      <c r="CP307" s="18"/>
      <c r="CQ307" s="18"/>
      <c r="CR307" s="18"/>
      <c r="CS307" s="18"/>
      <c r="CT307" s="18"/>
      <c r="CU307" s="18"/>
      <c r="CV307" s="18"/>
      <c r="CW307" s="18"/>
      <c r="CX307" s="18"/>
      <c r="CY307" s="37"/>
      <c r="CZ307" s="38"/>
      <c r="DA307" s="18"/>
      <c r="DB307" s="37">
        <v>44294</v>
      </c>
      <c r="DC307" s="38">
        <v>15.71</v>
      </c>
      <c r="DD307" s="18"/>
      <c r="DE307" s="37">
        <v>44294</v>
      </c>
      <c r="DF307" s="38">
        <v>14.5205</v>
      </c>
      <c r="DG307" s="18"/>
      <c r="DH307" s="37">
        <v>44294</v>
      </c>
      <c r="DI307" s="38">
        <v>19.943300000000001</v>
      </c>
      <c r="DJ307" s="18"/>
      <c r="DK307" s="37">
        <v>44294</v>
      </c>
      <c r="DL307" s="38">
        <v>0.1328</v>
      </c>
      <c r="DM307" s="18"/>
      <c r="DN307" s="18"/>
      <c r="DO307" s="18"/>
      <c r="DP307" s="18"/>
      <c r="DQ307" s="18"/>
      <c r="DR307" s="18"/>
      <c r="DS307" s="18"/>
      <c r="DT307" s="18"/>
      <c r="DU307" s="18"/>
      <c r="DV307" s="18"/>
      <c r="DW307" s="18"/>
      <c r="DX307" s="18"/>
      <c r="DY307" s="18"/>
      <c r="DZ307" s="18"/>
    </row>
    <row r="308" spans="1:130" x14ac:dyDescent="0.3">
      <c r="A308" s="18"/>
      <c r="B308" s="18"/>
      <c r="C308" s="18"/>
      <c r="D308" s="18"/>
      <c r="E308" s="18"/>
      <c r="F308" s="18"/>
      <c r="G308" s="18"/>
      <c r="H308" s="18"/>
      <c r="I308" s="18"/>
      <c r="J308" s="18"/>
      <c r="K308" s="18"/>
      <c r="L308" s="18"/>
      <c r="M308" s="18"/>
      <c r="N308" s="17"/>
      <c r="O308" s="17"/>
      <c r="P308" s="17"/>
      <c r="Q308" s="17"/>
      <c r="R308" s="17"/>
      <c r="S308" s="17"/>
      <c r="T308" s="17"/>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7"/>
      <c r="BT308" s="17"/>
      <c r="BU308" s="17"/>
      <c r="BV308" s="17"/>
      <c r="BW308" s="17"/>
      <c r="BX308" s="18"/>
      <c r="BY308" s="18"/>
      <c r="BZ308" s="18"/>
      <c r="CA308" s="18"/>
      <c r="CB308" s="17"/>
      <c r="CC308" s="17"/>
      <c r="CD308" s="17"/>
      <c r="CE308" s="18"/>
      <c r="CF308" s="18"/>
      <c r="CG308" s="18"/>
      <c r="CH308" s="18"/>
      <c r="CI308" s="18"/>
      <c r="CJ308" s="18"/>
      <c r="CK308" s="18"/>
      <c r="CL308" s="18"/>
      <c r="CM308" s="18"/>
      <c r="CN308" s="18"/>
      <c r="CO308" s="18"/>
      <c r="CP308" s="18"/>
      <c r="CQ308" s="18"/>
      <c r="CR308" s="18"/>
      <c r="CS308" s="18"/>
      <c r="CT308" s="18"/>
      <c r="CU308" s="18"/>
      <c r="CV308" s="18"/>
      <c r="CW308" s="18"/>
      <c r="CX308" s="18"/>
      <c r="CY308" s="37"/>
      <c r="CZ308" s="38"/>
      <c r="DA308" s="18"/>
      <c r="DB308" s="37">
        <v>44295</v>
      </c>
      <c r="DC308" s="38">
        <v>15.801600000000001</v>
      </c>
      <c r="DD308" s="18"/>
      <c r="DE308" s="37">
        <v>44295</v>
      </c>
      <c r="DF308" s="38">
        <v>14.6112</v>
      </c>
      <c r="DG308" s="18"/>
      <c r="DH308" s="37">
        <v>44295</v>
      </c>
      <c r="DI308" s="38">
        <v>20.0183</v>
      </c>
      <c r="DJ308" s="18"/>
      <c r="DK308" s="37">
        <v>44295</v>
      </c>
      <c r="DL308" s="38">
        <v>0.13320000000000001</v>
      </c>
      <c r="DM308" s="18"/>
      <c r="DN308" s="18"/>
      <c r="DO308" s="18"/>
      <c r="DP308" s="18"/>
      <c r="DQ308" s="18"/>
      <c r="DR308" s="18"/>
      <c r="DS308" s="18"/>
      <c r="DT308" s="18"/>
      <c r="DU308" s="18"/>
      <c r="DV308" s="18"/>
      <c r="DW308" s="18"/>
      <c r="DX308" s="18"/>
      <c r="DY308" s="18"/>
      <c r="DZ308" s="18"/>
    </row>
    <row r="309" spans="1:130" x14ac:dyDescent="0.3">
      <c r="A309" s="18"/>
      <c r="B309" s="18"/>
      <c r="C309" s="18"/>
      <c r="D309" s="18"/>
      <c r="E309" s="18"/>
      <c r="F309" s="18"/>
      <c r="G309" s="18"/>
      <c r="H309" s="18"/>
      <c r="I309" s="18"/>
      <c r="J309" s="18"/>
      <c r="K309" s="18"/>
      <c r="L309" s="18"/>
      <c r="M309" s="18"/>
      <c r="N309" s="17"/>
      <c r="O309" s="17"/>
      <c r="P309" s="17"/>
      <c r="Q309" s="17"/>
      <c r="R309" s="17"/>
      <c r="S309" s="17"/>
      <c r="T309" s="17"/>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7"/>
      <c r="BT309" s="17"/>
      <c r="BU309" s="17"/>
      <c r="BV309" s="17"/>
      <c r="BW309" s="17"/>
      <c r="BX309" s="18"/>
      <c r="BY309" s="18"/>
      <c r="BZ309" s="18"/>
      <c r="CA309" s="18"/>
      <c r="CB309" s="17"/>
      <c r="CC309" s="17"/>
      <c r="CD309" s="17"/>
      <c r="CE309" s="18"/>
      <c r="CF309" s="18"/>
      <c r="CG309" s="18"/>
      <c r="CH309" s="18"/>
      <c r="CI309" s="18"/>
      <c r="CJ309" s="18"/>
      <c r="CK309" s="18"/>
      <c r="CL309" s="18"/>
      <c r="CM309" s="18"/>
      <c r="CN309" s="18"/>
      <c r="CO309" s="18"/>
      <c r="CP309" s="18"/>
      <c r="CQ309" s="18"/>
      <c r="CR309" s="18"/>
      <c r="CS309" s="18"/>
      <c r="CT309" s="18"/>
      <c r="CU309" s="18"/>
      <c r="CV309" s="18"/>
      <c r="CW309" s="18"/>
      <c r="CX309" s="18"/>
      <c r="CY309" s="37"/>
      <c r="CZ309" s="38"/>
      <c r="DA309" s="18"/>
      <c r="DB309" s="37">
        <v>44298</v>
      </c>
      <c r="DC309" s="38">
        <v>15.7888</v>
      </c>
      <c r="DD309" s="18"/>
      <c r="DE309" s="37">
        <v>44298</v>
      </c>
      <c r="DF309" s="38">
        <v>14.563700000000001</v>
      </c>
      <c r="DG309" s="18"/>
      <c r="DH309" s="37">
        <v>44298</v>
      </c>
      <c r="DI309" s="38">
        <v>20.0275</v>
      </c>
      <c r="DJ309" s="18"/>
      <c r="DK309" s="37">
        <v>44298</v>
      </c>
      <c r="DL309" s="38">
        <v>0.13320000000000001</v>
      </c>
      <c r="DM309" s="18"/>
      <c r="DN309" s="18"/>
      <c r="DO309" s="18"/>
      <c r="DP309" s="18"/>
      <c r="DQ309" s="18"/>
      <c r="DR309" s="18"/>
      <c r="DS309" s="18"/>
      <c r="DT309" s="18"/>
      <c r="DU309" s="18"/>
      <c r="DV309" s="18"/>
      <c r="DW309" s="18"/>
      <c r="DX309" s="18"/>
      <c r="DY309" s="18"/>
      <c r="DZ309" s="18"/>
    </row>
    <row r="310" spans="1:130" x14ac:dyDescent="0.3">
      <c r="A310" s="18"/>
      <c r="B310" s="18"/>
      <c r="C310" s="18"/>
      <c r="D310" s="18"/>
      <c r="E310" s="18"/>
      <c r="F310" s="18"/>
      <c r="G310" s="18"/>
      <c r="H310" s="18"/>
      <c r="I310" s="18"/>
      <c r="J310" s="18"/>
      <c r="K310" s="18"/>
      <c r="L310" s="18"/>
      <c r="M310" s="18"/>
      <c r="N310" s="17"/>
      <c r="O310" s="17"/>
      <c r="P310" s="17"/>
      <c r="Q310" s="17"/>
      <c r="R310" s="17"/>
      <c r="S310" s="17"/>
      <c r="T310" s="17"/>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7"/>
      <c r="BT310" s="17"/>
      <c r="BU310" s="17"/>
      <c r="BV310" s="17"/>
      <c r="BW310" s="17"/>
      <c r="BX310" s="18"/>
      <c r="BY310" s="18"/>
      <c r="BZ310" s="18"/>
      <c r="CA310" s="18"/>
      <c r="CB310" s="17"/>
      <c r="CC310" s="17"/>
      <c r="CD310" s="17"/>
      <c r="CE310" s="18"/>
      <c r="CF310" s="18"/>
      <c r="CG310" s="18"/>
      <c r="CH310" s="18"/>
      <c r="CI310" s="18"/>
      <c r="CJ310" s="18"/>
      <c r="CK310" s="18"/>
      <c r="CL310" s="18"/>
      <c r="CM310" s="18"/>
      <c r="CN310" s="18"/>
      <c r="CO310" s="18"/>
      <c r="CP310" s="18"/>
      <c r="CQ310" s="18"/>
      <c r="CR310" s="18"/>
      <c r="CS310" s="18"/>
      <c r="CT310" s="18"/>
      <c r="CU310" s="18"/>
      <c r="CV310" s="18"/>
      <c r="CW310" s="18"/>
      <c r="CX310" s="18"/>
      <c r="CY310" s="37"/>
      <c r="CZ310" s="38"/>
      <c r="DA310" s="18"/>
      <c r="DB310" s="37">
        <v>44299</v>
      </c>
      <c r="DC310" s="38">
        <v>15.763999999999999</v>
      </c>
      <c r="DD310" s="18"/>
      <c r="DE310" s="37">
        <v>44299</v>
      </c>
      <c r="DF310" s="38">
        <v>14.505699999999999</v>
      </c>
      <c r="DG310" s="18"/>
      <c r="DH310" s="37">
        <v>44299</v>
      </c>
      <c r="DI310" s="38">
        <v>19.964600000000001</v>
      </c>
      <c r="DJ310" s="18"/>
      <c r="DK310" s="37">
        <v>44299</v>
      </c>
      <c r="DL310" s="38">
        <v>0.13320000000000001</v>
      </c>
      <c r="DM310" s="18"/>
      <c r="DN310" s="18"/>
      <c r="DO310" s="18"/>
      <c r="DP310" s="18"/>
      <c r="DQ310" s="18"/>
      <c r="DR310" s="18"/>
      <c r="DS310" s="18"/>
      <c r="DT310" s="18"/>
      <c r="DU310" s="18"/>
      <c r="DV310" s="18"/>
      <c r="DW310" s="18"/>
      <c r="DX310" s="18"/>
      <c r="DY310" s="18"/>
      <c r="DZ310" s="18"/>
    </row>
    <row r="311" spans="1:130" x14ac:dyDescent="0.3">
      <c r="A311" s="18"/>
      <c r="B311" s="18"/>
      <c r="C311" s="18"/>
      <c r="D311" s="18"/>
      <c r="E311" s="18"/>
      <c r="F311" s="18"/>
      <c r="G311" s="18"/>
      <c r="H311" s="18"/>
      <c r="I311" s="18"/>
      <c r="J311" s="18"/>
      <c r="K311" s="18"/>
      <c r="L311" s="18"/>
      <c r="M311" s="18"/>
      <c r="N311" s="17"/>
      <c r="O311" s="17"/>
      <c r="P311" s="17"/>
      <c r="Q311" s="17"/>
      <c r="R311" s="17"/>
      <c r="S311" s="17"/>
      <c r="T311" s="17"/>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7"/>
      <c r="BT311" s="17"/>
      <c r="BU311" s="17"/>
      <c r="BV311" s="17"/>
      <c r="BW311" s="17"/>
      <c r="BX311" s="18"/>
      <c r="BY311" s="18"/>
      <c r="BZ311" s="18"/>
      <c r="CA311" s="18"/>
      <c r="CB311" s="17"/>
      <c r="CC311" s="17"/>
      <c r="CD311" s="17"/>
      <c r="CE311" s="18"/>
      <c r="CF311" s="18"/>
      <c r="CG311" s="18"/>
      <c r="CH311" s="18"/>
      <c r="CI311" s="18"/>
      <c r="CJ311" s="18"/>
      <c r="CK311" s="18"/>
      <c r="CL311" s="18"/>
      <c r="CM311" s="18"/>
      <c r="CN311" s="18"/>
      <c r="CO311" s="18"/>
      <c r="CP311" s="18"/>
      <c r="CQ311" s="18"/>
      <c r="CR311" s="18"/>
      <c r="CS311" s="18"/>
      <c r="CT311" s="18"/>
      <c r="CU311" s="18"/>
      <c r="CV311" s="18"/>
      <c r="CW311" s="18"/>
      <c r="CX311" s="18"/>
      <c r="CY311" s="37"/>
      <c r="CZ311" s="38"/>
      <c r="DA311" s="18"/>
      <c r="DB311" s="37">
        <v>44300</v>
      </c>
      <c r="DC311" s="38">
        <v>15.595800000000001</v>
      </c>
      <c r="DD311" s="18"/>
      <c r="DE311" s="37">
        <v>44300</v>
      </c>
      <c r="DF311" s="38">
        <v>14.393700000000001</v>
      </c>
      <c r="DG311" s="18"/>
      <c r="DH311" s="37">
        <v>44300</v>
      </c>
      <c r="DI311" s="38">
        <v>19.8308</v>
      </c>
      <c r="DJ311" s="18"/>
      <c r="DK311" s="37">
        <v>44300</v>
      </c>
      <c r="DL311" s="38">
        <v>0.13220000000000001</v>
      </c>
      <c r="DM311" s="18"/>
      <c r="DN311" s="18"/>
      <c r="DO311" s="18"/>
      <c r="DP311" s="18"/>
      <c r="DQ311" s="18"/>
      <c r="DR311" s="18"/>
      <c r="DS311" s="18"/>
      <c r="DT311" s="18"/>
      <c r="DU311" s="18"/>
      <c r="DV311" s="18"/>
      <c r="DW311" s="18"/>
      <c r="DX311" s="18"/>
      <c r="DY311" s="18"/>
      <c r="DZ311" s="18"/>
    </row>
    <row r="312" spans="1:130" x14ac:dyDescent="0.3">
      <c r="A312" s="18"/>
      <c r="B312" s="18"/>
      <c r="C312" s="18"/>
      <c r="D312" s="18"/>
      <c r="E312" s="18"/>
      <c r="F312" s="18"/>
      <c r="G312" s="18"/>
      <c r="H312" s="18"/>
      <c r="I312" s="18"/>
      <c r="J312" s="18"/>
      <c r="K312" s="18"/>
      <c r="L312" s="18"/>
      <c r="M312" s="18"/>
      <c r="N312" s="17"/>
      <c r="O312" s="17"/>
      <c r="P312" s="17"/>
      <c r="Q312" s="17"/>
      <c r="R312" s="17"/>
      <c r="S312" s="17"/>
      <c r="T312" s="17"/>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7"/>
      <c r="BT312" s="17"/>
      <c r="BU312" s="17"/>
      <c r="BV312" s="17"/>
      <c r="BW312" s="17"/>
      <c r="BX312" s="18"/>
      <c r="BY312" s="18"/>
      <c r="BZ312" s="18"/>
      <c r="CA312" s="18"/>
      <c r="CB312" s="17"/>
      <c r="CC312" s="17"/>
      <c r="CD312" s="17"/>
      <c r="CE312" s="18"/>
      <c r="CF312" s="18"/>
      <c r="CG312" s="18"/>
      <c r="CH312" s="18"/>
      <c r="CI312" s="18"/>
      <c r="CJ312" s="18"/>
      <c r="CK312" s="18"/>
      <c r="CL312" s="18"/>
      <c r="CM312" s="18"/>
      <c r="CN312" s="18"/>
      <c r="CO312" s="18"/>
      <c r="CP312" s="18"/>
      <c r="CQ312" s="18"/>
      <c r="CR312" s="18"/>
      <c r="CS312" s="18"/>
      <c r="CT312" s="18"/>
      <c r="CU312" s="18"/>
      <c r="CV312" s="18"/>
      <c r="CW312" s="18"/>
      <c r="CX312" s="18"/>
      <c r="CY312" s="37"/>
      <c r="CZ312" s="38"/>
      <c r="DA312" s="18"/>
      <c r="DB312" s="37">
        <v>44301</v>
      </c>
      <c r="DC312" s="38">
        <v>15.364699999999999</v>
      </c>
      <c r="DD312" s="18"/>
      <c r="DE312" s="37">
        <v>44301</v>
      </c>
      <c r="DF312" s="38">
        <v>14.165100000000001</v>
      </c>
      <c r="DG312" s="18"/>
      <c r="DH312" s="37">
        <v>44301</v>
      </c>
      <c r="DI312" s="38">
        <v>19.526499999999999</v>
      </c>
      <c r="DJ312" s="18"/>
      <c r="DK312" s="37">
        <v>44301</v>
      </c>
      <c r="DL312" s="38">
        <v>0.13039999999999999</v>
      </c>
      <c r="DM312" s="18"/>
      <c r="DN312" s="18"/>
      <c r="DO312" s="18"/>
      <c r="DP312" s="18"/>
      <c r="DQ312" s="18"/>
      <c r="DR312" s="18"/>
      <c r="DS312" s="18"/>
      <c r="DT312" s="18"/>
      <c r="DU312" s="18"/>
      <c r="DV312" s="18"/>
      <c r="DW312" s="18"/>
      <c r="DX312" s="18"/>
      <c r="DY312" s="18"/>
      <c r="DZ312" s="18"/>
    </row>
    <row r="313" spans="1:130" x14ac:dyDescent="0.3">
      <c r="A313" s="18"/>
      <c r="B313" s="18"/>
      <c r="C313" s="18"/>
      <c r="D313" s="18"/>
      <c r="E313" s="18"/>
      <c r="F313" s="18"/>
      <c r="G313" s="18"/>
      <c r="H313" s="18"/>
      <c r="I313" s="18"/>
      <c r="J313" s="18"/>
      <c r="K313" s="18"/>
      <c r="L313" s="18"/>
      <c r="M313" s="18"/>
      <c r="N313" s="17"/>
      <c r="O313" s="17"/>
      <c r="P313" s="17"/>
      <c r="Q313" s="17"/>
      <c r="R313" s="17"/>
      <c r="S313" s="17"/>
      <c r="T313" s="17"/>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7"/>
      <c r="BT313" s="17"/>
      <c r="BU313" s="17"/>
      <c r="BV313" s="17"/>
      <c r="BW313" s="17"/>
      <c r="BX313" s="18"/>
      <c r="BY313" s="18"/>
      <c r="BZ313" s="18"/>
      <c r="CA313" s="18"/>
      <c r="CB313" s="17"/>
      <c r="CC313" s="17"/>
      <c r="CD313" s="17"/>
      <c r="CE313" s="18"/>
      <c r="CF313" s="18"/>
      <c r="CG313" s="18"/>
      <c r="CH313" s="18"/>
      <c r="CI313" s="18"/>
      <c r="CJ313" s="18"/>
      <c r="CK313" s="18"/>
      <c r="CL313" s="18"/>
      <c r="CM313" s="18"/>
      <c r="CN313" s="18"/>
      <c r="CO313" s="18"/>
      <c r="CP313" s="18"/>
      <c r="CQ313" s="18"/>
      <c r="CR313" s="18"/>
      <c r="CS313" s="18"/>
      <c r="CT313" s="18"/>
      <c r="CU313" s="18"/>
      <c r="CV313" s="18"/>
      <c r="CW313" s="18"/>
      <c r="CX313" s="18"/>
      <c r="CY313" s="37"/>
      <c r="CZ313" s="38"/>
      <c r="DA313" s="18"/>
      <c r="DB313" s="37">
        <v>44302</v>
      </c>
      <c r="DC313" s="38">
        <v>15.556699999999999</v>
      </c>
      <c r="DD313" s="18"/>
      <c r="DE313" s="37">
        <v>44302</v>
      </c>
      <c r="DF313" s="38">
        <v>14.3101</v>
      </c>
      <c r="DG313" s="18"/>
      <c r="DH313" s="37">
        <v>44302</v>
      </c>
      <c r="DI313" s="38">
        <v>19.8123</v>
      </c>
      <c r="DJ313" s="18"/>
      <c r="DK313" s="37">
        <v>44302</v>
      </c>
      <c r="DL313" s="38">
        <v>0.13150000000000001</v>
      </c>
      <c r="DM313" s="18"/>
      <c r="DN313" s="18"/>
      <c r="DO313" s="18"/>
      <c r="DP313" s="18"/>
      <c r="DQ313" s="18"/>
      <c r="DR313" s="18"/>
      <c r="DS313" s="18"/>
      <c r="DT313" s="18"/>
      <c r="DU313" s="18"/>
      <c r="DV313" s="18"/>
      <c r="DW313" s="18"/>
      <c r="DX313" s="18"/>
      <c r="DY313" s="18"/>
      <c r="DZ313" s="18"/>
    </row>
    <row r="314" spans="1:130" x14ac:dyDescent="0.3">
      <c r="A314" s="18"/>
      <c r="B314" s="18"/>
      <c r="C314" s="18"/>
      <c r="D314" s="18"/>
      <c r="E314" s="18"/>
      <c r="F314" s="18"/>
      <c r="G314" s="18"/>
      <c r="H314" s="18"/>
      <c r="I314" s="18"/>
      <c r="J314" s="18"/>
      <c r="K314" s="18"/>
      <c r="L314" s="18"/>
      <c r="M314" s="18"/>
      <c r="N314" s="17"/>
      <c r="O314" s="17"/>
      <c r="P314" s="17"/>
      <c r="Q314" s="17"/>
      <c r="R314" s="17"/>
      <c r="S314" s="17"/>
      <c r="T314" s="17"/>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7"/>
      <c r="BT314" s="17"/>
      <c r="BU314" s="17"/>
      <c r="BV314" s="17"/>
      <c r="BW314" s="17"/>
      <c r="BX314" s="18"/>
      <c r="BY314" s="18"/>
      <c r="BZ314" s="18"/>
      <c r="CA314" s="18"/>
      <c r="CB314" s="17"/>
      <c r="CC314" s="17"/>
      <c r="CD314" s="17"/>
      <c r="CE314" s="18"/>
      <c r="CF314" s="18"/>
      <c r="CG314" s="18"/>
      <c r="CH314" s="18"/>
      <c r="CI314" s="18"/>
      <c r="CJ314" s="18"/>
      <c r="CK314" s="18"/>
      <c r="CL314" s="18"/>
      <c r="CM314" s="18"/>
      <c r="CN314" s="18"/>
      <c r="CO314" s="18"/>
      <c r="CP314" s="18"/>
      <c r="CQ314" s="18"/>
      <c r="CR314" s="18"/>
      <c r="CS314" s="18"/>
      <c r="CT314" s="18"/>
      <c r="CU314" s="18"/>
      <c r="CV314" s="18"/>
      <c r="CW314" s="18"/>
      <c r="CX314" s="18"/>
      <c r="CY314" s="37"/>
      <c r="CZ314" s="38"/>
      <c r="DA314" s="18"/>
      <c r="DB314" s="37">
        <v>44305</v>
      </c>
      <c r="DC314" s="38">
        <v>15.5379</v>
      </c>
      <c r="DD314" s="18"/>
      <c r="DE314" s="37">
        <v>44305</v>
      </c>
      <c r="DF314" s="38">
        <v>14.214600000000001</v>
      </c>
      <c r="DG314" s="18"/>
      <c r="DH314" s="37">
        <v>44305</v>
      </c>
      <c r="DI314" s="38">
        <v>19.890799999999999</v>
      </c>
      <c r="DJ314" s="18"/>
      <c r="DK314" s="37">
        <v>44305</v>
      </c>
      <c r="DL314" s="38">
        <v>0.13150000000000001</v>
      </c>
      <c r="DM314" s="18"/>
      <c r="DN314" s="18"/>
      <c r="DO314" s="18"/>
      <c r="DP314" s="18"/>
      <c r="DQ314" s="18"/>
      <c r="DR314" s="18"/>
      <c r="DS314" s="18"/>
      <c r="DT314" s="18"/>
      <c r="DU314" s="18"/>
      <c r="DV314" s="18"/>
      <c r="DW314" s="18"/>
      <c r="DX314" s="18"/>
      <c r="DY314" s="18"/>
      <c r="DZ314" s="18"/>
    </row>
    <row r="315" spans="1:130" x14ac:dyDescent="0.3">
      <c r="A315" s="18"/>
      <c r="B315" s="18"/>
      <c r="C315" s="18"/>
      <c r="D315" s="18"/>
      <c r="E315" s="18"/>
      <c r="F315" s="18"/>
      <c r="G315" s="18"/>
      <c r="H315" s="18"/>
      <c r="I315" s="18"/>
      <c r="J315" s="18"/>
      <c r="K315" s="18"/>
      <c r="L315" s="18"/>
      <c r="M315" s="18"/>
      <c r="N315" s="17"/>
      <c r="O315" s="17"/>
      <c r="P315" s="17"/>
      <c r="Q315" s="17"/>
      <c r="R315" s="17"/>
      <c r="S315" s="17"/>
      <c r="T315" s="17"/>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7"/>
      <c r="BT315" s="17"/>
      <c r="BU315" s="17"/>
      <c r="BV315" s="17"/>
      <c r="BW315" s="17"/>
      <c r="BX315" s="18"/>
      <c r="BY315" s="18"/>
      <c r="BZ315" s="18"/>
      <c r="CA315" s="18"/>
      <c r="CB315" s="17"/>
      <c r="CC315" s="17"/>
      <c r="CD315" s="17"/>
      <c r="CE315" s="18"/>
      <c r="CF315" s="18"/>
      <c r="CG315" s="18"/>
      <c r="CH315" s="18"/>
      <c r="CI315" s="18"/>
      <c r="CJ315" s="18"/>
      <c r="CK315" s="18"/>
      <c r="CL315" s="18"/>
      <c r="CM315" s="18"/>
      <c r="CN315" s="18"/>
      <c r="CO315" s="18"/>
      <c r="CP315" s="18"/>
      <c r="CQ315" s="18"/>
      <c r="CR315" s="18"/>
      <c r="CS315" s="18"/>
      <c r="CT315" s="18"/>
      <c r="CU315" s="18"/>
      <c r="CV315" s="18"/>
      <c r="CW315" s="18"/>
      <c r="CX315" s="18"/>
      <c r="CY315" s="37"/>
      <c r="CZ315" s="38"/>
      <c r="DA315" s="18"/>
      <c r="DB315" s="37">
        <v>44306</v>
      </c>
      <c r="DC315" s="38">
        <v>15.609</v>
      </c>
      <c r="DD315" s="18"/>
      <c r="DE315" s="37">
        <v>44306</v>
      </c>
      <c r="DF315" s="38">
        <v>14.3002</v>
      </c>
      <c r="DG315" s="18"/>
      <c r="DH315" s="37">
        <v>44306</v>
      </c>
      <c r="DI315" s="38">
        <v>19.928999999999998</v>
      </c>
      <c r="DJ315" s="18"/>
      <c r="DK315" s="37">
        <v>44306</v>
      </c>
      <c r="DL315" s="38">
        <v>0.1323</v>
      </c>
      <c r="DM315" s="18"/>
      <c r="DN315" s="18"/>
      <c r="DO315" s="18"/>
      <c r="DP315" s="18"/>
      <c r="DQ315" s="18"/>
      <c r="DR315" s="18"/>
      <c r="DS315" s="18"/>
      <c r="DT315" s="18"/>
      <c r="DU315" s="18"/>
      <c r="DV315" s="18"/>
      <c r="DW315" s="18"/>
      <c r="DX315" s="18"/>
      <c r="DY315" s="18"/>
      <c r="DZ315" s="18"/>
    </row>
    <row r="316" spans="1:130" x14ac:dyDescent="0.3">
      <c r="A316" s="18"/>
      <c r="B316" s="18"/>
      <c r="C316" s="18"/>
      <c r="D316" s="18"/>
      <c r="E316" s="18"/>
      <c r="F316" s="18"/>
      <c r="G316" s="18"/>
      <c r="H316" s="18"/>
      <c r="I316" s="18"/>
      <c r="J316" s="18"/>
      <c r="K316" s="18"/>
      <c r="L316" s="18"/>
      <c r="M316" s="18"/>
      <c r="N316" s="17"/>
      <c r="O316" s="17"/>
      <c r="P316" s="17"/>
      <c r="Q316" s="17"/>
      <c r="R316" s="17"/>
      <c r="S316" s="17"/>
      <c r="T316" s="17"/>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7"/>
      <c r="BT316" s="17"/>
      <c r="BU316" s="17"/>
      <c r="BV316" s="17"/>
      <c r="BW316" s="17"/>
      <c r="BX316" s="18"/>
      <c r="BY316" s="18"/>
      <c r="BZ316" s="18"/>
      <c r="CA316" s="18"/>
      <c r="CB316" s="17"/>
      <c r="CC316" s="17"/>
      <c r="CD316" s="17"/>
      <c r="CE316" s="18"/>
      <c r="CF316" s="18"/>
      <c r="CG316" s="18"/>
      <c r="CH316" s="18"/>
      <c r="CI316" s="18"/>
      <c r="CJ316" s="18"/>
      <c r="CK316" s="18"/>
      <c r="CL316" s="18"/>
      <c r="CM316" s="18"/>
      <c r="CN316" s="18"/>
      <c r="CO316" s="18"/>
      <c r="CP316" s="18"/>
      <c r="CQ316" s="18"/>
      <c r="CR316" s="18"/>
      <c r="CS316" s="18"/>
      <c r="CT316" s="18"/>
      <c r="CU316" s="18"/>
      <c r="CV316" s="18"/>
      <c r="CW316" s="18"/>
      <c r="CX316" s="18"/>
      <c r="CY316" s="37"/>
      <c r="CZ316" s="38"/>
      <c r="DA316" s="18"/>
      <c r="DB316" s="37">
        <v>44307</v>
      </c>
      <c r="DC316" s="38">
        <v>15.5403</v>
      </c>
      <c r="DD316" s="18"/>
      <c r="DE316" s="37">
        <v>44307</v>
      </c>
      <c r="DF316" s="38">
        <v>14.249599999999999</v>
      </c>
      <c r="DG316" s="18"/>
      <c r="DH316" s="37">
        <v>44307</v>
      </c>
      <c r="DI316" s="38">
        <v>19.851700000000001</v>
      </c>
      <c r="DJ316" s="18"/>
      <c r="DK316" s="37">
        <v>44307</v>
      </c>
      <c r="DL316" s="38">
        <v>0.13189999999999999</v>
      </c>
      <c r="DM316" s="18"/>
      <c r="DN316" s="18"/>
      <c r="DO316" s="18"/>
      <c r="DP316" s="18"/>
      <c r="DQ316" s="18"/>
      <c r="DR316" s="18"/>
      <c r="DS316" s="18"/>
      <c r="DT316" s="18"/>
      <c r="DU316" s="18"/>
      <c r="DV316" s="18"/>
      <c r="DW316" s="18"/>
      <c r="DX316" s="18"/>
      <c r="DY316" s="18"/>
      <c r="DZ316" s="18"/>
    </row>
    <row r="317" spans="1:130" x14ac:dyDescent="0.3">
      <c r="A317" s="18"/>
      <c r="B317" s="18"/>
      <c r="C317" s="18"/>
      <c r="D317" s="18"/>
      <c r="E317" s="18"/>
      <c r="F317" s="18"/>
      <c r="G317" s="18"/>
      <c r="H317" s="18"/>
      <c r="I317" s="18"/>
      <c r="J317" s="18"/>
      <c r="K317" s="18"/>
      <c r="L317" s="18"/>
      <c r="M317" s="18"/>
      <c r="N317" s="17"/>
      <c r="O317" s="17"/>
      <c r="P317" s="17"/>
      <c r="Q317" s="17"/>
      <c r="R317" s="17"/>
      <c r="S317" s="17"/>
      <c r="T317" s="17"/>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7"/>
      <c r="BT317" s="17"/>
      <c r="BU317" s="17"/>
      <c r="BV317" s="17"/>
      <c r="BW317" s="17"/>
      <c r="BX317" s="18"/>
      <c r="BY317" s="18"/>
      <c r="BZ317" s="18"/>
      <c r="CA317" s="18"/>
      <c r="CB317" s="17"/>
      <c r="CC317" s="17"/>
      <c r="CD317" s="17"/>
      <c r="CE317" s="18"/>
      <c r="CF317" s="18"/>
      <c r="CG317" s="18"/>
      <c r="CH317" s="18"/>
      <c r="CI317" s="18"/>
      <c r="CJ317" s="18"/>
      <c r="CK317" s="18"/>
      <c r="CL317" s="18"/>
      <c r="CM317" s="18"/>
      <c r="CN317" s="18"/>
      <c r="CO317" s="18"/>
      <c r="CP317" s="18"/>
      <c r="CQ317" s="18"/>
      <c r="CR317" s="18"/>
      <c r="CS317" s="18"/>
      <c r="CT317" s="18"/>
      <c r="CU317" s="18"/>
      <c r="CV317" s="18"/>
      <c r="CW317" s="18"/>
      <c r="CX317" s="18"/>
      <c r="CY317" s="37"/>
      <c r="CZ317" s="38"/>
      <c r="DA317" s="18"/>
      <c r="DB317" s="37">
        <v>44308</v>
      </c>
      <c r="DC317" s="38">
        <v>15.6096</v>
      </c>
      <c r="DD317" s="18"/>
      <c r="DE317" s="37">
        <v>44308</v>
      </c>
      <c r="DF317" s="38">
        <v>14.317299999999999</v>
      </c>
      <c r="DG317" s="18"/>
      <c r="DH317" s="37">
        <v>44308</v>
      </c>
      <c r="DI317" s="38">
        <v>19.813400000000001</v>
      </c>
      <c r="DJ317" s="18"/>
      <c r="DK317" s="37">
        <v>44308</v>
      </c>
      <c r="DL317" s="38">
        <v>0.1326</v>
      </c>
      <c r="DM317" s="18"/>
      <c r="DN317" s="18"/>
      <c r="DO317" s="18"/>
      <c r="DP317" s="18"/>
      <c r="DQ317" s="18"/>
      <c r="DR317" s="18"/>
      <c r="DS317" s="18"/>
      <c r="DT317" s="18"/>
      <c r="DU317" s="18"/>
      <c r="DV317" s="18"/>
      <c r="DW317" s="18"/>
      <c r="DX317" s="18"/>
      <c r="DY317" s="18"/>
      <c r="DZ317" s="18"/>
    </row>
    <row r="318" spans="1:130" x14ac:dyDescent="0.3">
      <c r="A318" s="18"/>
      <c r="B318" s="18"/>
      <c r="C318" s="18"/>
      <c r="D318" s="18"/>
      <c r="E318" s="18"/>
      <c r="F318" s="18"/>
      <c r="G318" s="18"/>
      <c r="H318" s="18"/>
      <c r="I318" s="18"/>
      <c r="J318" s="18"/>
      <c r="K318" s="18"/>
      <c r="L318" s="18"/>
      <c r="M318" s="18"/>
      <c r="N318" s="17"/>
      <c r="O318" s="17"/>
      <c r="P318" s="17"/>
      <c r="Q318" s="17"/>
      <c r="R318" s="17"/>
      <c r="S318" s="17"/>
      <c r="T318" s="17"/>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7"/>
      <c r="BT318" s="17"/>
      <c r="BU318" s="17"/>
      <c r="BV318" s="17"/>
      <c r="BW318" s="17"/>
      <c r="BX318" s="18"/>
      <c r="BY318" s="18"/>
      <c r="BZ318" s="18"/>
      <c r="CA318" s="18"/>
      <c r="CB318" s="17"/>
      <c r="CC318" s="17"/>
      <c r="CD318" s="17"/>
      <c r="CE318" s="18"/>
      <c r="CF318" s="18"/>
      <c r="CG318" s="18"/>
      <c r="CH318" s="18"/>
      <c r="CI318" s="18"/>
      <c r="CJ318" s="18"/>
      <c r="CK318" s="18"/>
      <c r="CL318" s="18"/>
      <c r="CM318" s="18"/>
      <c r="CN318" s="18"/>
      <c r="CO318" s="18"/>
      <c r="CP318" s="18"/>
      <c r="CQ318" s="18"/>
      <c r="CR318" s="18"/>
      <c r="CS318" s="18"/>
      <c r="CT318" s="18"/>
      <c r="CU318" s="18"/>
      <c r="CV318" s="18"/>
      <c r="CW318" s="18"/>
      <c r="CX318" s="18"/>
      <c r="CY318" s="37"/>
      <c r="CZ318" s="38"/>
      <c r="DA318" s="18"/>
      <c r="DB318" s="37">
        <v>44309</v>
      </c>
      <c r="DC318" s="38">
        <v>15.6257</v>
      </c>
      <c r="DD318" s="18"/>
      <c r="DE318" s="37">
        <v>44309</v>
      </c>
      <c r="DF318" s="38">
        <v>14.277100000000001</v>
      </c>
      <c r="DG318" s="18"/>
      <c r="DH318" s="37">
        <v>44309</v>
      </c>
      <c r="DI318" s="38">
        <v>19.811699999999998</v>
      </c>
      <c r="DJ318" s="18"/>
      <c r="DK318" s="37">
        <v>44309</v>
      </c>
      <c r="DL318" s="38">
        <v>0.1323</v>
      </c>
      <c r="DM318" s="18"/>
      <c r="DN318" s="18"/>
      <c r="DO318" s="18"/>
      <c r="DP318" s="18"/>
      <c r="DQ318" s="18"/>
      <c r="DR318" s="18"/>
      <c r="DS318" s="18"/>
      <c r="DT318" s="18"/>
      <c r="DU318" s="18"/>
      <c r="DV318" s="18"/>
      <c r="DW318" s="18"/>
      <c r="DX318" s="18"/>
      <c r="DY318" s="18"/>
      <c r="DZ318" s="18"/>
    </row>
    <row r="319" spans="1:130" x14ac:dyDescent="0.3">
      <c r="A319" s="18"/>
      <c r="B319" s="18"/>
      <c r="C319" s="18"/>
      <c r="D319" s="18"/>
      <c r="E319" s="18"/>
      <c r="F319" s="18"/>
      <c r="G319" s="18"/>
      <c r="H319" s="18"/>
      <c r="I319" s="18"/>
      <c r="J319" s="18"/>
      <c r="K319" s="18"/>
      <c r="L319" s="18"/>
      <c r="M319" s="18"/>
      <c r="N319" s="17"/>
      <c r="O319" s="17"/>
      <c r="P319" s="17"/>
      <c r="Q319" s="17"/>
      <c r="R319" s="17"/>
      <c r="S319" s="17"/>
      <c r="T319" s="17"/>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7"/>
      <c r="BT319" s="17"/>
      <c r="BU319" s="17"/>
      <c r="BV319" s="17"/>
      <c r="BW319" s="17"/>
      <c r="BX319" s="18"/>
      <c r="BY319" s="18"/>
      <c r="BZ319" s="18"/>
      <c r="CA319" s="18"/>
      <c r="CB319" s="17"/>
      <c r="CC319" s="17"/>
      <c r="CD319" s="17"/>
      <c r="CE319" s="18"/>
      <c r="CF319" s="18"/>
      <c r="CG319" s="18"/>
      <c r="CH319" s="18"/>
      <c r="CI319" s="18"/>
      <c r="CJ319" s="18"/>
      <c r="CK319" s="18"/>
      <c r="CL319" s="18"/>
      <c r="CM319" s="18"/>
      <c r="CN319" s="18"/>
      <c r="CO319" s="18"/>
      <c r="CP319" s="18"/>
      <c r="CQ319" s="18"/>
      <c r="CR319" s="18"/>
      <c r="CS319" s="18"/>
      <c r="CT319" s="18"/>
      <c r="CU319" s="18"/>
      <c r="CV319" s="18"/>
      <c r="CW319" s="18"/>
      <c r="CX319" s="18"/>
      <c r="CY319" s="37"/>
      <c r="CZ319" s="38"/>
      <c r="DA319" s="18"/>
      <c r="DB319" s="37">
        <v>44312</v>
      </c>
      <c r="DC319" s="38">
        <v>15.6088</v>
      </c>
      <c r="DD319" s="18"/>
      <c r="DE319" s="37">
        <v>44312</v>
      </c>
      <c r="DF319" s="38">
        <v>14.2751</v>
      </c>
      <c r="DG319" s="18"/>
      <c r="DH319" s="37">
        <v>44312</v>
      </c>
      <c r="DI319" s="38">
        <v>19.836500000000001</v>
      </c>
      <c r="DJ319" s="18"/>
      <c r="DK319" s="37">
        <v>44312</v>
      </c>
      <c r="DL319" s="38">
        <v>0.13200000000000001</v>
      </c>
      <c r="DM319" s="18"/>
      <c r="DN319" s="18"/>
      <c r="DO319" s="18"/>
      <c r="DP319" s="18"/>
      <c r="DQ319" s="18"/>
      <c r="DR319" s="18"/>
      <c r="DS319" s="18"/>
      <c r="DT319" s="18"/>
      <c r="DU319" s="18"/>
      <c r="DV319" s="18"/>
      <c r="DW319" s="18"/>
      <c r="DX319" s="18"/>
      <c r="DY319" s="18"/>
      <c r="DZ319" s="18"/>
    </row>
    <row r="320" spans="1:130" x14ac:dyDescent="0.3">
      <c r="A320" s="18"/>
      <c r="B320" s="18"/>
      <c r="C320" s="18"/>
      <c r="D320" s="18"/>
      <c r="E320" s="18"/>
      <c r="F320" s="18"/>
      <c r="G320" s="18"/>
      <c r="H320" s="18"/>
      <c r="I320" s="18"/>
      <c r="J320" s="18"/>
      <c r="K320" s="18"/>
      <c r="L320" s="18"/>
      <c r="M320" s="18"/>
      <c r="N320" s="17"/>
      <c r="O320" s="17"/>
      <c r="P320" s="17"/>
      <c r="Q320" s="17"/>
      <c r="R320" s="17"/>
      <c r="S320" s="17"/>
      <c r="T320" s="17"/>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7"/>
      <c r="BT320" s="17"/>
      <c r="BU320" s="17"/>
      <c r="BV320" s="17"/>
      <c r="BW320" s="17"/>
      <c r="BX320" s="18"/>
      <c r="BY320" s="18"/>
      <c r="BZ320" s="18"/>
      <c r="CA320" s="18"/>
      <c r="CB320" s="17"/>
      <c r="CC320" s="17"/>
      <c r="CD320" s="17"/>
      <c r="CE320" s="18"/>
      <c r="CF320" s="18"/>
      <c r="CG320" s="18"/>
      <c r="CH320" s="18"/>
      <c r="CI320" s="18"/>
      <c r="CJ320" s="18"/>
      <c r="CK320" s="18"/>
      <c r="CL320" s="18"/>
      <c r="CM320" s="18"/>
      <c r="CN320" s="18"/>
      <c r="CO320" s="18"/>
      <c r="CP320" s="18"/>
      <c r="CQ320" s="18"/>
      <c r="CR320" s="18"/>
      <c r="CS320" s="18"/>
      <c r="CT320" s="18"/>
      <c r="CU320" s="18"/>
      <c r="CV320" s="18"/>
      <c r="CW320" s="18"/>
      <c r="CX320" s="18"/>
      <c r="CY320" s="37"/>
      <c r="CZ320" s="38"/>
      <c r="DA320" s="18"/>
      <c r="DB320" s="37">
        <v>44314</v>
      </c>
      <c r="DC320" s="38">
        <v>15.6557</v>
      </c>
      <c r="DD320" s="18"/>
      <c r="DE320" s="37">
        <v>44314</v>
      </c>
      <c r="DF320" s="38">
        <v>14.2316</v>
      </c>
      <c r="DG320" s="18"/>
      <c r="DH320" s="37">
        <v>44314</v>
      </c>
      <c r="DI320" s="38">
        <v>19.8626</v>
      </c>
      <c r="DJ320" s="18"/>
      <c r="DK320" s="37">
        <v>44314</v>
      </c>
      <c r="DL320" s="38">
        <v>0.13120000000000001</v>
      </c>
      <c r="DM320" s="18"/>
      <c r="DN320" s="18"/>
      <c r="DO320" s="18"/>
      <c r="DP320" s="18"/>
      <c r="DQ320" s="18"/>
      <c r="DR320" s="18"/>
      <c r="DS320" s="18"/>
      <c r="DT320" s="18"/>
      <c r="DU320" s="18"/>
      <c r="DV320" s="18"/>
      <c r="DW320" s="18"/>
      <c r="DX320" s="18"/>
      <c r="DY320" s="18"/>
      <c r="DZ320" s="18"/>
    </row>
    <row r="321" spans="1:130" x14ac:dyDescent="0.3">
      <c r="A321" s="18"/>
      <c r="B321" s="18"/>
      <c r="C321" s="18"/>
      <c r="D321" s="18"/>
      <c r="E321" s="18"/>
      <c r="F321" s="18"/>
      <c r="G321" s="18"/>
      <c r="H321" s="18"/>
      <c r="I321" s="18"/>
      <c r="J321" s="18"/>
      <c r="K321" s="18"/>
      <c r="L321" s="18"/>
      <c r="M321" s="18"/>
      <c r="N321" s="17"/>
      <c r="O321" s="17"/>
      <c r="P321" s="17"/>
      <c r="Q321" s="17"/>
      <c r="R321" s="17"/>
      <c r="S321" s="17"/>
      <c r="T321" s="17"/>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7"/>
      <c r="BT321" s="17"/>
      <c r="BU321" s="17"/>
      <c r="BV321" s="17"/>
      <c r="BW321" s="17"/>
      <c r="BX321" s="18"/>
      <c r="BY321" s="18"/>
      <c r="BZ321" s="18"/>
      <c r="CA321" s="18"/>
      <c r="CB321" s="17"/>
      <c r="CC321" s="17"/>
      <c r="CD321" s="17"/>
      <c r="CE321" s="18"/>
      <c r="CF321" s="18"/>
      <c r="CG321" s="18"/>
      <c r="CH321" s="18"/>
      <c r="CI321" s="18"/>
      <c r="CJ321" s="18"/>
      <c r="CK321" s="18"/>
      <c r="CL321" s="18"/>
      <c r="CM321" s="18"/>
      <c r="CN321" s="18"/>
      <c r="CO321" s="18"/>
      <c r="CP321" s="18"/>
      <c r="CQ321" s="18"/>
      <c r="CR321" s="18"/>
      <c r="CS321" s="18"/>
      <c r="CT321" s="18"/>
      <c r="CU321" s="18"/>
      <c r="CV321" s="18"/>
      <c r="CW321" s="18"/>
      <c r="CX321" s="18"/>
      <c r="CY321" s="37"/>
      <c r="CZ321" s="38"/>
      <c r="DA321" s="18"/>
      <c r="DB321" s="37">
        <v>44315</v>
      </c>
      <c r="DC321" s="38">
        <v>15.7295</v>
      </c>
      <c r="DD321" s="18"/>
      <c r="DE321" s="37">
        <v>44315</v>
      </c>
      <c r="DF321" s="38">
        <v>14.297000000000001</v>
      </c>
      <c r="DG321" s="18"/>
      <c r="DH321" s="37">
        <v>44315</v>
      </c>
      <c r="DI321" s="38">
        <v>19.945900000000002</v>
      </c>
      <c r="DJ321" s="18"/>
      <c r="DK321" s="37">
        <v>44315</v>
      </c>
      <c r="DL321" s="38">
        <v>0.1313</v>
      </c>
      <c r="DM321" s="18"/>
      <c r="DN321" s="18"/>
      <c r="DO321" s="18"/>
      <c r="DP321" s="18"/>
      <c r="DQ321" s="18"/>
      <c r="DR321" s="18"/>
      <c r="DS321" s="18"/>
      <c r="DT321" s="18"/>
      <c r="DU321" s="18"/>
      <c r="DV321" s="18"/>
      <c r="DW321" s="18"/>
      <c r="DX321" s="18"/>
      <c r="DY321" s="18"/>
      <c r="DZ321" s="18"/>
    </row>
    <row r="322" spans="1:130" x14ac:dyDescent="0.3">
      <c r="A322" s="18"/>
      <c r="B322" s="18"/>
      <c r="C322" s="18"/>
      <c r="D322" s="18"/>
      <c r="E322" s="18"/>
      <c r="F322" s="18"/>
      <c r="G322" s="18"/>
      <c r="H322" s="18"/>
      <c r="I322" s="18"/>
      <c r="J322" s="18"/>
      <c r="K322" s="18"/>
      <c r="L322" s="18"/>
      <c r="M322" s="18"/>
      <c r="N322" s="17"/>
      <c r="O322" s="17"/>
      <c r="P322" s="17"/>
      <c r="Q322" s="17"/>
      <c r="R322" s="17"/>
      <c r="S322" s="17"/>
      <c r="T322" s="17"/>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7"/>
      <c r="BT322" s="17"/>
      <c r="BU322" s="17"/>
      <c r="BV322" s="17"/>
      <c r="BW322" s="17"/>
      <c r="BX322" s="18"/>
      <c r="BY322" s="18"/>
      <c r="BZ322" s="18"/>
      <c r="CA322" s="18"/>
      <c r="CB322" s="17"/>
      <c r="CC322" s="17"/>
      <c r="CD322" s="17"/>
      <c r="CE322" s="18"/>
      <c r="CF322" s="18"/>
      <c r="CG322" s="18"/>
      <c r="CH322" s="18"/>
      <c r="CI322" s="18"/>
      <c r="CJ322" s="18"/>
      <c r="CK322" s="18"/>
      <c r="CL322" s="18"/>
      <c r="CM322" s="18"/>
      <c r="CN322" s="18"/>
      <c r="CO322" s="18"/>
      <c r="CP322" s="18"/>
      <c r="CQ322" s="18"/>
      <c r="CR322" s="18"/>
      <c r="CS322" s="18"/>
      <c r="CT322" s="18"/>
      <c r="CU322" s="18"/>
      <c r="CV322" s="18"/>
      <c r="CW322" s="18"/>
      <c r="CX322" s="18"/>
      <c r="CY322" s="37"/>
      <c r="CZ322" s="38"/>
      <c r="DA322" s="18"/>
      <c r="DB322" s="37">
        <v>44316</v>
      </c>
      <c r="DC322" s="38">
        <v>15.8713</v>
      </c>
      <c r="DD322" s="18"/>
      <c r="DE322" s="37">
        <v>44316</v>
      </c>
      <c r="DF322" s="38">
        <v>14.494999999999999</v>
      </c>
      <c r="DG322" s="18"/>
      <c r="DH322" s="37">
        <v>44316</v>
      </c>
      <c r="DI322" s="38">
        <v>20.0306</v>
      </c>
      <c r="DJ322" s="18"/>
      <c r="DK322" s="37">
        <v>44316</v>
      </c>
      <c r="DL322" s="38">
        <v>0.1326</v>
      </c>
      <c r="DM322" s="18"/>
      <c r="DN322" s="18"/>
      <c r="DO322" s="18"/>
      <c r="DP322" s="18"/>
      <c r="DQ322" s="18"/>
      <c r="DR322" s="18"/>
      <c r="DS322" s="18"/>
      <c r="DT322" s="18"/>
      <c r="DU322" s="18"/>
      <c r="DV322" s="18"/>
      <c r="DW322" s="18"/>
      <c r="DX322" s="18"/>
      <c r="DY322" s="18"/>
      <c r="DZ322" s="18"/>
    </row>
    <row r="323" spans="1:130" x14ac:dyDescent="0.3">
      <c r="A323" s="18"/>
      <c r="B323" s="18"/>
      <c r="C323" s="18"/>
      <c r="D323" s="18"/>
      <c r="E323" s="18"/>
      <c r="F323" s="18"/>
      <c r="G323" s="18"/>
      <c r="H323" s="18"/>
      <c r="I323" s="18"/>
      <c r="J323" s="18"/>
      <c r="K323" s="18"/>
      <c r="L323" s="18"/>
      <c r="M323" s="18"/>
      <c r="N323" s="17"/>
      <c r="O323" s="17"/>
      <c r="P323" s="17"/>
      <c r="Q323" s="17"/>
      <c r="R323" s="17"/>
      <c r="S323" s="17"/>
      <c r="T323" s="17"/>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7"/>
      <c r="BT323" s="17"/>
      <c r="BU323" s="17"/>
      <c r="BV323" s="17"/>
      <c r="BW323" s="17"/>
      <c r="BX323" s="18"/>
      <c r="BY323" s="18"/>
      <c r="BZ323" s="18"/>
      <c r="CA323" s="18"/>
      <c r="CB323" s="17"/>
      <c r="CC323" s="17"/>
      <c r="CD323" s="17"/>
      <c r="CE323" s="18"/>
      <c r="CF323" s="18"/>
      <c r="CG323" s="18"/>
      <c r="CH323" s="18"/>
      <c r="CI323" s="18"/>
      <c r="CJ323" s="18"/>
      <c r="CK323" s="18"/>
      <c r="CL323" s="18"/>
      <c r="CM323" s="18"/>
      <c r="CN323" s="18"/>
      <c r="CO323" s="18"/>
      <c r="CP323" s="18"/>
      <c r="CQ323" s="18"/>
      <c r="CR323" s="18"/>
      <c r="CS323" s="18"/>
      <c r="CT323" s="18"/>
      <c r="CU323" s="18"/>
      <c r="CV323" s="18"/>
      <c r="CW323" s="18"/>
      <c r="CX323" s="18"/>
      <c r="CY323" s="37"/>
      <c r="CZ323" s="38"/>
      <c r="DA323" s="18"/>
      <c r="DB323" s="37">
        <v>44319</v>
      </c>
      <c r="DC323" s="38">
        <v>15.7986</v>
      </c>
      <c r="DD323" s="18"/>
      <c r="DE323" s="37">
        <v>44319</v>
      </c>
      <c r="DF323" s="38">
        <v>14.398</v>
      </c>
      <c r="DG323" s="18"/>
      <c r="DH323" s="37">
        <v>44319</v>
      </c>
      <c r="DI323" s="38">
        <v>20.021999999999998</v>
      </c>
      <c r="DJ323" s="18"/>
      <c r="DK323" s="37">
        <v>44319</v>
      </c>
      <c r="DL323" s="38">
        <v>0.1321</v>
      </c>
      <c r="DM323" s="18"/>
      <c r="DN323" s="18"/>
      <c r="DO323" s="18"/>
      <c r="DP323" s="18"/>
      <c r="DQ323" s="18"/>
      <c r="DR323" s="18"/>
      <c r="DS323" s="18"/>
      <c r="DT323" s="18"/>
      <c r="DU323" s="18"/>
      <c r="DV323" s="18"/>
      <c r="DW323" s="18"/>
      <c r="DX323" s="18"/>
      <c r="DY323" s="18"/>
      <c r="DZ323" s="18"/>
    </row>
    <row r="324" spans="1:130" x14ac:dyDescent="0.3">
      <c r="A324" s="18"/>
      <c r="B324" s="18"/>
      <c r="C324" s="18"/>
      <c r="D324" s="18"/>
      <c r="E324" s="18"/>
      <c r="F324" s="18"/>
      <c r="G324" s="18"/>
      <c r="H324" s="18"/>
      <c r="I324" s="18"/>
      <c r="J324" s="18"/>
      <c r="K324" s="18"/>
      <c r="L324" s="18"/>
      <c r="M324" s="18"/>
      <c r="N324" s="17"/>
      <c r="O324" s="17"/>
      <c r="P324" s="17"/>
      <c r="Q324" s="17"/>
      <c r="R324" s="17"/>
      <c r="S324" s="17"/>
      <c r="T324" s="17"/>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7"/>
      <c r="BT324" s="17"/>
      <c r="BU324" s="17"/>
      <c r="BV324" s="17"/>
      <c r="BW324" s="17"/>
      <c r="BX324" s="18"/>
      <c r="BY324" s="18"/>
      <c r="BZ324" s="18"/>
      <c r="CA324" s="18"/>
      <c r="CB324" s="17"/>
      <c r="CC324" s="17"/>
      <c r="CD324" s="17"/>
      <c r="CE324" s="18"/>
      <c r="CF324" s="18"/>
      <c r="CG324" s="18"/>
      <c r="CH324" s="18"/>
      <c r="CI324" s="18"/>
      <c r="CJ324" s="18"/>
      <c r="CK324" s="18"/>
      <c r="CL324" s="18"/>
      <c r="CM324" s="18"/>
      <c r="CN324" s="18"/>
      <c r="CO324" s="18"/>
      <c r="CP324" s="18"/>
      <c r="CQ324" s="18"/>
      <c r="CR324" s="18"/>
      <c r="CS324" s="18"/>
      <c r="CT324" s="18"/>
      <c r="CU324" s="18"/>
      <c r="CV324" s="18"/>
      <c r="CW324" s="18"/>
      <c r="CX324" s="18"/>
      <c r="CY324" s="37"/>
      <c r="CZ324" s="38"/>
      <c r="DA324" s="18"/>
      <c r="DB324" s="37">
        <v>44320</v>
      </c>
      <c r="DC324" s="38">
        <v>15.8361</v>
      </c>
      <c r="DD324" s="18"/>
      <c r="DE324" s="37">
        <v>44320</v>
      </c>
      <c r="DF324" s="38">
        <v>14.466699999999999</v>
      </c>
      <c r="DG324" s="18"/>
      <c r="DH324" s="37">
        <v>44320</v>
      </c>
      <c r="DI324" s="38">
        <v>20.092500000000001</v>
      </c>
      <c r="DJ324" s="18"/>
      <c r="DK324" s="37">
        <v>44320</v>
      </c>
      <c r="DL324" s="38">
        <v>0.13239999999999999</v>
      </c>
      <c r="DM324" s="18"/>
      <c r="DN324" s="18"/>
      <c r="DO324" s="18"/>
      <c r="DP324" s="18"/>
      <c r="DQ324" s="18"/>
      <c r="DR324" s="18"/>
      <c r="DS324" s="18"/>
      <c r="DT324" s="18"/>
      <c r="DU324" s="18"/>
      <c r="DV324" s="18"/>
      <c r="DW324" s="18"/>
      <c r="DX324" s="18"/>
      <c r="DY324" s="18"/>
      <c r="DZ324" s="18"/>
    </row>
    <row r="325" spans="1:130" x14ac:dyDescent="0.3">
      <c r="A325" s="18"/>
      <c r="B325" s="18"/>
      <c r="C325" s="18"/>
      <c r="D325" s="18"/>
      <c r="E325" s="18"/>
      <c r="F325" s="18"/>
      <c r="G325" s="18"/>
      <c r="H325" s="18"/>
      <c r="I325" s="18"/>
      <c r="J325" s="18"/>
      <c r="K325" s="18"/>
      <c r="L325" s="18"/>
      <c r="M325" s="18"/>
      <c r="N325" s="17"/>
      <c r="O325" s="17"/>
      <c r="P325" s="17"/>
      <c r="Q325" s="17"/>
      <c r="R325" s="17"/>
      <c r="S325" s="17"/>
      <c r="T325" s="17"/>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7"/>
      <c r="BT325" s="17"/>
      <c r="BU325" s="17"/>
      <c r="BV325" s="17"/>
      <c r="BW325" s="17"/>
      <c r="BX325" s="18"/>
      <c r="BY325" s="18"/>
      <c r="BZ325" s="18"/>
      <c r="CA325" s="18"/>
      <c r="CB325" s="17"/>
      <c r="CC325" s="17"/>
      <c r="CD325" s="17"/>
      <c r="CE325" s="18"/>
      <c r="CF325" s="18"/>
      <c r="CG325" s="18"/>
      <c r="CH325" s="18"/>
      <c r="CI325" s="18"/>
      <c r="CJ325" s="18"/>
      <c r="CK325" s="18"/>
      <c r="CL325" s="18"/>
      <c r="CM325" s="18"/>
      <c r="CN325" s="18"/>
      <c r="CO325" s="18"/>
      <c r="CP325" s="18"/>
      <c r="CQ325" s="18"/>
      <c r="CR325" s="18"/>
      <c r="CS325" s="18"/>
      <c r="CT325" s="18"/>
      <c r="CU325" s="18"/>
      <c r="CV325" s="18"/>
      <c r="CW325" s="18"/>
      <c r="CX325" s="18"/>
      <c r="CY325" s="37"/>
      <c r="CZ325" s="38"/>
      <c r="DA325" s="18"/>
      <c r="DB325" s="37">
        <v>44321</v>
      </c>
      <c r="DC325" s="38">
        <v>15.726000000000001</v>
      </c>
      <c r="DD325" s="18"/>
      <c r="DE325" s="37">
        <v>44321</v>
      </c>
      <c r="DF325" s="38">
        <v>14.356299999999999</v>
      </c>
      <c r="DG325" s="18"/>
      <c r="DH325" s="37">
        <v>44321</v>
      </c>
      <c r="DI325" s="38">
        <v>19.962800000000001</v>
      </c>
      <c r="DJ325" s="18"/>
      <c r="DK325" s="37">
        <v>44321</v>
      </c>
      <c r="DL325" s="38">
        <v>0.13159999999999999</v>
      </c>
      <c r="DM325" s="18"/>
      <c r="DN325" s="18"/>
      <c r="DO325" s="18"/>
      <c r="DP325" s="18"/>
      <c r="DQ325" s="18"/>
      <c r="DR325" s="18"/>
      <c r="DS325" s="18"/>
      <c r="DT325" s="18"/>
      <c r="DU325" s="18"/>
      <c r="DV325" s="18"/>
      <c r="DW325" s="18"/>
      <c r="DX325" s="18"/>
      <c r="DY325" s="18"/>
      <c r="DZ325" s="18"/>
    </row>
    <row r="326" spans="1:130" x14ac:dyDescent="0.3">
      <c r="A326" s="18"/>
      <c r="B326" s="18"/>
      <c r="C326" s="18"/>
      <c r="D326" s="18"/>
      <c r="E326" s="18"/>
      <c r="F326" s="18"/>
      <c r="G326" s="18"/>
      <c r="H326" s="18"/>
      <c r="I326" s="18"/>
      <c r="J326" s="18"/>
      <c r="K326" s="18"/>
      <c r="L326" s="18"/>
      <c r="M326" s="18"/>
      <c r="N326" s="17"/>
      <c r="O326" s="17"/>
      <c r="P326" s="17"/>
      <c r="Q326" s="17"/>
      <c r="R326" s="17"/>
      <c r="S326" s="17"/>
      <c r="T326" s="17"/>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7"/>
      <c r="BT326" s="17"/>
      <c r="BU326" s="17"/>
      <c r="BV326" s="17"/>
      <c r="BW326" s="17"/>
      <c r="BX326" s="18"/>
      <c r="BY326" s="18"/>
      <c r="BZ326" s="18"/>
      <c r="CA326" s="18"/>
      <c r="CB326" s="17"/>
      <c r="CC326" s="17"/>
      <c r="CD326" s="17"/>
      <c r="CE326" s="18"/>
      <c r="CF326" s="18"/>
      <c r="CG326" s="18"/>
      <c r="CH326" s="18"/>
      <c r="CI326" s="18"/>
      <c r="CJ326" s="18"/>
      <c r="CK326" s="18"/>
      <c r="CL326" s="18"/>
      <c r="CM326" s="18"/>
      <c r="CN326" s="18"/>
      <c r="CO326" s="18"/>
      <c r="CP326" s="18"/>
      <c r="CQ326" s="18"/>
      <c r="CR326" s="18"/>
      <c r="CS326" s="18"/>
      <c r="CT326" s="18"/>
      <c r="CU326" s="18"/>
      <c r="CV326" s="18"/>
      <c r="CW326" s="18"/>
      <c r="CX326" s="18"/>
      <c r="CY326" s="37"/>
      <c r="CZ326" s="38"/>
      <c r="DA326" s="18"/>
      <c r="DB326" s="37">
        <v>44322</v>
      </c>
      <c r="DC326" s="38">
        <v>15.638299999999999</v>
      </c>
      <c r="DD326" s="18"/>
      <c r="DE326" s="37">
        <v>44322</v>
      </c>
      <c r="DF326" s="38">
        <v>14.1942</v>
      </c>
      <c r="DG326" s="18"/>
      <c r="DH326" s="37">
        <v>44322</v>
      </c>
      <c r="DI326" s="38">
        <v>19.7256</v>
      </c>
      <c r="DJ326" s="18"/>
      <c r="DK326" s="37">
        <v>44322</v>
      </c>
      <c r="DL326" s="38">
        <v>0.13020000000000001</v>
      </c>
      <c r="DM326" s="18"/>
      <c r="DN326" s="18"/>
      <c r="DO326" s="18"/>
      <c r="DP326" s="18"/>
      <c r="DQ326" s="18"/>
      <c r="DR326" s="18"/>
      <c r="DS326" s="18"/>
      <c r="DT326" s="18"/>
      <c r="DU326" s="18"/>
      <c r="DV326" s="18"/>
      <c r="DW326" s="18"/>
      <c r="DX326" s="18"/>
      <c r="DY326" s="18"/>
      <c r="DZ326" s="18"/>
    </row>
    <row r="327" spans="1:130" x14ac:dyDescent="0.3">
      <c r="A327" s="18"/>
      <c r="B327" s="18"/>
      <c r="C327" s="18"/>
      <c r="D327" s="18"/>
      <c r="E327" s="18"/>
      <c r="F327" s="18"/>
      <c r="G327" s="18"/>
      <c r="H327" s="18"/>
      <c r="I327" s="18"/>
      <c r="J327" s="18"/>
      <c r="K327" s="18"/>
      <c r="L327" s="18"/>
      <c r="M327" s="18"/>
      <c r="N327" s="17"/>
      <c r="O327" s="17"/>
      <c r="P327" s="17"/>
      <c r="Q327" s="17"/>
      <c r="R327" s="17"/>
      <c r="S327" s="17"/>
      <c r="T327" s="17"/>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7"/>
      <c r="BT327" s="17"/>
      <c r="BU327" s="17"/>
      <c r="BV327" s="17"/>
      <c r="BW327" s="17"/>
      <c r="BX327" s="18"/>
      <c r="BY327" s="18"/>
      <c r="BZ327" s="18"/>
      <c r="CA327" s="18"/>
      <c r="CB327" s="17"/>
      <c r="CC327" s="17"/>
      <c r="CD327" s="17"/>
      <c r="CE327" s="18"/>
      <c r="CF327" s="18"/>
      <c r="CG327" s="18"/>
      <c r="CH327" s="18"/>
      <c r="CI327" s="18"/>
      <c r="CJ327" s="18"/>
      <c r="CK327" s="18"/>
      <c r="CL327" s="18"/>
      <c r="CM327" s="18"/>
      <c r="CN327" s="18"/>
      <c r="CO327" s="18"/>
      <c r="CP327" s="18"/>
      <c r="CQ327" s="18"/>
      <c r="CR327" s="18"/>
      <c r="CS327" s="18"/>
      <c r="CT327" s="18"/>
      <c r="CU327" s="18"/>
      <c r="CV327" s="18"/>
      <c r="CW327" s="18"/>
      <c r="CX327" s="18"/>
      <c r="CY327" s="37"/>
      <c r="CZ327" s="38"/>
      <c r="DA327" s="18"/>
      <c r="DB327" s="37">
        <v>44323</v>
      </c>
      <c r="DC327" s="38">
        <v>15.6096</v>
      </c>
      <c r="DD327" s="18"/>
      <c r="DE327" s="37">
        <v>44323</v>
      </c>
      <c r="DF327" s="38">
        <v>14.057399999999999</v>
      </c>
      <c r="DG327" s="18"/>
      <c r="DH327" s="37">
        <v>44323</v>
      </c>
      <c r="DI327" s="38">
        <v>19.66</v>
      </c>
      <c r="DJ327" s="18"/>
      <c r="DK327" s="37">
        <v>44323</v>
      </c>
      <c r="DL327" s="38">
        <v>0.1295</v>
      </c>
      <c r="DM327" s="18"/>
      <c r="DN327" s="18"/>
      <c r="DO327" s="18"/>
      <c r="DP327" s="18"/>
      <c r="DQ327" s="18"/>
      <c r="DR327" s="18"/>
      <c r="DS327" s="18"/>
      <c r="DT327" s="18"/>
      <c r="DU327" s="18"/>
      <c r="DV327" s="18"/>
      <c r="DW327" s="18"/>
      <c r="DX327" s="18"/>
      <c r="DY327" s="18"/>
      <c r="DZ327" s="18"/>
    </row>
    <row r="328" spans="1:130" x14ac:dyDescent="0.3">
      <c r="A328" s="18"/>
      <c r="B328" s="18"/>
      <c r="C328" s="18"/>
      <c r="D328" s="18"/>
      <c r="E328" s="18"/>
      <c r="F328" s="18"/>
      <c r="G328" s="18"/>
      <c r="H328" s="18"/>
      <c r="I328" s="18"/>
      <c r="J328" s="18"/>
      <c r="K328" s="18"/>
      <c r="L328" s="18"/>
      <c r="M328" s="18"/>
      <c r="N328" s="17"/>
      <c r="O328" s="17"/>
      <c r="P328" s="17"/>
      <c r="Q328" s="17"/>
      <c r="R328" s="17"/>
      <c r="S328" s="17"/>
      <c r="T328" s="17"/>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7"/>
      <c r="BT328" s="17"/>
      <c r="BU328" s="17"/>
      <c r="BV328" s="17"/>
      <c r="BW328" s="17"/>
      <c r="BX328" s="18"/>
      <c r="BY328" s="18"/>
      <c r="BZ328" s="18"/>
      <c r="CA328" s="18"/>
      <c r="CB328" s="17"/>
      <c r="CC328" s="17"/>
      <c r="CD328" s="17"/>
      <c r="CE328" s="18"/>
      <c r="CF328" s="18"/>
      <c r="CG328" s="18"/>
      <c r="CH328" s="18"/>
      <c r="CI328" s="18"/>
      <c r="CJ328" s="18"/>
      <c r="CK328" s="18"/>
      <c r="CL328" s="18"/>
      <c r="CM328" s="18"/>
      <c r="CN328" s="18"/>
      <c r="CO328" s="18"/>
      <c r="CP328" s="18"/>
      <c r="CQ328" s="18"/>
      <c r="CR328" s="18"/>
      <c r="CS328" s="18"/>
      <c r="CT328" s="18"/>
      <c r="CU328" s="18"/>
      <c r="CV328" s="18"/>
      <c r="CW328" s="18"/>
      <c r="CX328" s="18"/>
      <c r="CY328" s="37"/>
      <c r="CZ328" s="38"/>
      <c r="DA328" s="18"/>
      <c r="DB328" s="37">
        <v>44326</v>
      </c>
      <c r="DC328" s="38">
        <v>15.5936</v>
      </c>
      <c r="DD328" s="18"/>
      <c r="DE328" s="37">
        <v>44326</v>
      </c>
      <c r="DF328" s="38">
        <v>14.0433</v>
      </c>
      <c r="DG328" s="18"/>
      <c r="DH328" s="37">
        <v>44326</v>
      </c>
      <c r="DI328" s="38">
        <v>19.8447</v>
      </c>
      <c r="DJ328" s="18"/>
      <c r="DK328" s="37">
        <v>44326</v>
      </c>
      <c r="DL328" s="38">
        <v>0.12909999999999999</v>
      </c>
      <c r="DM328" s="18"/>
      <c r="DN328" s="18"/>
      <c r="DO328" s="18"/>
      <c r="DP328" s="18"/>
      <c r="DQ328" s="18"/>
      <c r="DR328" s="18"/>
      <c r="DS328" s="18"/>
      <c r="DT328" s="18"/>
      <c r="DU328" s="18"/>
      <c r="DV328" s="18"/>
      <c r="DW328" s="18"/>
      <c r="DX328" s="18"/>
      <c r="DY328" s="18"/>
      <c r="DZ328" s="18"/>
    </row>
    <row r="329" spans="1:130" x14ac:dyDescent="0.3">
      <c r="A329" s="18"/>
      <c r="B329" s="18"/>
      <c r="C329" s="18"/>
      <c r="D329" s="18"/>
      <c r="E329" s="18"/>
      <c r="F329" s="18"/>
      <c r="G329" s="18"/>
      <c r="H329" s="18"/>
      <c r="I329" s="18"/>
      <c r="J329" s="18"/>
      <c r="K329" s="18"/>
      <c r="L329" s="18"/>
      <c r="M329" s="18"/>
      <c r="N329" s="17"/>
      <c r="O329" s="17"/>
      <c r="P329" s="17"/>
      <c r="Q329" s="17"/>
      <c r="R329" s="17"/>
      <c r="S329" s="17"/>
      <c r="T329" s="17"/>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7"/>
      <c r="BT329" s="17"/>
      <c r="BU329" s="17"/>
      <c r="BV329" s="17"/>
      <c r="BW329" s="17"/>
      <c r="BX329" s="18"/>
      <c r="BY329" s="18"/>
      <c r="BZ329" s="18"/>
      <c r="CA329" s="18"/>
      <c r="CB329" s="17"/>
      <c r="CC329" s="17"/>
      <c r="CD329" s="17"/>
      <c r="CE329" s="18"/>
      <c r="CF329" s="18"/>
      <c r="CG329" s="18"/>
      <c r="CH329" s="18"/>
      <c r="CI329" s="18"/>
      <c r="CJ329" s="18"/>
      <c r="CK329" s="18"/>
      <c r="CL329" s="18"/>
      <c r="CM329" s="18"/>
      <c r="CN329" s="18"/>
      <c r="CO329" s="18"/>
      <c r="CP329" s="18"/>
      <c r="CQ329" s="18"/>
      <c r="CR329" s="18"/>
      <c r="CS329" s="18"/>
      <c r="CT329" s="18"/>
      <c r="CU329" s="18"/>
      <c r="CV329" s="18"/>
      <c r="CW329" s="18"/>
      <c r="CX329" s="18"/>
      <c r="CY329" s="37"/>
      <c r="CZ329" s="38"/>
      <c r="DA329" s="18"/>
      <c r="DB329" s="37">
        <v>44327</v>
      </c>
      <c r="DC329" s="38">
        <v>15.472899999999999</v>
      </c>
      <c r="DD329" s="18"/>
      <c r="DE329" s="37">
        <v>44327</v>
      </c>
      <c r="DF329" s="38">
        <v>13.9893</v>
      </c>
      <c r="DG329" s="18"/>
      <c r="DH329" s="37">
        <v>44327</v>
      </c>
      <c r="DI329" s="38">
        <v>19.775300000000001</v>
      </c>
      <c r="DJ329" s="18"/>
      <c r="DK329" s="37">
        <v>44327</v>
      </c>
      <c r="DL329" s="38">
        <v>0.12870000000000001</v>
      </c>
      <c r="DM329" s="18"/>
      <c r="DN329" s="18"/>
      <c r="DO329" s="18"/>
      <c r="DP329" s="18"/>
      <c r="DQ329" s="18"/>
      <c r="DR329" s="18"/>
      <c r="DS329" s="18"/>
      <c r="DT329" s="18"/>
      <c r="DU329" s="18"/>
      <c r="DV329" s="18"/>
      <c r="DW329" s="18"/>
      <c r="DX329" s="18"/>
      <c r="DY329" s="18"/>
      <c r="DZ329" s="18"/>
    </row>
    <row r="330" spans="1:130" x14ac:dyDescent="0.3">
      <c r="A330" s="18"/>
      <c r="B330" s="18"/>
      <c r="C330" s="18"/>
      <c r="D330" s="18"/>
      <c r="E330" s="18"/>
      <c r="F330" s="18"/>
      <c r="G330" s="18"/>
      <c r="H330" s="18"/>
      <c r="I330" s="18"/>
      <c r="J330" s="18"/>
      <c r="K330" s="18"/>
      <c r="L330" s="18"/>
      <c r="M330" s="18"/>
      <c r="N330" s="17"/>
      <c r="O330" s="17"/>
      <c r="P330" s="17"/>
      <c r="Q330" s="17"/>
      <c r="R330" s="17"/>
      <c r="S330" s="17"/>
      <c r="T330" s="17"/>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7"/>
      <c r="BT330" s="17"/>
      <c r="BU330" s="17"/>
      <c r="BV330" s="17"/>
      <c r="BW330" s="17"/>
      <c r="BX330" s="18"/>
      <c r="BY330" s="18"/>
      <c r="BZ330" s="18"/>
      <c r="CA330" s="18"/>
      <c r="CB330" s="17"/>
      <c r="CC330" s="17"/>
      <c r="CD330" s="17"/>
      <c r="CE330" s="18"/>
      <c r="CF330" s="18"/>
      <c r="CG330" s="18"/>
      <c r="CH330" s="18"/>
      <c r="CI330" s="18"/>
      <c r="CJ330" s="18"/>
      <c r="CK330" s="18"/>
      <c r="CL330" s="18"/>
      <c r="CM330" s="18"/>
      <c r="CN330" s="18"/>
      <c r="CO330" s="18"/>
      <c r="CP330" s="18"/>
      <c r="CQ330" s="18"/>
      <c r="CR330" s="18"/>
      <c r="CS330" s="18"/>
      <c r="CT330" s="18"/>
      <c r="CU330" s="18"/>
      <c r="CV330" s="18"/>
      <c r="CW330" s="18"/>
      <c r="CX330" s="18"/>
      <c r="CY330" s="37"/>
      <c r="CZ330" s="38"/>
      <c r="DA330" s="18"/>
      <c r="DB330" s="37">
        <v>44328</v>
      </c>
      <c r="DC330" s="38">
        <v>15.5412</v>
      </c>
      <c r="DD330" s="18"/>
      <c r="DE330" s="37">
        <v>44328</v>
      </c>
      <c r="DF330" s="38">
        <v>14.128</v>
      </c>
      <c r="DG330" s="18"/>
      <c r="DH330" s="37">
        <v>44328</v>
      </c>
      <c r="DI330" s="38">
        <v>19.862200000000001</v>
      </c>
      <c r="DJ330" s="18"/>
      <c r="DK330" s="37">
        <v>44328</v>
      </c>
      <c r="DL330" s="38">
        <v>0.1288</v>
      </c>
      <c r="DM330" s="18"/>
      <c r="DN330" s="18"/>
      <c r="DO330" s="18"/>
      <c r="DP330" s="18"/>
      <c r="DQ330" s="18"/>
      <c r="DR330" s="18"/>
      <c r="DS330" s="18"/>
      <c r="DT330" s="18"/>
      <c r="DU330" s="18"/>
      <c r="DV330" s="18"/>
      <c r="DW330" s="18"/>
      <c r="DX330" s="18"/>
      <c r="DY330" s="18"/>
      <c r="DZ330" s="18"/>
    </row>
    <row r="331" spans="1:130" x14ac:dyDescent="0.3">
      <c r="A331" s="18"/>
      <c r="B331" s="18"/>
      <c r="C331" s="18"/>
      <c r="D331" s="18"/>
      <c r="E331" s="18"/>
      <c r="F331" s="18"/>
      <c r="G331" s="18"/>
      <c r="H331" s="18"/>
      <c r="I331" s="18"/>
      <c r="J331" s="18"/>
      <c r="K331" s="18"/>
      <c r="L331" s="18"/>
      <c r="M331" s="18"/>
      <c r="N331" s="17"/>
      <c r="O331" s="17"/>
      <c r="P331" s="17"/>
      <c r="Q331" s="17"/>
      <c r="R331" s="17"/>
      <c r="S331" s="17"/>
      <c r="T331" s="17"/>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7"/>
      <c r="BT331" s="17"/>
      <c r="BU331" s="17"/>
      <c r="BV331" s="17"/>
      <c r="BW331" s="17"/>
      <c r="BX331" s="18"/>
      <c r="BY331" s="18"/>
      <c r="BZ331" s="18"/>
      <c r="CA331" s="18"/>
      <c r="CB331" s="17"/>
      <c r="CC331" s="17"/>
      <c r="CD331" s="17"/>
      <c r="CE331" s="18"/>
      <c r="CF331" s="18"/>
      <c r="CG331" s="18"/>
      <c r="CH331" s="18"/>
      <c r="CI331" s="18"/>
      <c r="CJ331" s="18"/>
      <c r="CK331" s="18"/>
      <c r="CL331" s="18"/>
      <c r="CM331" s="18"/>
      <c r="CN331" s="18"/>
      <c r="CO331" s="18"/>
      <c r="CP331" s="18"/>
      <c r="CQ331" s="18"/>
      <c r="CR331" s="18"/>
      <c r="CS331" s="18"/>
      <c r="CT331" s="18"/>
      <c r="CU331" s="18"/>
      <c r="CV331" s="18"/>
      <c r="CW331" s="18"/>
      <c r="CX331" s="18"/>
      <c r="CY331" s="37"/>
      <c r="CZ331" s="38"/>
      <c r="DA331" s="18"/>
      <c r="DB331" s="37">
        <v>44329</v>
      </c>
      <c r="DC331" s="38">
        <v>15.6157</v>
      </c>
      <c r="DD331" s="18"/>
      <c r="DE331" s="37">
        <v>44329</v>
      </c>
      <c r="DF331" s="38">
        <v>14.147</v>
      </c>
      <c r="DG331" s="18"/>
      <c r="DH331" s="37">
        <v>44329</v>
      </c>
      <c r="DI331" s="38">
        <v>19.8718</v>
      </c>
      <c r="DJ331" s="18"/>
      <c r="DK331" s="37">
        <v>44329</v>
      </c>
      <c r="DL331" s="38">
        <v>0.12920000000000001</v>
      </c>
      <c r="DM331" s="18"/>
      <c r="DN331" s="18"/>
      <c r="DO331" s="18"/>
      <c r="DP331" s="18"/>
      <c r="DQ331" s="18"/>
      <c r="DR331" s="18"/>
      <c r="DS331" s="18"/>
      <c r="DT331" s="18"/>
      <c r="DU331" s="18"/>
      <c r="DV331" s="18"/>
      <c r="DW331" s="18"/>
      <c r="DX331" s="18"/>
      <c r="DY331" s="18"/>
      <c r="DZ331" s="18"/>
    </row>
    <row r="332" spans="1:130" x14ac:dyDescent="0.3">
      <c r="A332" s="18"/>
      <c r="B332" s="18"/>
      <c r="C332" s="18"/>
      <c r="D332" s="18"/>
      <c r="E332" s="18"/>
      <c r="F332" s="18"/>
      <c r="G332" s="18"/>
      <c r="H332" s="18"/>
      <c r="I332" s="18"/>
      <c r="J332" s="18"/>
      <c r="K332" s="18"/>
      <c r="L332" s="18"/>
      <c r="M332" s="18"/>
      <c r="N332" s="17"/>
      <c r="O332" s="17"/>
      <c r="P332" s="17"/>
      <c r="Q332" s="17"/>
      <c r="R332" s="17"/>
      <c r="S332" s="17"/>
      <c r="T332" s="17"/>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7"/>
      <c r="BT332" s="17"/>
      <c r="BU332" s="17"/>
      <c r="BV332" s="17"/>
      <c r="BW332" s="17"/>
      <c r="BX332" s="18"/>
      <c r="BY332" s="18"/>
      <c r="BZ332" s="18"/>
      <c r="CA332" s="18"/>
      <c r="CB332" s="17"/>
      <c r="CC332" s="17"/>
      <c r="CD332" s="17"/>
      <c r="CE332" s="18"/>
      <c r="CF332" s="18"/>
      <c r="CG332" s="18"/>
      <c r="CH332" s="18"/>
      <c r="CI332" s="18"/>
      <c r="CJ332" s="18"/>
      <c r="CK332" s="18"/>
      <c r="CL332" s="18"/>
      <c r="CM332" s="18"/>
      <c r="CN332" s="18"/>
      <c r="CO332" s="18"/>
      <c r="CP332" s="18"/>
      <c r="CQ332" s="18"/>
      <c r="CR332" s="18"/>
      <c r="CS332" s="18"/>
      <c r="CT332" s="18"/>
      <c r="CU332" s="18"/>
      <c r="CV332" s="18"/>
      <c r="CW332" s="18"/>
      <c r="CX332" s="18"/>
      <c r="CY332" s="37"/>
      <c r="CZ332" s="38"/>
      <c r="DA332" s="18"/>
      <c r="DB332" s="37">
        <v>44330</v>
      </c>
      <c r="DC332" s="38">
        <v>15.6792</v>
      </c>
      <c r="DD332" s="18"/>
      <c r="DE332" s="37">
        <v>44330</v>
      </c>
      <c r="DF332" s="38">
        <v>14.130100000000001</v>
      </c>
      <c r="DG332" s="18"/>
      <c r="DH332" s="37">
        <v>44330</v>
      </c>
      <c r="DI332" s="38">
        <v>19.916499999999999</v>
      </c>
      <c r="DJ332" s="18"/>
      <c r="DK332" s="37">
        <v>44330</v>
      </c>
      <c r="DL332" s="38">
        <v>0.1293</v>
      </c>
      <c r="DM332" s="18"/>
      <c r="DN332" s="18"/>
      <c r="DO332" s="18"/>
      <c r="DP332" s="18"/>
      <c r="DQ332" s="18"/>
      <c r="DR332" s="18"/>
      <c r="DS332" s="18"/>
      <c r="DT332" s="18"/>
      <c r="DU332" s="18"/>
      <c r="DV332" s="18"/>
      <c r="DW332" s="18"/>
      <c r="DX332" s="18"/>
      <c r="DY332" s="18"/>
      <c r="DZ332" s="18"/>
    </row>
    <row r="333" spans="1:130" x14ac:dyDescent="0.3">
      <c r="A333" s="18"/>
      <c r="B333" s="18"/>
      <c r="C333" s="18"/>
      <c r="D333" s="18"/>
      <c r="E333" s="18"/>
      <c r="F333" s="18"/>
      <c r="G333" s="18"/>
      <c r="H333" s="18"/>
      <c r="I333" s="18"/>
      <c r="J333" s="18"/>
      <c r="K333" s="18"/>
      <c r="L333" s="18"/>
      <c r="M333" s="18"/>
      <c r="N333" s="17"/>
      <c r="O333" s="17"/>
      <c r="P333" s="17"/>
      <c r="Q333" s="17"/>
      <c r="R333" s="17"/>
      <c r="S333" s="17"/>
      <c r="T333" s="17"/>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7"/>
      <c r="BT333" s="17"/>
      <c r="BU333" s="17"/>
      <c r="BV333" s="17"/>
      <c r="BW333" s="17"/>
      <c r="BX333" s="18"/>
      <c r="BY333" s="18"/>
      <c r="BZ333" s="18"/>
      <c r="CA333" s="18"/>
      <c r="CB333" s="17"/>
      <c r="CC333" s="17"/>
      <c r="CD333" s="17"/>
      <c r="CE333" s="18"/>
      <c r="CF333" s="18"/>
      <c r="CG333" s="18"/>
      <c r="CH333" s="18"/>
      <c r="CI333" s="18"/>
      <c r="CJ333" s="18"/>
      <c r="CK333" s="18"/>
      <c r="CL333" s="18"/>
      <c r="CM333" s="18"/>
      <c r="CN333" s="18"/>
      <c r="CO333" s="18"/>
      <c r="CP333" s="18"/>
      <c r="CQ333" s="18"/>
      <c r="CR333" s="18"/>
      <c r="CS333" s="18"/>
      <c r="CT333" s="18"/>
      <c r="CU333" s="18"/>
      <c r="CV333" s="18"/>
      <c r="CW333" s="18"/>
      <c r="CX333" s="18"/>
      <c r="CY333" s="37"/>
      <c r="CZ333" s="38"/>
      <c r="DA333" s="18"/>
      <c r="DB333" s="37">
        <v>44333</v>
      </c>
      <c r="DC333" s="38">
        <v>15.6058</v>
      </c>
      <c r="DD333" s="18"/>
      <c r="DE333" s="37">
        <v>44333</v>
      </c>
      <c r="DF333" s="38">
        <v>14.0983</v>
      </c>
      <c r="DG333" s="18"/>
      <c r="DH333" s="37">
        <v>44333</v>
      </c>
      <c r="DI333" s="38">
        <v>19.9465</v>
      </c>
      <c r="DJ333" s="18"/>
      <c r="DK333" s="37">
        <v>44333</v>
      </c>
      <c r="DL333" s="38">
        <v>0.12909999999999999</v>
      </c>
      <c r="DM333" s="18"/>
      <c r="DN333" s="18"/>
      <c r="DO333" s="18"/>
      <c r="DP333" s="18"/>
      <c r="DQ333" s="18"/>
      <c r="DR333" s="18"/>
      <c r="DS333" s="18"/>
      <c r="DT333" s="18"/>
      <c r="DU333" s="18"/>
      <c r="DV333" s="18"/>
      <c r="DW333" s="18"/>
      <c r="DX333" s="18"/>
      <c r="DY333" s="18"/>
      <c r="DZ333" s="18"/>
    </row>
    <row r="334" spans="1:130" x14ac:dyDescent="0.3">
      <c r="A334" s="18"/>
      <c r="B334" s="18"/>
      <c r="C334" s="18"/>
      <c r="D334" s="18"/>
      <c r="E334" s="18"/>
      <c r="F334" s="18"/>
      <c r="G334" s="18"/>
      <c r="H334" s="18"/>
      <c r="I334" s="18"/>
      <c r="J334" s="18"/>
      <c r="K334" s="18"/>
      <c r="L334" s="18"/>
      <c r="M334" s="18"/>
      <c r="N334" s="17"/>
      <c r="O334" s="17"/>
      <c r="P334" s="17"/>
      <c r="Q334" s="17"/>
      <c r="R334" s="17"/>
      <c r="S334" s="17"/>
      <c r="T334" s="17"/>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7"/>
      <c r="BT334" s="17"/>
      <c r="BU334" s="17"/>
      <c r="BV334" s="17"/>
      <c r="BW334" s="17"/>
      <c r="BX334" s="18"/>
      <c r="BY334" s="18"/>
      <c r="BZ334" s="18"/>
      <c r="CA334" s="18"/>
      <c r="CB334" s="17"/>
      <c r="CC334" s="17"/>
      <c r="CD334" s="17"/>
      <c r="CE334" s="18"/>
      <c r="CF334" s="18"/>
      <c r="CG334" s="18"/>
      <c r="CH334" s="18"/>
      <c r="CI334" s="18"/>
      <c r="CJ334" s="18"/>
      <c r="CK334" s="18"/>
      <c r="CL334" s="18"/>
      <c r="CM334" s="18"/>
      <c r="CN334" s="18"/>
      <c r="CO334" s="18"/>
      <c r="CP334" s="18"/>
      <c r="CQ334" s="18"/>
      <c r="CR334" s="18"/>
      <c r="CS334" s="18"/>
      <c r="CT334" s="18"/>
      <c r="CU334" s="18"/>
      <c r="CV334" s="18"/>
      <c r="CW334" s="18"/>
      <c r="CX334" s="18"/>
      <c r="CY334" s="37"/>
      <c r="CZ334" s="38"/>
      <c r="DA334" s="18"/>
      <c r="DB334" s="37">
        <v>44334</v>
      </c>
      <c r="DC334" s="38">
        <v>15.613099999999999</v>
      </c>
      <c r="DD334" s="18"/>
      <c r="DE334" s="37">
        <v>44334</v>
      </c>
      <c r="DF334" s="38">
        <v>14.013400000000001</v>
      </c>
      <c r="DG334" s="18"/>
      <c r="DH334" s="37">
        <v>44334</v>
      </c>
      <c r="DI334" s="38">
        <v>19.8813</v>
      </c>
      <c r="DJ334" s="18"/>
      <c r="DK334" s="37">
        <v>44334</v>
      </c>
      <c r="DL334" s="38">
        <v>0.1288</v>
      </c>
      <c r="DM334" s="18"/>
      <c r="DN334" s="18"/>
      <c r="DO334" s="18"/>
      <c r="DP334" s="18"/>
      <c r="DQ334" s="18"/>
      <c r="DR334" s="18"/>
      <c r="DS334" s="18"/>
      <c r="DT334" s="18"/>
      <c r="DU334" s="18"/>
      <c r="DV334" s="18"/>
      <c r="DW334" s="18"/>
      <c r="DX334" s="18"/>
      <c r="DY334" s="18"/>
      <c r="DZ334" s="18"/>
    </row>
    <row r="335" spans="1:130" x14ac:dyDescent="0.3">
      <c r="A335" s="18"/>
      <c r="B335" s="18"/>
      <c r="C335" s="18"/>
      <c r="D335" s="18"/>
      <c r="E335" s="18"/>
      <c r="F335" s="18"/>
      <c r="G335" s="18"/>
      <c r="H335" s="18"/>
      <c r="I335" s="18"/>
      <c r="J335" s="18"/>
      <c r="K335" s="18"/>
      <c r="L335" s="18"/>
      <c r="M335" s="18"/>
      <c r="N335" s="17"/>
      <c r="O335" s="17"/>
      <c r="P335" s="17"/>
      <c r="Q335" s="17"/>
      <c r="R335" s="17"/>
      <c r="S335" s="17"/>
      <c r="T335" s="17"/>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7"/>
      <c r="BT335" s="17"/>
      <c r="BU335" s="17"/>
      <c r="BV335" s="17"/>
      <c r="BW335" s="17"/>
      <c r="BX335" s="18"/>
      <c r="BY335" s="18"/>
      <c r="BZ335" s="18"/>
      <c r="CA335" s="18"/>
      <c r="CB335" s="17"/>
      <c r="CC335" s="17"/>
      <c r="CD335" s="17"/>
      <c r="CE335" s="18"/>
      <c r="CF335" s="18"/>
      <c r="CG335" s="18"/>
      <c r="CH335" s="18"/>
      <c r="CI335" s="18"/>
      <c r="CJ335" s="18"/>
      <c r="CK335" s="18"/>
      <c r="CL335" s="18"/>
      <c r="CM335" s="18"/>
      <c r="CN335" s="18"/>
      <c r="CO335" s="18"/>
      <c r="CP335" s="18"/>
      <c r="CQ335" s="18"/>
      <c r="CR335" s="18"/>
      <c r="CS335" s="18"/>
      <c r="CT335" s="18"/>
      <c r="CU335" s="18"/>
      <c r="CV335" s="18"/>
      <c r="CW335" s="18"/>
      <c r="CX335" s="18"/>
      <c r="CY335" s="37"/>
      <c r="CZ335" s="38"/>
      <c r="DA335" s="18"/>
      <c r="DB335" s="37">
        <v>44335</v>
      </c>
      <c r="DC335" s="38">
        <v>15.5931</v>
      </c>
      <c r="DD335" s="18"/>
      <c r="DE335" s="37">
        <v>44335</v>
      </c>
      <c r="DF335" s="38">
        <v>14.0983</v>
      </c>
      <c r="DG335" s="18"/>
      <c r="DH335" s="37">
        <v>44335</v>
      </c>
      <c r="DI335" s="38">
        <v>19.882899999999999</v>
      </c>
      <c r="DJ335" s="18"/>
      <c r="DK335" s="37">
        <v>44335</v>
      </c>
      <c r="DL335" s="38">
        <v>0.129</v>
      </c>
      <c r="DM335" s="18"/>
      <c r="DN335" s="18"/>
      <c r="DO335" s="18"/>
      <c r="DP335" s="18"/>
      <c r="DQ335" s="18"/>
      <c r="DR335" s="18"/>
      <c r="DS335" s="18"/>
      <c r="DT335" s="18"/>
      <c r="DU335" s="18"/>
      <c r="DV335" s="18"/>
      <c r="DW335" s="18"/>
      <c r="DX335" s="18"/>
      <c r="DY335" s="18"/>
      <c r="DZ335" s="18"/>
    </row>
    <row r="336" spans="1:130" x14ac:dyDescent="0.3">
      <c r="A336" s="18"/>
      <c r="B336" s="18"/>
      <c r="C336" s="18"/>
      <c r="D336" s="18"/>
      <c r="E336" s="18"/>
      <c r="F336" s="18"/>
      <c r="G336" s="18"/>
      <c r="H336" s="18"/>
      <c r="I336" s="18"/>
      <c r="J336" s="18"/>
      <c r="K336" s="18"/>
      <c r="L336" s="18"/>
      <c r="M336" s="18"/>
      <c r="N336" s="17"/>
      <c r="O336" s="17"/>
      <c r="P336" s="17"/>
      <c r="Q336" s="17"/>
      <c r="R336" s="17"/>
      <c r="S336" s="17"/>
      <c r="T336" s="17"/>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7"/>
      <c r="BT336" s="17"/>
      <c r="BU336" s="17"/>
      <c r="BV336" s="17"/>
      <c r="BW336" s="17"/>
      <c r="BX336" s="18"/>
      <c r="BY336" s="18"/>
      <c r="BZ336" s="18"/>
      <c r="CA336" s="18"/>
      <c r="CB336" s="17"/>
      <c r="CC336" s="17"/>
      <c r="CD336" s="17"/>
      <c r="CE336" s="18"/>
      <c r="CF336" s="18"/>
      <c r="CG336" s="18"/>
      <c r="CH336" s="18"/>
      <c r="CI336" s="18"/>
      <c r="CJ336" s="18"/>
      <c r="CK336" s="18"/>
      <c r="CL336" s="18"/>
      <c r="CM336" s="18"/>
      <c r="CN336" s="18"/>
      <c r="CO336" s="18"/>
      <c r="CP336" s="18"/>
      <c r="CQ336" s="18"/>
      <c r="CR336" s="18"/>
      <c r="CS336" s="18"/>
      <c r="CT336" s="18"/>
      <c r="CU336" s="18"/>
      <c r="CV336" s="18"/>
      <c r="CW336" s="18"/>
      <c r="CX336" s="18"/>
      <c r="CY336" s="37"/>
      <c r="CZ336" s="38"/>
      <c r="DA336" s="18"/>
      <c r="DB336" s="37">
        <v>44336</v>
      </c>
      <c r="DC336" s="38">
        <v>15.588800000000001</v>
      </c>
      <c r="DD336" s="18"/>
      <c r="DE336" s="37">
        <v>44336</v>
      </c>
      <c r="DF336" s="38">
        <v>13.9932</v>
      </c>
      <c r="DG336" s="18"/>
      <c r="DH336" s="37">
        <v>44336</v>
      </c>
      <c r="DI336" s="38">
        <v>19.848199999999999</v>
      </c>
      <c r="DJ336" s="18"/>
      <c r="DK336" s="37">
        <v>44336</v>
      </c>
      <c r="DL336" s="38">
        <v>0.1285</v>
      </c>
      <c r="DM336" s="18"/>
      <c r="DN336" s="18"/>
      <c r="DO336" s="18"/>
      <c r="DP336" s="18"/>
      <c r="DQ336" s="18"/>
      <c r="DR336" s="18"/>
      <c r="DS336" s="18"/>
      <c r="DT336" s="18"/>
      <c r="DU336" s="18"/>
      <c r="DV336" s="18"/>
      <c r="DW336" s="18"/>
      <c r="DX336" s="18"/>
      <c r="DY336" s="18"/>
      <c r="DZ336" s="18"/>
    </row>
    <row r="337" spans="1:130" x14ac:dyDescent="0.3">
      <c r="A337" s="18"/>
      <c r="B337" s="18"/>
      <c r="C337" s="18"/>
      <c r="D337" s="18"/>
      <c r="E337" s="18"/>
      <c r="F337" s="18"/>
      <c r="G337" s="18"/>
      <c r="H337" s="18"/>
      <c r="I337" s="18"/>
      <c r="J337" s="18"/>
      <c r="K337" s="18"/>
      <c r="L337" s="18"/>
      <c r="M337" s="18"/>
      <c r="N337" s="17"/>
      <c r="O337" s="17"/>
      <c r="P337" s="17"/>
      <c r="Q337" s="17"/>
      <c r="R337" s="17"/>
      <c r="S337" s="17"/>
      <c r="T337" s="17"/>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7"/>
      <c r="BT337" s="17"/>
      <c r="BU337" s="17"/>
      <c r="BV337" s="17"/>
      <c r="BW337" s="17"/>
      <c r="BX337" s="18"/>
      <c r="BY337" s="18"/>
      <c r="BZ337" s="18"/>
      <c r="CA337" s="18"/>
      <c r="CB337" s="17"/>
      <c r="CC337" s="17"/>
      <c r="CD337" s="17"/>
      <c r="CE337" s="18"/>
      <c r="CF337" s="18"/>
      <c r="CG337" s="18"/>
      <c r="CH337" s="18"/>
      <c r="CI337" s="18"/>
      <c r="CJ337" s="18"/>
      <c r="CK337" s="18"/>
      <c r="CL337" s="18"/>
      <c r="CM337" s="18"/>
      <c r="CN337" s="18"/>
      <c r="CO337" s="18"/>
      <c r="CP337" s="18"/>
      <c r="CQ337" s="18"/>
      <c r="CR337" s="18"/>
      <c r="CS337" s="18"/>
      <c r="CT337" s="18"/>
      <c r="CU337" s="18"/>
      <c r="CV337" s="18"/>
      <c r="CW337" s="18"/>
      <c r="CX337" s="18"/>
      <c r="CY337" s="37"/>
      <c r="CZ337" s="38"/>
      <c r="DA337" s="18"/>
      <c r="DB337" s="37">
        <v>44337</v>
      </c>
      <c r="DC337" s="38">
        <v>15.5533</v>
      </c>
      <c r="DD337" s="18"/>
      <c r="DE337" s="37">
        <v>44337</v>
      </c>
      <c r="DF337" s="38">
        <v>13.9619</v>
      </c>
      <c r="DG337" s="18"/>
      <c r="DH337" s="37">
        <v>44337</v>
      </c>
      <c r="DI337" s="38">
        <v>19.758800000000001</v>
      </c>
      <c r="DJ337" s="18"/>
      <c r="DK337" s="37">
        <v>44337</v>
      </c>
      <c r="DL337" s="38">
        <v>0.12820000000000001</v>
      </c>
      <c r="DM337" s="18"/>
      <c r="DN337" s="18"/>
      <c r="DO337" s="18"/>
      <c r="DP337" s="18"/>
      <c r="DQ337" s="18"/>
      <c r="DR337" s="18"/>
      <c r="DS337" s="18"/>
      <c r="DT337" s="18"/>
      <c r="DU337" s="18"/>
      <c r="DV337" s="18"/>
      <c r="DW337" s="18"/>
      <c r="DX337" s="18"/>
      <c r="DY337" s="18"/>
      <c r="DZ337" s="18"/>
    </row>
    <row r="338" spans="1:130" x14ac:dyDescent="0.3">
      <c r="A338" s="18"/>
      <c r="B338" s="18"/>
      <c r="C338" s="18"/>
      <c r="D338" s="18"/>
      <c r="E338" s="18"/>
      <c r="F338" s="18"/>
      <c r="G338" s="18"/>
      <c r="H338" s="18"/>
      <c r="I338" s="18"/>
      <c r="J338" s="18"/>
      <c r="K338" s="18"/>
      <c r="L338" s="18"/>
      <c r="M338" s="18"/>
      <c r="N338" s="17"/>
      <c r="O338" s="17"/>
      <c r="P338" s="17"/>
      <c r="Q338" s="17"/>
      <c r="R338" s="17"/>
      <c r="S338" s="17"/>
      <c r="T338" s="17"/>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7"/>
      <c r="BT338" s="17"/>
      <c r="BU338" s="17"/>
      <c r="BV338" s="17"/>
      <c r="BW338" s="17"/>
      <c r="BX338" s="18"/>
      <c r="BY338" s="18"/>
      <c r="BZ338" s="18"/>
      <c r="CA338" s="18"/>
      <c r="CB338" s="17"/>
      <c r="CC338" s="17"/>
      <c r="CD338" s="17"/>
      <c r="CE338" s="18"/>
      <c r="CF338" s="18"/>
      <c r="CG338" s="18"/>
      <c r="CH338" s="18"/>
      <c r="CI338" s="18"/>
      <c r="CJ338" s="18"/>
      <c r="CK338" s="18"/>
      <c r="CL338" s="18"/>
      <c r="CM338" s="18"/>
      <c r="CN338" s="18"/>
      <c r="CO338" s="18"/>
      <c r="CP338" s="18"/>
      <c r="CQ338" s="18"/>
      <c r="CR338" s="18"/>
      <c r="CS338" s="18"/>
      <c r="CT338" s="18"/>
      <c r="CU338" s="18"/>
      <c r="CV338" s="18"/>
      <c r="CW338" s="18"/>
      <c r="CX338" s="18"/>
      <c r="CY338" s="37"/>
      <c r="CZ338" s="38"/>
      <c r="DA338" s="18"/>
      <c r="DB338" s="37">
        <v>44340</v>
      </c>
      <c r="DC338" s="38">
        <v>15.5288</v>
      </c>
      <c r="DD338" s="18"/>
      <c r="DE338" s="37">
        <v>44340</v>
      </c>
      <c r="DF338" s="38">
        <v>13.928699999999999</v>
      </c>
      <c r="DG338" s="18"/>
      <c r="DH338" s="37">
        <v>44340</v>
      </c>
      <c r="DI338" s="38">
        <v>19.715299999999999</v>
      </c>
      <c r="DJ338" s="18"/>
      <c r="DK338" s="37">
        <v>44340</v>
      </c>
      <c r="DL338" s="38">
        <v>0.128</v>
      </c>
      <c r="DM338" s="18"/>
      <c r="DN338" s="18"/>
      <c r="DO338" s="18"/>
      <c r="DP338" s="18"/>
      <c r="DQ338" s="18"/>
      <c r="DR338" s="18"/>
      <c r="DS338" s="18"/>
      <c r="DT338" s="18"/>
      <c r="DU338" s="18"/>
      <c r="DV338" s="18"/>
      <c r="DW338" s="18"/>
      <c r="DX338" s="18"/>
      <c r="DY338" s="18"/>
      <c r="DZ338" s="18"/>
    </row>
    <row r="339" spans="1:130" x14ac:dyDescent="0.3">
      <c r="A339" s="18"/>
      <c r="B339" s="18"/>
      <c r="C339" s="18"/>
      <c r="D339" s="18"/>
      <c r="E339" s="18"/>
      <c r="F339" s="18"/>
      <c r="G339" s="18"/>
      <c r="H339" s="18"/>
      <c r="I339" s="18"/>
      <c r="J339" s="18"/>
      <c r="K339" s="18"/>
      <c r="L339" s="18"/>
      <c r="M339" s="18"/>
      <c r="N339" s="17"/>
      <c r="O339" s="17"/>
      <c r="P339" s="17"/>
      <c r="Q339" s="17"/>
      <c r="R339" s="17"/>
      <c r="S339" s="17"/>
      <c r="T339" s="17"/>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7"/>
      <c r="BT339" s="17"/>
      <c r="BU339" s="17"/>
      <c r="BV339" s="17"/>
      <c r="BW339" s="17"/>
      <c r="BX339" s="18"/>
      <c r="BY339" s="18"/>
      <c r="BZ339" s="18"/>
      <c r="CA339" s="18"/>
      <c r="CB339" s="17"/>
      <c r="CC339" s="17"/>
      <c r="CD339" s="17"/>
      <c r="CE339" s="18"/>
      <c r="CF339" s="18"/>
      <c r="CG339" s="18"/>
      <c r="CH339" s="18"/>
      <c r="CI339" s="18"/>
      <c r="CJ339" s="18"/>
      <c r="CK339" s="18"/>
      <c r="CL339" s="18"/>
      <c r="CM339" s="18"/>
      <c r="CN339" s="18"/>
      <c r="CO339" s="18"/>
      <c r="CP339" s="18"/>
      <c r="CQ339" s="18"/>
      <c r="CR339" s="18"/>
      <c r="CS339" s="18"/>
      <c r="CT339" s="18"/>
      <c r="CU339" s="18"/>
      <c r="CV339" s="18"/>
      <c r="CW339" s="18"/>
      <c r="CX339" s="18"/>
      <c r="CY339" s="37"/>
      <c r="CZ339" s="38"/>
      <c r="DA339" s="18"/>
      <c r="DB339" s="37">
        <v>44341</v>
      </c>
      <c r="DC339" s="38">
        <v>15.488200000000001</v>
      </c>
      <c r="DD339" s="18"/>
      <c r="DE339" s="37">
        <v>44341</v>
      </c>
      <c r="DF339" s="38">
        <v>13.8721</v>
      </c>
      <c r="DG339" s="18"/>
      <c r="DH339" s="37">
        <v>44341</v>
      </c>
      <c r="DI339" s="38">
        <v>19.619199999999999</v>
      </c>
      <c r="DJ339" s="18"/>
      <c r="DK339" s="37">
        <v>44341</v>
      </c>
      <c r="DL339" s="38">
        <v>0.1275</v>
      </c>
      <c r="DM339" s="18"/>
      <c r="DN339" s="18"/>
      <c r="DO339" s="18"/>
      <c r="DP339" s="18"/>
      <c r="DQ339" s="18"/>
      <c r="DR339" s="18"/>
      <c r="DS339" s="18"/>
      <c r="DT339" s="18"/>
      <c r="DU339" s="18"/>
      <c r="DV339" s="18"/>
      <c r="DW339" s="18"/>
      <c r="DX339" s="18"/>
      <c r="DY339" s="18"/>
      <c r="DZ339" s="18"/>
    </row>
    <row r="340" spans="1:130" x14ac:dyDescent="0.3">
      <c r="A340" s="18"/>
      <c r="B340" s="18"/>
      <c r="C340" s="18"/>
      <c r="D340" s="18"/>
      <c r="E340" s="18"/>
      <c r="F340" s="18"/>
      <c r="G340" s="18"/>
      <c r="H340" s="18"/>
      <c r="I340" s="18"/>
      <c r="J340" s="18"/>
      <c r="K340" s="18"/>
      <c r="L340" s="18"/>
      <c r="M340" s="18"/>
      <c r="N340" s="17"/>
      <c r="O340" s="17"/>
      <c r="P340" s="17"/>
      <c r="Q340" s="17"/>
      <c r="R340" s="17"/>
      <c r="S340" s="17"/>
      <c r="T340" s="17"/>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7"/>
      <c r="BT340" s="17"/>
      <c r="BU340" s="17"/>
      <c r="BV340" s="17"/>
      <c r="BW340" s="17"/>
      <c r="BX340" s="18"/>
      <c r="BY340" s="18"/>
      <c r="BZ340" s="18"/>
      <c r="CA340" s="18"/>
      <c r="CB340" s="17"/>
      <c r="CC340" s="17"/>
      <c r="CD340" s="17"/>
      <c r="CE340" s="18"/>
      <c r="CF340" s="18"/>
      <c r="CG340" s="18"/>
      <c r="CH340" s="18"/>
      <c r="CI340" s="18"/>
      <c r="CJ340" s="18"/>
      <c r="CK340" s="18"/>
      <c r="CL340" s="18"/>
      <c r="CM340" s="18"/>
      <c r="CN340" s="18"/>
      <c r="CO340" s="18"/>
      <c r="CP340" s="18"/>
      <c r="CQ340" s="18"/>
      <c r="CR340" s="18"/>
      <c r="CS340" s="18"/>
      <c r="CT340" s="18"/>
      <c r="CU340" s="18"/>
      <c r="CV340" s="18"/>
      <c r="CW340" s="18"/>
      <c r="CX340" s="18"/>
      <c r="CY340" s="37"/>
      <c r="CZ340" s="38"/>
      <c r="DA340" s="18"/>
      <c r="DB340" s="37">
        <v>44342</v>
      </c>
      <c r="DC340" s="38">
        <v>15.3316</v>
      </c>
      <c r="DD340" s="18"/>
      <c r="DE340" s="37">
        <v>44342</v>
      </c>
      <c r="DF340" s="38">
        <v>13.767099999999999</v>
      </c>
      <c r="DG340" s="18"/>
      <c r="DH340" s="37">
        <v>44342</v>
      </c>
      <c r="DI340" s="38">
        <v>19.428100000000001</v>
      </c>
      <c r="DJ340" s="18"/>
      <c r="DK340" s="37">
        <v>44342</v>
      </c>
      <c r="DL340" s="38">
        <v>0.126</v>
      </c>
      <c r="DM340" s="18"/>
      <c r="DN340" s="18"/>
      <c r="DO340" s="18"/>
      <c r="DP340" s="18"/>
      <c r="DQ340" s="18"/>
      <c r="DR340" s="18"/>
      <c r="DS340" s="18"/>
      <c r="DT340" s="18"/>
      <c r="DU340" s="18"/>
      <c r="DV340" s="18"/>
      <c r="DW340" s="18"/>
      <c r="DX340" s="18"/>
      <c r="DY340" s="18"/>
      <c r="DZ340" s="18"/>
    </row>
    <row r="341" spans="1:130" x14ac:dyDescent="0.3">
      <c r="A341" s="18"/>
      <c r="B341" s="18"/>
      <c r="C341" s="18"/>
      <c r="D341" s="18"/>
      <c r="E341" s="18"/>
      <c r="F341" s="18"/>
      <c r="G341" s="18"/>
      <c r="H341" s="18"/>
      <c r="I341" s="18"/>
      <c r="J341" s="18"/>
      <c r="K341" s="18"/>
      <c r="L341" s="18"/>
      <c r="M341" s="18"/>
      <c r="N341" s="17"/>
      <c r="O341" s="17"/>
      <c r="P341" s="17"/>
      <c r="Q341" s="17"/>
      <c r="R341" s="17"/>
      <c r="S341" s="17"/>
      <c r="T341" s="17"/>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7"/>
      <c r="BT341" s="17"/>
      <c r="BU341" s="17"/>
      <c r="BV341" s="17"/>
      <c r="BW341" s="17"/>
      <c r="BX341" s="18"/>
      <c r="BY341" s="18"/>
      <c r="BZ341" s="18"/>
      <c r="CA341" s="18"/>
      <c r="CB341" s="17"/>
      <c r="CC341" s="17"/>
      <c r="CD341" s="17"/>
      <c r="CE341" s="18"/>
      <c r="CF341" s="18"/>
      <c r="CG341" s="18"/>
      <c r="CH341" s="18"/>
      <c r="CI341" s="18"/>
      <c r="CJ341" s="18"/>
      <c r="CK341" s="18"/>
      <c r="CL341" s="18"/>
      <c r="CM341" s="18"/>
      <c r="CN341" s="18"/>
      <c r="CO341" s="18"/>
      <c r="CP341" s="18"/>
      <c r="CQ341" s="18"/>
      <c r="CR341" s="18"/>
      <c r="CS341" s="18"/>
      <c r="CT341" s="18"/>
      <c r="CU341" s="18"/>
      <c r="CV341" s="18"/>
      <c r="CW341" s="18"/>
      <c r="CX341" s="18"/>
      <c r="CY341" s="37"/>
      <c r="CZ341" s="38"/>
      <c r="DA341" s="18"/>
      <c r="DB341" s="37">
        <v>44343</v>
      </c>
      <c r="DC341" s="38">
        <v>15.3424</v>
      </c>
      <c r="DD341" s="18"/>
      <c r="DE341" s="37">
        <v>44343</v>
      </c>
      <c r="DF341" s="38">
        <v>13.764200000000001</v>
      </c>
      <c r="DG341" s="18"/>
      <c r="DH341" s="37">
        <v>44343</v>
      </c>
      <c r="DI341" s="38">
        <v>19.549700000000001</v>
      </c>
      <c r="DJ341" s="18"/>
      <c r="DK341" s="37">
        <v>44343</v>
      </c>
      <c r="DL341" s="38">
        <v>0.12529999999999999</v>
      </c>
      <c r="DM341" s="18"/>
      <c r="DN341" s="18"/>
      <c r="DO341" s="18"/>
      <c r="DP341" s="18"/>
      <c r="DQ341" s="18"/>
      <c r="DR341" s="18"/>
      <c r="DS341" s="18"/>
      <c r="DT341" s="18"/>
      <c r="DU341" s="18"/>
      <c r="DV341" s="18"/>
      <c r="DW341" s="18"/>
      <c r="DX341" s="18"/>
      <c r="DY341" s="18"/>
      <c r="DZ341" s="18"/>
    </row>
    <row r="342" spans="1:130" x14ac:dyDescent="0.3">
      <c r="A342" s="18"/>
      <c r="B342" s="18"/>
      <c r="C342" s="18"/>
      <c r="D342" s="18"/>
      <c r="E342" s="18"/>
      <c r="F342" s="18"/>
      <c r="G342" s="18"/>
      <c r="H342" s="18"/>
      <c r="I342" s="18"/>
      <c r="J342" s="18"/>
      <c r="K342" s="18"/>
      <c r="L342" s="18"/>
      <c r="M342" s="18"/>
      <c r="N342" s="17"/>
      <c r="O342" s="17"/>
      <c r="P342" s="17"/>
      <c r="Q342" s="17"/>
      <c r="R342" s="17"/>
      <c r="S342" s="17"/>
      <c r="T342" s="17"/>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7"/>
      <c r="BT342" s="17"/>
      <c r="BU342" s="17"/>
      <c r="BV342" s="17"/>
      <c r="BW342" s="17"/>
      <c r="BX342" s="18"/>
      <c r="BY342" s="18"/>
      <c r="BZ342" s="18"/>
      <c r="CA342" s="18"/>
      <c r="CB342" s="17"/>
      <c r="CC342" s="17"/>
      <c r="CD342" s="17"/>
      <c r="CE342" s="18"/>
      <c r="CF342" s="18"/>
      <c r="CG342" s="18"/>
      <c r="CH342" s="18"/>
      <c r="CI342" s="18"/>
      <c r="CJ342" s="18"/>
      <c r="CK342" s="18"/>
      <c r="CL342" s="18"/>
      <c r="CM342" s="18"/>
      <c r="CN342" s="18"/>
      <c r="CO342" s="18"/>
      <c r="CP342" s="18"/>
      <c r="CQ342" s="18"/>
      <c r="CR342" s="18"/>
      <c r="CS342" s="18"/>
      <c r="CT342" s="18"/>
      <c r="CU342" s="18"/>
      <c r="CV342" s="18"/>
      <c r="CW342" s="18"/>
      <c r="CX342" s="18"/>
      <c r="CY342" s="37"/>
      <c r="CZ342" s="38"/>
      <c r="DA342" s="18"/>
      <c r="DB342" s="37">
        <v>44344</v>
      </c>
      <c r="DC342" s="38">
        <v>15.297499999999999</v>
      </c>
      <c r="DD342" s="18"/>
      <c r="DE342" s="37">
        <v>44344</v>
      </c>
      <c r="DF342" s="38">
        <v>13.764900000000001</v>
      </c>
      <c r="DG342" s="18"/>
      <c r="DH342" s="37">
        <v>44344</v>
      </c>
      <c r="DI342" s="38">
        <v>19.5487</v>
      </c>
      <c r="DJ342" s="18"/>
      <c r="DK342" s="37">
        <v>44344</v>
      </c>
      <c r="DL342" s="38">
        <v>0.12529999999999999</v>
      </c>
      <c r="DM342" s="18"/>
      <c r="DN342" s="18"/>
      <c r="DO342" s="18"/>
      <c r="DP342" s="18"/>
      <c r="DQ342" s="18"/>
      <c r="DR342" s="18"/>
      <c r="DS342" s="18"/>
      <c r="DT342" s="18"/>
      <c r="DU342" s="18"/>
      <c r="DV342" s="18"/>
      <c r="DW342" s="18"/>
      <c r="DX342" s="18"/>
      <c r="DY342" s="18"/>
      <c r="DZ342" s="18"/>
    </row>
    <row r="343" spans="1:130" x14ac:dyDescent="0.3">
      <c r="A343" s="18"/>
      <c r="B343" s="18"/>
      <c r="C343" s="18"/>
      <c r="D343" s="18"/>
      <c r="E343" s="18"/>
      <c r="F343" s="18"/>
      <c r="G343" s="18"/>
      <c r="H343" s="18"/>
      <c r="I343" s="18"/>
      <c r="J343" s="18"/>
      <c r="K343" s="18"/>
      <c r="L343" s="18"/>
      <c r="M343" s="18"/>
      <c r="N343" s="17"/>
      <c r="O343" s="17"/>
      <c r="P343" s="17"/>
      <c r="Q343" s="17"/>
      <c r="R343" s="17"/>
      <c r="S343" s="17"/>
      <c r="T343" s="17"/>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7"/>
      <c r="BT343" s="17"/>
      <c r="BU343" s="17"/>
      <c r="BV343" s="17"/>
      <c r="BW343" s="17"/>
      <c r="BX343" s="18"/>
      <c r="BY343" s="18"/>
      <c r="BZ343" s="18"/>
      <c r="CA343" s="18"/>
      <c r="CB343" s="17"/>
      <c r="CC343" s="17"/>
      <c r="CD343" s="17"/>
      <c r="CE343" s="18"/>
      <c r="CF343" s="18"/>
      <c r="CG343" s="18"/>
      <c r="CH343" s="18"/>
      <c r="CI343" s="18"/>
      <c r="CJ343" s="18"/>
      <c r="CK343" s="18"/>
      <c r="CL343" s="18"/>
      <c r="CM343" s="18"/>
      <c r="CN343" s="18"/>
      <c r="CO343" s="18"/>
      <c r="CP343" s="18"/>
      <c r="CQ343" s="18"/>
      <c r="CR343" s="18"/>
      <c r="CS343" s="18"/>
      <c r="CT343" s="18"/>
      <c r="CU343" s="18"/>
      <c r="CV343" s="18"/>
      <c r="CW343" s="18"/>
      <c r="CX343" s="18"/>
      <c r="CY343" s="37"/>
      <c r="CZ343" s="38"/>
      <c r="DA343" s="18"/>
      <c r="DB343" s="37">
        <v>44347</v>
      </c>
      <c r="DC343" s="38">
        <v>15.2753</v>
      </c>
      <c r="DD343" s="18"/>
      <c r="DE343" s="37">
        <v>44347</v>
      </c>
      <c r="DF343" s="38">
        <v>13.722</v>
      </c>
      <c r="DG343" s="18"/>
      <c r="DH343" s="37">
        <v>44347</v>
      </c>
      <c r="DI343" s="38">
        <v>19.520800000000001</v>
      </c>
      <c r="DJ343" s="18"/>
      <c r="DK343" s="37">
        <v>44347</v>
      </c>
      <c r="DL343" s="38">
        <v>0.12529999999999999</v>
      </c>
      <c r="DM343" s="18"/>
      <c r="DN343" s="18"/>
      <c r="DO343" s="18"/>
      <c r="DP343" s="18"/>
      <c r="DQ343" s="18"/>
      <c r="DR343" s="18"/>
      <c r="DS343" s="18"/>
      <c r="DT343" s="18"/>
      <c r="DU343" s="18"/>
      <c r="DV343" s="18"/>
      <c r="DW343" s="18"/>
      <c r="DX343" s="18"/>
      <c r="DY343" s="18"/>
      <c r="DZ343" s="18"/>
    </row>
    <row r="344" spans="1:130" x14ac:dyDescent="0.3">
      <c r="A344" s="18"/>
      <c r="B344" s="18"/>
      <c r="C344" s="18"/>
      <c r="D344" s="18"/>
      <c r="E344" s="18"/>
      <c r="F344" s="18"/>
      <c r="G344" s="18"/>
      <c r="H344" s="18"/>
      <c r="I344" s="18"/>
      <c r="J344" s="18"/>
      <c r="K344" s="18"/>
      <c r="L344" s="18"/>
      <c r="M344" s="18"/>
      <c r="N344" s="17"/>
      <c r="O344" s="17"/>
      <c r="P344" s="17"/>
      <c r="Q344" s="17"/>
      <c r="R344" s="17"/>
      <c r="S344" s="17"/>
      <c r="T344" s="17"/>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7"/>
      <c r="BT344" s="17"/>
      <c r="BU344" s="17"/>
      <c r="BV344" s="17"/>
      <c r="BW344" s="17"/>
      <c r="BX344" s="18"/>
      <c r="BY344" s="18"/>
      <c r="BZ344" s="18"/>
      <c r="CA344" s="18"/>
      <c r="CB344" s="17"/>
      <c r="CC344" s="17"/>
      <c r="CD344" s="17"/>
      <c r="CE344" s="18"/>
      <c r="CF344" s="18"/>
      <c r="CG344" s="18"/>
      <c r="CH344" s="18"/>
      <c r="CI344" s="18"/>
      <c r="CJ344" s="18"/>
      <c r="CK344" s="18"/>
      <c r="CL344" s="18"/>
      <c r="CM344" s="18"/>
      <c r="CN344" s="18"/>
      <c r="CO344" s="18"/>
      <c r="CP344" s="18"/>
      <c r="CQ344" s="18"/>
      <c r="CR344" s="18"/>
      <c r="CS344" s="18"/>
      <c r="CT344" s="18"/>
      <c r="CU344" s="18"/>
      <c r="CV344" s="18"/>
      <c r="CW344" s="18"/>
      <c r="CX344" s="18"/>
      <c r="CY344" s="37"/>
      <c r="CZ344" s="38"/>
      <c r="DA344" s="18"/>
      <c r="DB344" s="37">
        <v>44348</v>
      </c>
      <c r="DC344" s="38">
        <v>15.3401</v>
      </c>
      <c r="DD344" s="18"/>
      <c r="DE344" s="37">
        <v>44348</v>
      </c>
      <c r="DF344" s="38">
        <v>13.762499999999999</v>
      </c>
      <c r="DG344" s="18"/>
      <c r="DH344" s="37">
        <v>44348</v>
      </c>
      <c r="DI344" s="38">
        <v>19.479900000000001</v>
      </c>
      <c r="DJ344" s="18"/>
      <c r="DK344" s="37">
        <v>44348</v>
      </c>
      <c r="DL344" s="38">
        <v>0.12559999999999999</v>
      </c>
      <c r="DM344" s="18"/>
      <c r="DN344" s="18"/>
      <c r="DO344" s="18"/>
      <c r="DP344" s="18"/>
      <c r="DQ344" s="18"/>
      <c r="DR344" s="18"/>
      <c r="DS344" s="18"/>
      <c r="DT344" s="18"/>
      <c r="DU344" s="18"/>
      <c r="DV344" s="18"/>
      <c r="DW344" s="18"/>
      <c r="DX344" s="18"/>
      <c r="DY344" s="18"/>
      <c r="DZ344" s="18"/>
    </row>
    <row r="345" spans="1:130" x14ac:dyDescent="0.3">
      <c r="A345" s="18"/>
      <c r="B345" s="18"/>
      <c r="C345" s="18"/>
      <c r="D345" s="18"/>
      <c r="E345" s="18"/>
      <c r="F345" s="18"/>
      <c r="G345" s="18"/>
      <c r="H345" s="18"/>
      <c r="I345" s="18"/>
      <c r="J345" s="18"/>
      <c r="K345" s="18"/>
      <c r="L345" s="18"/>
      <c r="M345" s="18"/>
      <c r="N345" s="17"/>
      <c r="O345" s="17"/>
      <c r="P345" s="17"/>
      <c r="Q345" s="17"/>
      <c r="R345" s="17"/>
      <c r="S345" s="17"/>
      <c r="T345" s="17"/>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7"/>
      <c r="BT345" s="17"/>
      <c r="BU345" s="17"/>
      <c r="BV345" s="17"/>
      <c r="BW345" s="17"/>
      <c r="BX345" s="18"/>
      <c r="BY345" s="18"/>
      <c r="BZ345" s="18"/>
      <c r="CA345" s="18"/>
      <c r="CB345" s="17"/>
      <c r="CC345" s="17"/>
      <c r="CD345" s="17"/>
      <c r="CE345" s="18"/>
      <c r="CF345" s="18"/>
      <c r="CG345" s="18"/>
      <c r="CH345" s="18"/>
      <c r="CI345" s="18"/>
      <c r="CJ345" s="18"/>
      <c r="CK345" s="18"/>
      <c r="CL345" s="18"/>
      <c r="CM345" s="18"/>
      <c r="CN345" s="18"/>
      <c r="CO345" s="18"/>
      <c r="CP345" s="18"/>
      <c r="CQ345" s="18"/>
      <c r="CR345" s="18"/>
      <c r="CS345" s="18"/>
      <c r="CT345" s="18"/>
      <c r="CU345" s="18"/>
      <c r="CV345" s="18"/>
      <c r="CW345" s="18"/>
      <c r="CX345" s="18"/>
      <c r="CY345" s="37"/>
      <c r="CZ345" s="38"/>
      <c r="DA345" s="18"/>
      <c r="DB345" s="37">
        <v>44349</v>
      </c>
      <c r="DC345" s="38">
        <v>15.0504</v>
      </c>
      <c r="DD345" s="18"/>
      <c r="DE345" s="37">
        <v>44349</v>
      </c>
      <c r="DF345" s="38">
        <v>13.519299999999999</v>
      </c>
      <c r="DG345" s="18"/>
      <c r="DH345" s="37">
        <v>44349</v>
      </c>
      <c r="DI345" s="38">
        <v>19.158799999999999</v>
      </c>
      <c r="DJ345" s="18"/>
      <c r="DK345" s="37">
        <v>44349</v>
      </c>
      <c r="DL345" s="38">
        <v>0.1234</v>
      </c>
      <c r="DM345" s="18"/>
      <c r="DN345" s="18"/>
      <c r="DO345" s="18"/>
      <c r="DP345" s="18"/>
      <c r="DQ345" s="18"/>
      <c r="DR345" s="18"/>
      <c r="DS345" s="18"/>
      <c r="DT345" s="18"/>
      <c r="DU345" s="18"/>
      <c r="DV345" s="18"/>
      <c r="DW345" s="18"/>
      <c r="DX345" s="18"/>
      <c r="DY345" s="18"/>
      <c r="DZ345" s="18"/>
    </row>
    <row r="346" spans="1:130" x14ac:dyDescent="0.3">
      <c r="A346" s="18"/>
      <c r="B346" s="18"/>
      <c r="C346" s="18"/>
      <c r="D346" s="18"/>
      <c r="E346" s="18"/>
      <c r="F346" s="18"/>
      <c r="G346" s="18"/>
      <c r="H346" s="18"/>
      <c r="I346" s="18"/>
      <c r="J346" s="18"/>
      <c r="K346" s="18"/>
      <c r="L346" s="18"/>
      <c r="M346" s="18"/>
      <c r="N346" s="17"/>
      <c r="O346" s="17"/>
      <c r="P346" s="17"/>
      <c r="Q346" s="17"/>
      <c r="R346" s="17"/>
      <c r="S346" s="17"/>
      <c r="T346" s="17"/>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7"/>
      <c r="BT346" s="17"/>
      <c r="BU346" s="17"/>
      <c r="BV346" s="17"/>
      <c r="BW346" s="17"/>
      <c r="BX346" s="18"/>
      <c r="BY346" s="18"/>
      <c r="BZ346" s="18"/>
      <c r="CA346" s="18"/>
      <c r="CB346" s="17"/>
      <c r="CC346" s="17"/>
      <c r="CD346" s="17"/>
      <c r="CE346" s="18"/>
      <c r="CF346" s="18"/>
      <c r="CG346" s="18"/>
      <c r="CH346" s="18"/>
      <c r="CI346" s="18"/>
      <c r="CJ346" s="18"/>
      <c r="CK346" s="18"/>
      <c r="CL346" s="18"/>
      <c r="CM346" s="18"/>
      <c r="CN346" s="18"/>
      <c r="CO346" s="18"/>
      <c r="CP346" s="18"/>
      <c r="CQ346" s="18"/>
      <c r="CR346" s="18"/>
      <c r="CS346" s="18"/>
      <c r="CT346" s="18"/>
      <c r="CU346" s="18"/>
      <c r="CV346" s="18"/>
      <c r="CW346" s="18"/>
      <c r="CX346" s="18"/>
      <c r="CY346" s="37"/>
      <c r="CZ346" s="38"/>
      <c r="DA346" s="18"/>
      <c r="DB346" s="37"/>
      <c r="DC346" s="38"/>
      <c r="DD346" s="18"/>
      <c r="DE346" s="37"/>
      <c r="DF346" s="38"/>
      <c r="DG346" s="18"/>
      <c r="DH346" s="37"/>
      <c r="DI346" s="38"/>
      <c r="DJ346" s="18"/>
      <c r="DK346" s="37"/>
      <c r="DL346" s="38"/>
      <c r="DM346" s="18"/>
      <c r="DN346" s="18"/>
      <c r="DO346" s="18"/>
      <c r="DP346" s="18"/>
      <c r="DQ346" s="18"/>
      <c r="DR346" s="18"/>
      <c r="DS346" s="18"/>
      <c r="DT346" s="18"/>
      <c r="DU346" s="18"/>
      <c r="DV346" s="18"/>
      <c r="DW346" s="18"/>
      <c r="DX346" s="18"/>
      <c r="DY346" s="18"/>
      <c r="DZ346" s="18"/>
    </row>
    <row r="347" spans="1:130" x14ac:dyDescent="0.3">
      <c r="A347" s="18"/>
      <c r="B347" s="18"/>
      <c r="C347" s="18"/>
      <c r="D347" s="18"/>
      <c r="E347" s="18"/>
      <c r="F347" s="18"/>
      <c r="G347" s="18"/>
      <c r="H347" s="18"/>
      <c r="I347" s="18"/>
      <c r="J347" s="18"/>
      <c r="K347" s="18"/>
      <c r="L347" s="18"/>
      <c r="M347" s="18"/>
      <c r="N347" s="17"/>
      <c r="O347" s="17"/>
      <c r="P347" s="17"/>
      <c r="Q347" s="17"/>
      <c r="R347" s="17"/>
      <c r="S347" s="17"/>
      <c r="T347" s="17"/>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7"/>
      <c r="BT347" s="17"/>
      <c r="BU347" s="17"/>
      <c r="BV347" s="17"/>
      <c r="BW347" s="17"/>
      <c r="BX347" s="18"/>
      <c r="BY347" s="18"/>
      <c r="BZ347" s="18"/>
      <c r="CA347" s="18"/>
      <c r="CB347" s="17"/>
      <c r="CC347" s="17"/>
      <c r="CD347" s="17"/>
      <c r="CE347" s="18"/>
      <c r="CF347" s="18"/>
      <c r="CG347" s="18"/>
      <c r="CH347" s="18"/>
      <c r="CI347" s="18"/>
      <c r="CJ347" s="18"/>
      <c r="CK347" s="18"/>
      <c r="CL347" s="18"/>
      <c r="CM347" s="18"/>
      <c r="CN347" s="18"/>
      <c r="CO347" s="18"/>
      <c r="CP347" s="18"/>
      <c r="CQ347" s="18"/>
      <c r="CR347" s="18"/>
      <c r="CS347" s="18"/>
      <c r="CT347" s="18"/>
      <c r="CU347" s="18"/>
      <c r="CV347" s="18"/>
      <c r="CW347" s="18"/>
      <c r="CX347" s="18"/>
      <c r="CY347" s="37"/>
      <c r="CZ347" s="38"/>
      <c r="DA347" s="18"/>
      <c r="DB347" s="37"/>
      <c r="DC347" s="38"/>
      <c r="DD347" s="18"/>
      <c r="DE347" s="37"/>
      <c r="DF347" s="38"/>
      <c r="DG347" s="18"/>
      <c r="DH347" s="37"/>
      <c r="DI347" s="38"/>
      <c r="DJ347" s="18"/>
      <c r="DK347" s="37"/>
      <c r="DL347" s="38"/>
      <c r="DM347" s="18"/>
      <c r="DN347" s="18"/>
      <c r="DO347" s="18"/>
      <c r="DP347" s="18"/>
      <c r="DQ347" s="18"/>
      <c r="DR347" s="18"/>
      <c r="DS347" s="18"/>
      <c r="DT347" s="18"/>
      <c r="DU347" s="18"/>
      <c r="DV347" s="18"/>
      <c r="DW347" s="18"/>
      <c r="DX347" s="18"/>
      <c r="DY347" s="18"/>
      <c r="DZ347" s="18"/>
    </row>
    <row r="348" spans="1:130" x14ac:dyDescent="0.3">
      <c r="A348" s="18"/>
      <c r="B348" s="18"/>
      <c r="C348" s="18"/>
      <c r="D348" s="18"/>
      <c r="E348" s="18"/>
      <c r="F348" s="18"/>
      <c r="G348" s="18"/>
      <c r="H348" s="18"/>
      <c r="I348" s="18"/>
      <c r="J348" s="18"/>
      <c r="K348" s="18"/>
      <c r="L348" s="18"/>
      <c r="M348" s="18"/>
      <c r="N348" s="17"/>
      <c r="O348" s="17"/>
      <c r="P348" s="17"/>
      <c r="Q348" s="17"/>
      <c r="R348" s="17"/>
      <c r="S348" s="17"/>
      <c r="T348" s="17"/>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7"/>
      <c r="BT348" s="17"/>
      <c r="BU348" s="17"/>
      <c r="BV348" s="17"/>
      <c r="BW348" s="17"/>
      <c r="BX348" s="18"/>
      <c r="BY348" s="18"/>
      <c r="BZ348" s="18"/>
      <c r="CA348" s="18"/>
      <c r="CB348" s="17"/>
      <c r="CC348" s="17"/>
      <c r="CD348" s="17"/>
      <c r="CE348" s="18"/>
      <c r="CF348" s="18"/>
      <c r="CG348" s="18"/>
      <c r="CH348" s="18"/>
      <c r="CI348" s="18"/>
      <c r="CJ348" s="18"/>
      <c r="CK348" s="18"/>
      <c r="CL348" s="18"/>
      <c r="CM348" s="18"/>
      <c r="CN348" s="18"/>
      <c r="CO348" s="18"/>
      <c r="CP348" s="18"/>
      <c r="CQ348" s="18"/>
      <c r="CR348" s="18"/>
      <c r="CS348" s="18"/>
      <c r="CT348" s="18"/>
      <c r="CU348" s="18"/>
      <c r="CV348" s="18"/>
      <c r="CW348" s="18"/>
      <c r="CX348" s="18"/>
      <c r="CY348" s="37"/>
      <c r="CZ348" s="38"/>
      <c r="DA348" s="18"/>
      <c r="DB348" s="37"/>
      <c r="DC348" s="38"/>
      <c r="DD348" s="18"/>
      <c r="DE348" s="37"/>
      <c r="DF348" s="38"/>
      <c r="DG348" s="18"/>
      <c r="DH348" s="37"/>
      <c r="DI348" s="38"/>
      <c r="DJ348" s="18"/>
      <c r="DK348" s="37"/>
      <c r="DL348" s="38"/>
      <c r="DM348" s="18"/>
      <c r="DN348" s="18"/>
      <c r="DO348" s="18"/>
      <c r="DP348" s="18"/>
      <c r="DQ348" s="18"/>
      <c r="DR348" s="18"/>
      <c r="DS348" s="18"/>
      <c r="DT348" s="18"/>
      <c r="DU348" s="18"/>
      <c r="DV348" s="18"/>
      <c r="DW348" s="18"/>
      <c r="DX348" s="18"/>
      <c r="DY348" s="18"/>
      <c r="DZ348" s="18"/>
    </row>
    <row r="349" spans="1:130" x14ac:dyDescent="0.3">
      <c r="A349" s="18"/>
      <c r="B349" s="18"/>
      <c r="C349" s="18"/>
      <c r="D349" s="18"/>
      <c r="E349" s="18"/>
      <c r="F349" s="18"/>
      <c r="G349" s="18"/>
      <c r="H349" s="18"/>
      <c r="I349" s="18"/>
      <c r="J349" s="18"/>
      <c r="K349" s="18"/>
      <c r="L349" s="18"/>
      <c r="M349" s="18"/>
      <c r="N349" s="17"/>
      <c r="O349" s="17"/>
      <c r="P349" s="17"/>
      <c r="Q349" s="17"/>
      <c r="R349" s="17"/>
      <c r="S349" s="17"/>
      <c r="T349" s="17"/>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7"/>
      <c r="BT349" s="17"/>
      <c r="BU349" s="17"/>
      <c r="BV349" s="17"/>
      <c r="BW349" s="17"/>
      <c r="BX349" s="18"/>
      <c r="BY349" s="18"/>
      <c r="BZ349" s="18"/>
      <c r="CA349" s="18"/>
      <c r="CB349" s="17"/>
      <c r="CC349" s="17"/>
      <c r="CD349" s="17"/>
      <c r="CE349" s="18"/>
      <c r="CF349" s="18"/>
      <c r="CG349" s="18"/>
      <c r="CH349" s="18"/>
      <c r="CI349" s="18"/>
      <c r="CJ349" s="18"/>
      <c r="CK349" s="18"/>
      <c r="CL349" s="18"/>
      <c r="CM349" s="18"/>
      <c r="CN349" s="18"/>
      <c r="CO349" s="18"/>
      <c r="CP349" s="18"/>
      <c r="CQ349" s="18"/>
      <c r="CR349" s="18"/>
      <c r="CS349" s="18"/>
      <c r="CT349" s="18"/>
      <c r="CU349" s="18"/>
      <c r="CV349" s="18"/>
      <c r="CW349" s="18"/>
      <c r="CX349" s="18"/>
      <c r="CY349" s="37"/>
      <c r="CZ349" s="38"/>
      <c r="DA349" s="18"/>
      <c r="DB349" s="37"/>
      <c r="DC349" s="38"/>
      <c r="DD349" s="18"/>
      <c r="DE349" s="37"/>
      <c r="DF349" s="38"/>
      <c r="DG349" s="18"/>
      <c r="DH349" s="37"/>
      <c r="DI349" s="38"/>
      <c r="DJ349" s="18"/>
      <c r="DK349" s="37"/>
      <c r="DL349" s="38"/>
      <c r="DM349" s="18"/>
      <c r="DN349" s="18"/>
      <c r="DO349" s="18"/>
      <c r="DP349" s="18"/>
      <c r="DQ349" s="18"/>
      <c r="DR349" s="18"/>
      <c r="DS349" s="18"/>
      <c r="DT349" s="18"/>
      <c r="DU349" s="18"/>
      <c r="DV349" s="18"/>
      <c r="DW349" s="18"/>
      <c r="DX349" s="18"/>
      <c r="DY349" s="18"/>
      <c r="DZ349" s="18"/>
    </row>
    <row r="350" spans="1:130" x14ac:dyDescent="0.3">
      <c r="A350" s="18"/>
      <c r="B350" s="18"/>
      <c r="C350" s="18"/>
      <c r="D350" s="18"/>
      <c r="E350" s="18"/>
      <c r="F350" s="18"/>
      <c r="G350" s="18"/>
      <c r="H350" s="18"/>
      <c r="I350" s="18"/>
      <c r="J350" s="18"/>
      <c r="K350" s="18"/>
      <c r="L350" s="18"/>
      <c r="M350" s="18"/>
      <c r="N350" s="17"/>
      <c r="O350" s="17"/>
      <c r="P350" s="17"/>
      <c r="Q350" s="17"/>
      <c r="R350" s="17"/>
      <c r="S350" s="17"/>
      <c r="T350" s="17"/>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7"/>
      <c r="BT350" s="17"/>
      <c r="BU350" s="17"/>
      <c r="BV350" s="17"/>
      <c r="BW350" s="17"/>
      <c r="BX350" s="18"/>
      <c r="BY350" s="18"/>
      <c r="BZ350" s="18"/>
      <c r="CA350" s="18"/>
      <c r="CB350" s="17"/>
      <c r="CC350" s="17"/>
      <c r="CD350" s="17"/>
      <c r="CE350" s="18"/>
      <c r="CF350" s="18"/>
      <c r="CG350" s="18"/>
      <c r="CH350" s="18"/>
      <c r="CI350" s="18"/>
      <c r="CJ350" s="18"/>
      <c r="CK350" s="18"/>
      <c r="CL350" s="18"/>
      <c r="CM350" s="18"/>
      <c r="CN350" s="18"/>
      <c r="CO350" s="18"/>
      <c r="CP350" s="18"/>
      <c r="CQ350" s="18"/>
      <c r="CR350" s="18"/>
      <c r="CS350" s="18"/>
      <c r="CT350" s="18"/>
      <c r="CU350" s="18"/>
      <c r="CV350" s="18"/>
      <c r="CW350" s="18"/>
      <c r="CX350" s="18"/>
      <c r="CY350" s="37"/>
      <c r="CZ350" s="38"/>
      <c r="DA350" s="18"/>
      <c r="DB350" s="37"/>
      <c r="DC350" s="38"/>
      <c r="DD350" s="18"/>
      <c r="DE350" s="37"/>
      <c r="DF350" s="38"/>
      <c r="DG350" s="18"/>
      <c r="DH350" s="37"/>
      <c r="DI350" s="38"/>
      <c r="DJ350" s="18"/>
      <c r="DK350" s="37"/>
      <c r="DL350" s="38"/>
      <c r="DM350" s="18"/>
      <c r="DN350" s="18"/>
      <c r="DO350" s="18"/>
      <c r="DP350" s="18"/>
      <c r="DQ350" s="18"/>
      <c r="DR350" s="18"/>
      <c r="DS350" s="18"/>
      <c r="DT350" s="18"/>
      <c r="DU350" s="18"/>
      <c r="DV350" s="18"/>
      <c r="DW350" s="18"/>
      <c r="DX350" s="18"/>
      <c r="DY350" s="18"/>
      <c r="DZ350" s="18"/>
    </row>
    <row r="351" spans="1:130" x14ac:dyDescent="0.3">
      <c r="A351" s="18"/>
      <c r="B351" s="18"/>
      <c r="C351" s="18"/>
      <c r="D351" s="18"/>
      <c r="E351" s="18"/>
      <c r="F351" s="18"/>
      <c r="G351" s="18"/>
      <c r="H351" s="18"/>
      <c r="I351" s="18"/>
      <c r="J351" s="18"/>
      <c r="K351" s="18"/>
      <c r="L351" s="18"/>
      <c r="M351" s="18"/>
      <c r="N351" s="17"/>
      <c r="O351" s="17"/>
      <c r="P351" s="17"/>
      <c r="Q351" s="17"/>
      <c r="R351" s="17"/>
      <c r="S351" s="17"/>
      <c r="T351" s="17"/>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7"/>
      <c r="BT351" s="17"/>
      <c r="BU351" s="17"/>
      <c r="BV351" s="17"/>
      <c r="BW351" s="17"/>
      <c r="BX351" s="18"/>
      <c r="BY351" s="18"/>
      <c r="BZ351" s="18"/>
      <c r="CA351" s="18"/>
      <c r="CB351" s="17"/>
      <c r="CC351" s="17"/>
      <c r="CD351" s="17"/>
      <c r="CE351" s="18"/>
      <c r="CF351" s="18"/>
      <c r="CG351" s="18"/>
      <c r="CH351" s="18"/>
      <c r="CI351" s="18"/>
      <c r="CJ351" s="18"/>
      <c r="CK351" s="18"/>
      <c r="CL351" s="18"/>
      <c r="CM351" s="18"/>
      <c r="CN351" s="18"/>
      <c r="CO351" s="18"/>
      <c r="CP351" s="18"/>
      <c r="CQ351" s="18"/>
      <c r="CR351" s="18"/>
      <c r="CS351" s="18"/>
      <c r="CT351" s="18"/>
      <c r="CU351" s="18"/>
      <c r="CV351" s="18"/>
      <c r="CW351" s="18"/>
      <c r="CX351" s="18"/>
      <c r="CY351" s="37"/>
      <c r="CZ351" s="38"/>
      <c r="DA351" s="18"/>
      <c r="DB351" s="37"/>
      <c r="DC351" s="38"/>
      <c r="DD351" s="18"/>
      <c r="DE351" s="37"/>
      <c r="DF351" s="38"/>
      <c r="DG351" s="18"/>
      <c r="DH351" s="37"/>
      <c r="DI351" s="38"/>
      <c r="DJ351" s="18"/>
      <c r="DK351" s="37"/>
      <c r="DL351" s="38"/>
      <c r="DM351" s="18"/>
      <c r="DN351" s="18"/>
      <c r="DO351" s="18"/>
      <c r="DP351" s="18"/>
      <c r="DQ351" s="18"/>
      <c r="DR351" s="18"/>
      <c r="DS351" s="18"/>
      <c r="DT351" s="18"/>
      <c r="DU351" s="18"/>
      <c r="DV351" s="18"/>
      <c r="DW351" s="18"/>
      <c r="DX351" s="18"/>
      <c r="DY351" s="18"/>
      <c r="DZ351" s="18"/>
    </row>
    <row r="352" spans="1:130" x14ac:dyDescent="0.3">
      <c r="A352" s="18"/>
      <c r="B352" s="18"/>
      <c r="C352" s="18"/>
      <c r="D352" s="18"/>
      <c r="E352" s="18"/>
      <c r="F352" s="18"/>
      <c r="G352" s="18"/>
      <c r="H352" s="18"/>
      <c r="I352" s="18"/>
      <c r="J352" s="18"/>
      <c r="K352" s="18"/>
      <c r="L352" s="18"/>
      <c r="M352" s="18"/>
      <c r="N352" s="17"/>
      <c r="O352" s="17"/>
      <c r="P352" s="17"/>
      <c r="Q352" s="17"/>
      <c r="R352" s="17"/>
      <c r="S352" s="17"/>
      <c r="T352" s="17"/>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7"/>
      <c r="BT352" s="17"/>
      <c r="BU352" s="17"/>
      <c r="BV352" s="17"/>
      <c r="BW352" s="17"/>
      <c r="BX352" s="18"/>
      <c r="BY352" s="18"/>
      <c r="BZ352" s="18"/>
      <c r="CA352" s="18"/>
      <c r="CB352" s="17"/>
      <c r="CC352" s="17"/>
      <c r="CD352" s="17"/>
      <c r="CE352" s="18"/>
      <c r="CF352" s="18"/>
      <c r="CG352" s="18"/>
      <c r="CH352" s="18"/>
      <c r="CI352" s="18"/>
      <c r="CJ352" s="18"/>
      <c r="CK352" s="18"/>
      <c r="CL352" s="18"/>
      <c r="CM352" s="18"/>
      <c r="CN352" s="18"/>
      <c r="CO352" s="18"/>
      <c r="CP352" s="18"/>
      <c r="CQ352" s="18"/>
      <c r="CR352" s="18"/>
      <c r="CS352" s="18"/>
      <c r="CT352" s="18"/>
      <c r="CU352" s="18"/>
      <c r="CV352" s="18"/>
      <c r="CW352" s="18"/>
      <c r="CX352" s="18"/>
      <c r="CY352" s="37"/>
      <c r="CZ352" s="38"/>
      <c r="DA352" s="18"/>
      <c r="DB352" s="37"/>
      <c r="DC352" s="38"/>
      <c r="DD352" s="18"/>
      <c r="DE352" s="37"/>
      <c r="DF352" s="38"/>
      <c r="DG352" s="18"/>
      <c r="DH352" s="37"/>
      <c r="DI352" s="38"/>
      <c r="DJ352" s="18"/>
      <c r="DK352" s="37"/>
      <c r="DL352" s="38"/>
      <c r="DM352" s="18"/>
      <c r="DN352" s="18"/>
      <c r="DO352" s="18"/>
      <c r="DP352" s="18"/>
      <c r="DQ352" s="18"/>
      <c r="DR352" s="18"/>
      <c r="DS352" s="18"/>
      <c r="DT352" s="18"/>
      <c r="DU352" s="18"/>
      <c r="DV352" s="18"/>
      <c r="DW352" s="18"/>
      <c r="DX352" s="18"/>
      <c r="DY352" s="18"/>
      <c r="DZ352" s="18"/>
    </row>
    <row r="353" spans="1:130" x14ac:dyDescent="0.3">
      <c r="A353" s="18"/>
      <c r="B353" s="18"/>
      <c r="C353" s="18"/>
      <c r="D353" s="18"/>
      <c r="E353" s="18"/>
      <c r="F353" s="18"/>
      <c r="G353" s="18"/>
      <c r="H353" s="18"/>
      <c r="I353" s="18"/>
      <c r="J353" s="18"/>
      <c r="K353" s="18"/>
      <c r="L353" s="18"/>
      <c r="M353" s="18"/>
      <c r="N353" s="17"/>
      <c r="O353" s="17"/>
      <c r="P353" s="17"/>
      <c r="Q353" s="17"/>
      <c r="R353" s="17"/>
      <c r="S353" s="17"/>
      <c r="T353" s="17"/>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7"/>
      <c r="BT353" s="17"/>
      <c r="BU353" s="17"/>
      <c r="BV353" s="17"/>
      <c r="BW353" s="17"/>
      <c r="BX353" s="18"/>
      <c r="BY353" s="18"/>
      <c r="BZ353" s="18"/>
      <c r="CA353" s="18"/>
      <c r="CB353" s="17"/>
      <c r="CC353" s="17"/>
      <c r="CD353" s="17"/>
      <c r="CE353" s="18"/>
      <c r="CF353" s="18"/>
      <c r="CG353" s="18"/>
      <c r="CH353" s="18"/>
      <c r="CI353" s="18"/>
      <c r="CJ353" s="18"/>
      <c r="CK353" s="18"/>
      <c r="CL353" s="18"/>
      <c r="CM353" s="18"/>
      <c r="CN353" s="18"/>
      <c r="CO353" s="18"/>
      <c r="CP353" s="18"/>
      <c r="CQ353" s="18"/>
      <c r="CR353" s="18"/>
      <c r="CS353" s="18"/>
      <c r="CT353" s="18"/>
      <c r="CU353" s="18"/>
      <c r="CV353" s="18"/>
      <c r="CW353" s="18"/>
      <c r="CX353" s="18"/>
      <c r="CY353" s="37"/>
      <c r="CZ353" s="38"/>
      <c r="DA353" s="18"/>
      <c r="DB353" s="37"/>
      <c r="DC353" s="38"/>
      <c r="DD353" s="18"/>
      <c r="DE353" s="37"/>
      <c r="DF353" s="38"/>
      <c r="DG353" s="18"/>
      <c r="DH353" s="37"/>
      <c r="DI353" s="38"/>
      <c r="DJ353" s="18"/>
      <c r="DK353" s="37"/>
      <c r="DL353" s="38"/>
      <c r="DM353" s="18"/>
      <c r="DN353" s="18"/>
      <c r="DO353" s="18"/>
      <c r="DP353" s="18"/>
      <c r="DQ353" s="18"/>
      <c r="DR353" s="18"/>
      <c r="DS353" s="18"/>
      <c r="DT353" s="18"/>
      <c r="DU353" s="18"/>
      <c r="DV353" s="18"/>
      <c r="DW353" s="18"/>
      <c r="DX353" s="18"/>
      <c r="DY353" s="18"/>
      <c r="DZ353" s="18"/>
    </row>
    <row r="354" spans="1:130" x14ac:dyDescent="0.3">
      <c r="A354" s="18"/>
      <c r="B354" s="18"/>
      <c r="C354" s="18"/>
      <c r="D354" s="18"/>
      <c r="E354" s="18"/>
      <c r="F354" s="18"/>
      <c r="G354" s="18"/>
      <c r="H354" s="18"/>
      <c r="I354" s="18"/>
      <c r="J354" s="18"/>
      <c r="K354" s="18"/>
      <c r="L354" s="18"/>
      <c r="M354" s="18"/>
      <c r="N354" s="17"/>
      <c r="O354" s="17"/>
      <c r="P354" s="17"/>
      <c r="Q354" s="17"/>
      <c r="R354" s="17"/>
      <c r="S354" s="17"/>
      <c r="T354" s="17"/>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7"/>
      <c r="BT354" s="17"/>
      <c r="BU354" s="17"/>
      <c r="BV354" s="17"/>
      <c r="BW354" s="17"/>
      <c r="BX354" s="18"/>
      <c r="BY354" s="18"/>
      <c r="BZ354" s="18"/>
      <c r="CA354" s="18"/>
      <c r="CB354" s="17"/>
      <c r="CC354" s="17"/>
      <c r="CD354" s="17"/>
      <c r="CE354" s="18"/>
      <c r="CF354" s="18"/>
      <c r="CG354" s="18"/>
      <c r="CH354" s="18"/>
      <c r="CI354" s="18"/>
      <c r="CJ354" s="18"/>
      <c r="CK354" s="18"/>
      <c r="CL354" s="18"/>
      <c r="CM354" s="18"/>
      <c r="CN354" s="18"/>
      <c r="CO354" s="18"/>
      <c r="CP354" s="18"/>
      <c r="CQ354" s="18"/>
      <c r="CR354" s="18"/>
      <c r="CS354" s="18"/>
      <c r="CT354" s="18"/>
      <c r="CU354" s="18"/>
      <c r="CV354" s="18"/>
      <c r="CW354" s="18"/>
      <c r="CX354" s="18"/>
      <c r="CY354" s="37"/>
      <c r="CZ354" s="38"/>
      <c r="DA354" s="18"/>
      <c r="DB354" s="37"/>
      <c r="DC354" s="38"/>
      <c r="DD354" s="18"/>
      <c r="DE354" s="37"/>
      <c r="DF354" s="38"/>
      <c r="DG354" s="18"/>
      <c r="DH354" s="37"/>
      <c r="DI354" s="38"/>
      <c r="DJ354" s="18"/>
      <c r="DK354" s="37"/>
      <c r="DL354" s="38"/>
      <c r="DM354" s="18"/>
      <c r="DN354" s="18"/>
      <c r="DO354" s="18"/>
      <c r="DP354" s="18"/>
      <c r="DQ354" s="18"/>
      <c r="DR354" s="18"/>
      <c r="DS354" s="18"/>
      <c r="DT354" s="18"/>
      <c r="DU354" s="18"/>
      <c r="DV354" s="18"/>
      <c r="DW354" s="18"/>
      <c r="DX354" s="18"/>
      <c r="DY354" s="18"/>
      <c r="DZ354" s="18"/>
    </row>
    <row r="355" spans="1:130" x14ac:dyDescent="0.3">
      <c r="A355" s="18"/>
      <c r="B355" s="18"/>
      <c r="C355" s="18"/>
      <c r="D355" s="18"/>
      <c r="E355" s="18"/>
      <c r="F355" s="18"/>
      <c r="G355" s="18"/>
      <c r="H355" s="18"/>
      <c r="I355" s="18"/>
      <c r="J355" s="18"/>
      <c r="K355" s="18"/>
      <c r="L355" s="18"/>
      <c r="M355" s="18"/>
      <c r="N355" s="17"/>
      <c r="O355" s="17"/>
      <c r="P355" s="17"/>
      <c r="Q355" s="17"/>
      <c r="R355" s="17"/>
      <c r="S355" s="17"/>
      <c r="T355" s="17"/>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7"/>
      <c r="BT355" s="17"/>
      <c r="BU355" s="17"/>
      <c r="BV355" s="17"/>
      <c r="BW355" s="17"/>
      <c r="BX355" s="18"/>
      <c r="BY355" s="18"/>
      <c r="BZ355" s="18"/>
      <c r="CA355" s="18"/>
      <c r="CB355" s="17"/>
      <c r="CC355" s="17"/>
      <c r="CD355" s="17"/>
      <c r="CE355" s="18"/>
      <c r="CF355" s="18"/>
      <c r="CG355" s="18"/>
      <c r="CH355" s="18"/>
      <c r="CI355" s="18"/>
      <c r="CJ355" s="18"/>
      <c r="CK355" s="18"/>
      <c r="CL355" s="18"/>
      <c r="CM355" s="18"/>
      <c r="CN355" s="18"/>
      <c r="CO355" s="18"/>
      <c r="CP355" s="18"/>
      <c r="CQ355" s="18"/>
      <c r="CR355" s="18"/>
      <c r="CS355" s="18"/>
      <c r="CT355" s="18"/>
      <c r="CU355" s="18"/>
      <c r="CV355" s="18"/>
      <c r="CW355" s="18"/>
      <c r="CX355" s="18"/>
      <c r="CY355" s="37"/>
      <c r="CZ355" s="38"/>
      <c r="DA355" s="18"/>
      <c r="DB355" s="37"/>
      <c r="DC355" s="38"/>
      <c r="DD355" s="18"/>
      <c r="DE355" s="37"/>
      <c r="DF355" s="38"/>
      <c r="DG355" s="18"/>
      <c r="DH355" s="37"/>
      <c r="DI355" s="38"/>
      <c r="DJ355" s="18"/>
      <c r="DK355" s="37"/>
      <c r="DL355" s="38"/>
      <c r="DM355" s="18"/>
      <c r="DN355" s="18"/>
      <c r="DO355" s="18"/>
      <c r="DP355" s="18"/>
      <c r="DQ355" s="18"/>
      <c r="DR355" s="18"/>
      <c r="DS355" s="18"/>
      <c r="DT355" s="18"/>
      <c r="DU355" s="18"/>
      <c r="DV355" s="18"/>
      <c r="DW355" s="18"/>
      <c r="DX355" s="18"/>
      <c r="DY355" s="18"/>
      <c r="DZ355" s="18"/>
    </row>
    <row r="356" spans="1:130" x14ac:dyDescent="0.3">
      <c r="A356" s="18"/>
      <c r="B356" s="18"/>
      <c r="C356" s="18"/>
      <c r="D356" s="18"/>
      <c r="E356" s="18"/>
      <c r="F356" s="18"/>
      <c r="G356" s="18"/>
      <c r="H356" s="18"/>
      <c r="I356" s="18"/>
      <c r="J356" s="18"/>
      <c r="K356" s="18"/>
      <c r="L356" s="18"/>
      <c r="M356" s="18"/>
      <c r="N356" s="17"/>
      <c r="O356" s="17"/>
      <c r="P356" s="17"/>
      <c r="Q356" s="17"/>
      <c r="R356" s="17"/>
      <c r="S356" s="17"/>
      <c r="T356" s="17"/>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7"/>
      <c r="BT356" s="17"/>
      <c r="BU356" s="17"/>
      <c r="BV356" s="17"/>
      <c r="BW356" s="17"/>
      <c r="BX356" s="18"/>
      <c r="BY356" s="18"/>
      <c r="BZ356" s="18"/>
      <c r="CA356" s="18"/>
      <c r="CB356" s="17"/>
      <c r="CC356" s="17"/>
      <c r="CD356" s="17"/>
      <c r="CE356" s="18"/>
      <c r="CF356" s="18"/>
      <c r="CG356" s="18"/>
      <c r="CH356" s="18"/>
      <c r="CI356" s="18"/>
      <c r="CJ356" s="18"/>
      <c r="CK356" s="18"/>
      <c r="CL356" s="18"/>
      <c r="CM356" s="18"/>
      <c r="CN356" s="18"/>
      <c r="CO356" s="18"/>
      <c r="CP356" s="18"/>
      <c r="CQ356" s="18"/>
      <c r="CR356" s="18"/>
      <c r="CS356" s="18"/>
      <c r="CT356" s="18"/>
      <c r="CU356" s="18"/>
      <c r="CV356" s="18"/>
      <c r="CW356" s="18"/>
      <c r="CX356" s="18"/>
      <c r="CY356" s="37"/>
      <c r="CZ356" s="38"/>
      <c r="DA356" s="18"/>
      <c r="DB356" s="37"/>
      <c r="DC356" s="38"/>
      <c r="DD356" s="18"/>
      <c r="DE356" s="37"/>
      <c r="DF356" s="38"/>
      <c r="DG356" s="18"/>
      <c r="DH356" s="37"/>
      <c r="DI356" s="38"/>
      <c r="DJ356" s="18"/>
      <c r="DK356" s="37"/>
      <c r="DL356" s="38"/>
      <c r="DM356" s="18"/>
      <c r="DN356" s="18"/>
      <c r="DO356" s="18"/>
      <c r="DP356" s="18"/>
      <c r="DQ356" s="18"/>
      <c r="DR356" s="18"/>
      <c r="DS356" s="18"/>
      <c r="DT356" s="18"/>
      <c r="DU356" s="18"/>
      <c r="DV356" s="18"/>
      <c r="DW356" s="18"/>
      <c r="DX356" s="18"/>
      <c r="DY356" s="18"/>
      <c r="DZ356" s="18"/>
    </row>
    <row r="357" spans="1:130" x14ac:dyDescent="0.3">
      <c r="A357" s="18"/>
      <c r="B357" s="18"/>
      <c r="C357" s="18"/>
      <c r="D357" s="18"/>
      <c r="E357" s="18"/>
      <c r="F357" s="18"/>
      <c r="G357" s="18"/>
      <c r="H357" s="18"/>
      <c r="I357" s="18"/>
      <c r="J357" s="18"/>
      <c r="K357" s="18"/>
      <c r="L357" s="18"/>
      <c r="M357" s="18"/>
      <c r="N357" s="17"/>
      <c r="O357" s="17"/>
      <c r="P357" s="17"/>
      <c r="Q357" s="17"/>
      <c r="R357" s="17"/>
      <c r="S357" s="17"/>
      <c r="T357" s="17"/>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7"/>
      <c r="BT357" s="17"/>
      <c r="BU357" s="17"/>
      <c r="BV357" s="17"/>
      <c r="BW357" s="17"/>
      <c r="BX357" s="18"/>
      <c r="BY357" s="18"/>
      <c r="BZ357" s="18"/>
      <c r="CA357" s="18"/>
      <c r="CB357" s="17"/>
      <c r="CC357" s="17"/>
      <c r="CD357" s="17"/>
      <c r="CE357" s="18"/>
      <c r="CF357" s="18"/>
      <c r="CG357" s="18"/>
      <c r="CH357" s="18"/>
      <c r="CI357" s="18"/>
      <c r="CJ357" s="18"/>
      <c r="CK357" s="18"/>
      <c r="CL357" s="18"/>
      <c r="CM357" s="18"/>
      <c r="CN357" s="18"/>
      <c r="CO357" s="18"/>
      <c r="CP357" s="18"/>
      <c r="CQ357" s="18"/>
      <c r="CR357" s="18"/>
      <c r="CS357" s="18"/>
      <c r="CT357" s="18"/>
      <c r="CU357" s="18"/>
      <c r="CV357" s="18"/>
      <c r="CW357" s="18"/>
      <c r="CX357" s="18"/>
      <c r="CY357" s="37"/>
      <c r="CZ357" s="38"/>
      <c r="DA357" s="18"/>
      <c r="DB357" s="37"/>
      <c r="DC357" s="38"/>
      <c r="DD357" s="18"/>
      <c r="DE357" s="37"/>
      <c r="DF357" s="38"/>
      <c r="DG357" s="18"/>
      <c r="DH357" s="37"/>
      <c r="DI357" s="38"/>
      <c r="DJ357" s="18"/>
      <c r="DK357" s="37"/>
      <c r="DL357" s="38"/>
      <c r="DM357" s="18"/>
      <c r="DN357" s="18"/>
      <c r="DO357" s="18"/>
      <c r="DP357" s="18"/>
      <c r="DQ357" s="18"/>
      <c r="DR357" s="18"/>
      <c r="DS357" s="18"/>
      <c r="DT357" s="18"/>
      <c r="DU357" s="18"/>
      <c r="DV357" s="18"/>
      <c r="DW357" s="18"/>
      <c r="DX357" s="18"/>
      <c r="DY357" s="18"/>
      <c r="DZ357" s="18"/>
    </row>
    <row r="358" spans="1:130" x14ac:dyDescent="0.3">
      <c r="A358" s="18"/>
      <c r="B358" s="18"/>
      <c r="C358" s="18"/>
      <c r="D358" s="18"/>
      <c r="E358" s="18"/>
      <c r="F358" s="18"/>
      <c r="G358" s="18"/>
      <c r="H358" s="18"/>
      <c r="I358" s="18"/>
      <c r="J358" s="18"/>
      <c r="K358" s="18"/>
      <c r="L358" s="18"/>
      <c r="M358" s="18"/>
      <c r="N358" s="17"/>
      <c r="O358" s="17"/>
      <c r="P358" s="17"/>
      <c r="Q358" s="17"/>
      <c r="R358" s="17"/>
      <c r="S358" s="17"/>
      <c r="T358" s="17"/>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7"/>
      <c r="BT358" s="17"/>
      <c r="BU358" s="17"/>
      <c r="BV358" s="17"/>
      <c r="BW358" s="17"/>
      <c r="BX358" s="18"/>
      <c r="BY358" s="18"/>
      <c r="BZ358" s="18"/>
      <c r="CA358" s="18"/>
      <c r="CB358" s="17"/>
      <c r="CC358" s="17"/>
      <c r="CD358" s="17"/>
      <c r="CE358" s="18"/>
      <c r="CF358" s="18"/>
      <c r="CG358" s="18"/>
      <c r="CH358" s="18"/>
      <c r="CI358" s="18"/>
      <c r="CJ358" s="18"/>
      <c r="CK358" s="18"/>
      <c r="CL358" s="18"/>
      <c r="CM358" s="18"/>
      <c r="CN358" s="18"/>
      <c r="CO358" s="18"/>
      <c r="CP358" s="18"/>
      <c r="CQ358" s="18"/>
      <c r="CR358" s="18"/>
      <c r="CS358" s="18"/>
      <c r="CT358" s="18"/>
      <c r="CU358" s="18"/>
      <c r="CV358" s="18"/>
      <c r="CW358" s="18"/>
      <c r="CX358" s="18"/>
      <c r="CY358" s="37"/>
      <c r="CZ358" s="38"/>
      <c r="DA358" s="18"/>
      <c r="DB358" s="37"/>
      <c r="DC358" s="38"/>
      <c r="DD358" s="18"/>
      <c r="DE358" s="37"/>
      <c r="DF358" s="38"/>
      <c r="DG358" s="18"/>
      <c r="DH358" s="37"/>
      <c r="DI358" s="38"/>
      <c r="DJ358" s="18"/>
      <c r="DK358" s="37"/>
      <c r="DL358" s="38"/>
      <c r="DM358" s="18"/>
      <c r="DN358" s="18"/>
      <c r="DO358" s="18"/>
      <c r="DP358" s="18"/>
      <c r="DQ358" s="18"/>
      <c r="DR358" s="18"/>
      <c r="DS358" s="18"/>
      <c r="DT358" s="18"/>
      <c r="DU358" s="18"/>
      <c r="DV358" s="18"/>
      <c r="DW358" s="18"/>
      <c r="DX358" s="18"/>
      <c r="DY358" s="18"/>
      <c r="DZ358" s="18"/>
    </row>
    <row r="359" spans="1:130" x14ac:dyDescent="0.3">
      <c r="A359" s="18"/>
      <c r="B359" s="18"/>
      <c r="C359" s="18"/>
      <c r="D359" s="18"/>
      <c r="E359" s="18"/>
      <c r="F359" s="18"/>
      <c r="G359" s="18"/>
      <c r="H359" s="18"/>
      <c r="I359" s="18"/>
      <c r="J359" s="18"/>
      <c r="K359" s="18"/>
      <c r="L359" s="18"/>
      <c r="M359" s="18"/>
      <c r="N359" s="17"/>
      <c r="O359" s="17"/>
      <c r="P359" s="17"/>
      <c r="Q359" s="17"/>
      <c r="R359" s="17"/>
      <c r="S359" s="17"/>
      <c r="T359" s="17"/>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7"/>
      <c r="BT359" s="17"/>
      <c r="BU359" s="17"/>
      <c r="BV359" s="17"/>
      <c r="BW359" s="17"/>
      <c r="BX359" s="18"/>
      <c r="BY359" s="18"/>
      <c r="BZ359" s="18"/>
      <c r="CA359" s="18"/>
      <c r="CB359" s="17"/>
      <c r="CC359" s="17"/>
      <c r="CD359" s="17"/>
      <c r="CE359" s="18"/>
      <c r="CF359" s="18"/>
      <c r="CG359" s="18"/>
      <c r="CH359" s="18"/>
      <c r="CI359" s="18"/>
      <c r="CJ359" s="18"/>
      <c r="CK359" s="18"/>
      <c r="CL359" s="18"/>
      <c r="CM359" s="18"/>
      <c r="CN359" s="18"/>
      <c r="CO359" s="18"/>
      <c r="CP359" s="18"/>
      <c r="CQ359" s="18"/>
      <c r="CR359" s="18"/>
      <c r="CS359" s="18"/>
      <c r="CT359" s="18"/>
      <c r="CU359" s="18"/>
      <c r="CV359" s="18"/>
      <c r="CW359" s="18"/>
      <c r="CX359" s="18"/>
      <c r="CY359" s="37"/>
      <c r="CZ359" s="38"/>
      <c r="DA359" s="18"/>
      <c r="DB359" s="37"/>
      <c r="DC359" s="38"/>
      <c r="DD359" s="18"/>
      <c r="DE359" s="37"/>
      <c r="DF359" s="38"/>
      <c r="DG359" s="18"/>
      <c r="DH359" s="37"/>
      <c r="DI359" s="38"/>
      <c r="DJ359" s="18"/>
      <c r="DK359" s="37"/>
      <c r="DL359" s="38"/>
      <c r="DM359" s="18"/>
      <c r="DN359" s="18"/>
      <c r="DO359" s="18"/>
      <c r="DP359" s="18"/>
      <c r="DQ359" s="18"/>
      <c r="DR359" s="18"/>
      <c r="DS359" s="18"/>
      <c r="DT359" s="18"/>
      <c r="DU359" s="18"/>
      <c r="DV359" s="18"/>
      <c r="DW359" s="18"/>
      <c r="DX359" s="18"/>
      <c r="DY359" s="18"/>
      <c r="DZ359" s="18"/>
    </row>
    <row r="360" spans="1:130" x14ac:dyDescent="0.3">
      <c r="A360" s="18"/>
      <c r="B360" s="18"/>
      <c r="C360" s="18"/>
      <c r="D360" s="18"/>
      <c r="E360" s="18"/>
      <c r="F360" s="18"/>
      <c r="G360" s="18"/>
      <c r="H360" s="18"/>
      <c r="I360" s="18"/>
      <c r="J360" s="18"/>
      <c r="K360" s="18"/>
      <c r="L360" s="18"/>
      <c r="M360" s="18"/>
      <c r="N360" s="17"/>
      <c r="O360" s="17"/>
      <c r="P360" s="17"/>
      <c r="Q360" s="17"/>
      <c r="R360" s="17"/>
      <c r="S360" s="17"/>
      <c r="T360" s="17"/>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7"/>
      <c r="BT360" s="17"/>
      <c r="BU360" s="17"/>
      <c r="BV360" s="17"/>
      <c r="BW360" s="17"/>
      <c r="BX360" s="18"/>
      <c r="BY360" s="18"/>
      <c r="BZ360" s="18"/>
      <c r="CA360" s="18"/>
      <c r="CB360" s="17"/>
      <c r="CC360" s="17"/>
      <c r="CD360" s="17"/>
      <c r="CE360" s="18"/>
      <c r="CF360" s="18"/>
      <c r="CG360" s="18"/>
      <c r="CH360" s="18"/>
      <c r="CI360" s="18"/>
      <c r="CJ360" s="18"/>
      <c r="CK360" s="18"/>
      <c r="CL360" s="18"/>
      <c r="CM360" s="18"/>
      <c r="CN360" s="18"/>
      <c r="CO360" s="18"/>
      <c r="CP360" s="18"/>
      <c r="CQ360" s="18"/>
      <c r="CR360" s="18"/>
      <c r="CS360" s="18"/>
      <c r="CT360" s="18"/>
      <c r="CU360" s="18"/>
      <c r="CV360" s="18"/>
      <c r="CW360" s="18"/>
      <c r="CX360" s="18"/>
      <c r="CY360" s="37"/>
      <c r="CZ360" s="38"/>
      <c r="DA360" s="18"/>
      <c r="DB360" s="37"/>
      <c r="DC360" s="38"/>
      <c r="DD360" s="18"/>
      <c r="DE360" s="37"/>
      <c r="DF360" s="38"/>
      <c r="DG360" s="18"/>
      <c r="DH360" s="37"/>
      <c r="DI360" s="38"/>
      <c r="DJ360" s="18"/>
      <c r="DK360" s="37"/>
      <c r="DL360" s="38"/>
      <c r="DM360" s="18"/>
      <c r="DN360" s="18"/>
      <c r="DO360" s="18"/>
      <c r="DP360" s="18"/>
      <c r="DQ360" s="18"/>
      <c r="DR360" s="18"/>
      <c r="DS360" s="18"/>
      <c r="DT360" s="18"/>
      <c r="DU360" s="18"/>
      <c r="DV360" s="18"/>
      <c r="DW360" s="18"/>
      <c r="DX360" s="18"/>
      <c r="DY360" s="18"/>
      <c r="DZ360" s="18"/>
    </row>
    <row r="361" spans="1:130" x14ac:dyDescent="0.3">
      <c r="A361" s="18"/>
      <c r="B361" s="18"/>
      <c r="C361" s="18"/>
      <c r="D361" s="18"/>
      <c r="E361" s="18"/>
      <c r="F361" s="18"/>
      <c r="G361" s="18"/>
      <c r="H361" s="18"/>
      <c r="I361" s="18"/>
      <c r="J361" s="18"/>
      <c r="K361" s="18"/>
      <c r="L361" s="18"/>
      <c r="M361" s="18"/>
      <c r="N361" s="17"/>
      <c r="O361" s="17"/>
      <c r="P361" s="17"/>
      <c r="Q361" s="17"/>
      <c r="R361" s="17"/>
      <c r="S361" s="17"/>
      <c r="T361" s="17"/>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7"/>
      <c r="BT361" s="17"/>
      <c r="BU361" s="17"/>
      <c r="BV361" s="17"/>
      <c r="BW361" s="17"/>
      <c r="BX361" s="18"/>
      <c r="BY361" s="18"/>
      <c r="BZ361" s="18"/>
      <c r="CA361" s="18"/>
      <c r="CB361" s="17"/>
      <c r="CC361" s="17"/>
      <c r="CD361" s="17"/>
      <c r="CE361" s="18"/>
      <c r="CF361" s="18"/>
      <c r="CG361" s="18"/>
      <c r="CH361" s="18"/>
      <c r="CI361" s="18"/>
      <c r="CJ361" s="18"/>
      <c r="CK361" s="18"/>
      <c r="CL361" s="18"/>
      <c r="CM361" s="18"/>
      <c r="CN361" s="18"/>
      <c r="CO361" s="18"/>
      <c r="CP361" s="18"/>
      <c r="CQ361" s="18"/>
      <c r="CR361" s="18"/>
      <c r="CS361" s="18"/>
      <c r="CT361" s="18"/>
      <c r="CU361" s="18"/>
      <c r="CV361" s="18"/>
      <c r="CW361" s="18"/>
      <c r="CX361" s="18"/>
      <c r="CY361" s="37"/>
      <c r="CZ361" s="38"/>
      <c r="DA361" s="18"/>
      <c r="DB361" s="37"/>
      <c r="DC361" s="38"/>
      <c r="DD361" s="18"/>
      <c r="DE361" s="37"/>
      <c r="DF361" s="38"/>
      <c r="DG361" s="18"/>
      <c r="DH361" s="37"/>
      <c r="DI361" s="38"/>
      <c r="DJ361" s="18"/>
      <c r="DK361" s="37"/>
      <c r="DL361" s="38"/>
      <c r="DM361" s="18"/>
      <c r="DN361" s="18"/>
      <c r="DO361" s="18"/>
      <c r="DP361" s="18"/>
      <c r="DQ361" s="18"/>
      <c r="DR361" s="18"/>
      <c r="DS361" s="18"/>
      <c r="DT361" s="18"/>
      <c r="DU361" s="18"/>
      <c r="DV361" s="18"/>
      <c r="DW361" s="18"/>
      <c r="DX361" s="18"/>
      <c r="DY361" s="18"/>
      <c r="DZ361" s="18"/>
    </row>
    <row r="362" spans="1:130" x14ac:dyDescent="0.3">
      <c r="A362" s="18"/>
      <c r="B362" s="18"/>
      <c r="C362" s="18"/>
      <c r="D362" s="18"/>
      <c r="E362" s="18"/>
      <c r="F362" s="18"/>
      <c r="G362" s="18"/>
      <c r="H362" s="18"/>
      <c r="I362" s="18"/>
      <c r="J362" s="18"/>
      <c r="K362" s="18"/>
      <c r="L362" s="18"/>
      <c r="M362" s="18"/>
      <c r="N362" s="17"/>
      <c r="O362" s="17"/>
      <c r="P362" s="17"/>
      <c r="Q362" s="17"/>
      <c r="R362" s="17"/>
      <c r="S362" s="17"/>
      <c r="T362" s="17"/>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7"/>
      <c r="BT362" s="17"/>
      <c r="BU362" s="17"/>
      <c r="BV362" s="17"/>
      <c r="BW362" s="17"/>
      <c r="BX362" s="18"/>
      <c r="BY362" s="18"/>
      <c r="BZ362" s="18"/>
      <c r="CA362" s="18"/>
      <c r="CB362" s="17"/>
      <c r="CC362" s="17"/>
      <c r="CD362" s="17"/>
      <c r="CE362" s="18"/>
      <c r="CF362" s="18"/>
      <c r="CG362" s="18"/>
      <c r="CH362" s="18"/>
      <c r="CI362" s="18"/>
      <c r="CJ362" s="18"/>
      <c r="CK362" s="18"/>
      <c r="CL362" s="18"/>
      <c r="CM362" s="18"/>
      <c r="CN362" s="18"/>
      <c r="CO362" s="18"/>
      <c r="CP362" s="18"/>
      <c r="CQ362" s="18"/>
      <c r="CR362" s="18"/>
      <c r="CS362" s="18"/>
      <c r="CT362" s="18"/>
      <c r="CU362" s="18"/>
      <c r="CV362" s="18"/>
      <c r="CW362" s="18"/>
      <c r="CX362" s="18"/>
      <c r="CY362" s="37"/>
      <c r="CZ362" s="38"/>
      <c r="DA362" s="18"/>
      <c r="DB362" s="37"/>
      <c r="DC362" s="38"/>
      <c r="DD362" s="18"/>
      <c r="DE362" s="37"/>
      <c r="DF362" s="38"/>
      <c r="DG362" s="18"/>
      <c r="DH362" s="37"/>
      <c r="DI362" s="38"/>
      <c r="DJ362" s="18"/>
      <c r="DK362" s="37"/>
      <c r="DL362" s="38"/>
      <c r="DM362" s="18"/>
      <c r="DN362" s="18"/>
      <c r="DO362" s="18"/>
      <c r="DP362" s="18"/>
      <c r="DQ362" s="18"/>
      <c r="DR362" s="18"/>
      <c r="DS362" s="18"/>
      <c r="DT362" s="18"/>
      <c r="DU362" s="18"/>
      <c r="DV362" s="18"/>
      <c r="DW362" s="18"/>
      <c r="DX362" s="18"/>
      <c r="DY362" s="18"/>
      <c r="DZ362" s="18"/>
    </row>
    <row r="363" spans="1:130" x14ac:dyDescent="0.3">
      <c r="A363" s="18"/>
      <c r="B363" s="18"/>
      <c r="C363" s="18"/>
      <c r="D363" s="18"/>
      <c r="E363" s="18"/>
      <c r="F363" s="18"/>
      <c r="G363" s="18"/>
      <c r="H363" s="18"/>
      <c r="I363" s="18"/>
      <c r="J363" s="18"/>
      <c r="K363" s="18"/>
      <c r="L363" s="18"/>
      <c r="M363" s="18"/>
      <c r="N363" s="17"/>
      <c r="O363" s="17"/>
      <c r="P363" s="17"/>
      <c r="Q363" s="17"/>
      <c r="R363" s="17"/>
      <c r="S363" s="17"/>
      <c r="T363" s="17"/>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7"/>
      <c r="BT363" s="17"/>
      <c r="BU363" s="17"/>
      <c r="BV363" s="17"/>
      <c r="BW363" s="17"/>
      <c r="BX363" s="18"/>
      <c r="BY363" s="18"/>
      <c r="BZ363" s="18"/>
      <c r="CA363" s="18"/>
      <c r="CB363" s="17"/>
      <c r="CC363" s="17"/>
      <c r="CD363" s="17"/>
      <c r="CE363" s="18"/>
      <c r="CF363" s="18"/>
      <c r="CG363" s="18"/>
      <c r="CH363" s="18"/>
      <c r="CI363" s="18"/>
      <c r="CJ363" s="18"/>
      <c r="CK363" s="18"/>
      <c r="CL363" s="18"/>
      <c r="CM363" s="18"/>
      <c r="CN363" s="18"/>
      <c r="CO363" s="18"/>
      <c r="CP363" s="18"/>
      <c r="CQ363" s="18"/>
      <c r="CR363" s="18"/>
      <c r="CS363" s="18"/>
      <c r="CT363" s="18"/>
      <c r="CU363" s="18"/>
      <c r="CV363" s="18"/>
      <c r="CW363" s="18"/>
      <c r="CX363" s="18"/>
      <c r="CY363" s="37"/>
      <c r="CZ363" s="38"/>
      <c r="DA363" s="18"/>
      <c r="DB363" s="37"/>
      <c r="DC363" s="38"/>
      <c r="DD363" s="18"/>
      <c r="DE363" s="37"/>
      <c r="DF363" s="38"/>
      <c r="DG363" s="18"/>
      <c r="DH363" s="37"/>
      <c r="DI363" s="38"/>
      <c r="DJ363" s="18"/>
      <c r="DK363" s="37"/>
      <c r="DL363" s="38"/>
      <c r="DM363" s="18"/>
      <c r="DN363" s="18"/>
      <c r="DO363" s="18"/>
      <c r="DP363" s="18"/>
      <c r="DQ363" s="18"/>
      <c r="DR363" s="18"/>
      <c r="DS363" s="18"/>
      <c r="DT363" s="18"/>
      <c r="DU363" s="18"/>
      <c r="DV363" s="18"/>
      <c r="DW363" s="18"/>
      <c r="DX363" s="18"/>
      <c r="DY363" s="18"/>
      <c r="DZ363" s="18"/>
    </row>
    <row r="364" spans="1:130" x14ac:dyDescent="0.3">
      <c r="A364" s="18"/>
      <c r="B364" s="18"/>
      <c r="C364" s="18"/>
      <c r="D364" s="18"/>
      <c r="E364" s="18"/>
      <c r="F364" s="18"/>
      <c r="G364" s="18"/>
      <c r="H364" s="18"/>
      <c r="I364" s="18"/>
      <c r="J364" s="18"/>
      <c r="K364" s="18"/>
      <c r="L364" s="18"/>
      <c r="M364" s="18"/>
      <c r="N364" s="17"/>
      <c r="O364" s="17"/>
      <c r="P364" s="17"/>
      <c r="Q364" s="17"/>
      <c r="R364" s="17"/>
      <c r="S364" s="17"/>
      <c r="T364" s="17"/>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7"/>
      <c r="BT364" s="17"/>
      <c r="BU364" s="17"/>
      <c r="BV364" s="17"/>
      <c r="BW364" s="17"/>
      <c r="BX364" s="18"/>
      <c r="BY364" s="18"/>
      <c r="BZ364" s="18"/>
      <c r="CA364" s="18"/>
      <c r="CB364" s="17"/>
      <c r="CC364" s="17"/>
      <c r="CD364" s="17"/>
      <c r="CE364" s="18"/>
      <c r="CF364" s="18"/>
      <c r="CG364" s="18"/>
      <c r="CH364" s="18"/>
      <c r="CI364" s="18"/>
      <c r="CJ364" s="18"/>
      <c r="CK364" s="18"/>
      <c r="CL364" s="18"/>
      <c r="CM364" s="18"/>
      <c r="CN364" s="18"/>
      <c r="CO364" s="18"/>
      <c r="CP364" s="18"/>
      <c r="CQ364" s="18"/>
      <c r="CR364" s="18"/>
      <c r="CS364" s="18"/>
      <c r="CT364" s="18"/>
      <c r="CU364" s="18"/>
      <c r="CV364" s="18"/>
      <c r="CW364" s="18"/>
      <c r="CX364" s="18"/>
      <c r="CY364" s="37"/>
      <c r="CZ364" s="38"/>
      <c r="DA364" s="18"/>
      <c r="DB364" s="37"/>
      <c r="DC364" s="38"/>
      <c r="DD364" s="18"/>
      <c r="DE364" s="37"/>
      <c r="DF364" s="38"/>
      <c r="DG364" s="18"/>
      <c r="DH364" s="37"/>
      <c r="DI364" s="38"/>
      <c r="DJ364" s="18"/>
      <c r="DK364" s="37"/>
      <c r="DL364" s="38"/>
      <c r="DM364" s="18"/>
      <c r="DN364" s="18"/>
      <c r="DO364" s="18"/>
      <c r="DP364" s="18"/>
      <c r="DQ364" s="18"/>
      <c r="DR364" s="18"/>
      <c r="DS364" s="18"/>
      <c r="DT364" s="18"/>
      <c r="DU364" s="18"/>
      <c r="DV364" s="18"/>
      <c r="DW364" s="18"/>
      <c r="DX364" s="18"/>
      <c r="DY364" s="18"/>
      <c r="DZ364" s="18"/>
    </row>
    <row r="365" spans="1:130" x14ac:dyDescent="0.3">
      <c r="A365" s="18"/>
      <c r="B365" s="18"/>
      <c r="C365" s="18"/>
      <c r="D365" s="18"/>
      <c r="E365" s="18"/>
      <c r="F365" s="18"/>
      <c r="G365" s="18"/>
      <c r="H365" s="18"/>
      <c r="I365" s="18"/>
      <c r="J365" s="18"/>
      <c r="K365" s="18"/>
      <c r="L365" s="18"/>
      <c r="M365" s="18"/>
      <c r="N365" s="17"/>
      <c r="O365" s="17"/>
      <c r="P365" s="17"/>
      <c r="Q365" s="17"/>
      <c r="R365" s="17"/>
      <c r="S365" s="17"/>
      <c r="T365" s="17"/>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7"/>
      <c r="BT365" s="17"/>
      <c r="BU365" s="17"/>
      <c r="BV365" s="17"/>
      <c r="BW365" s="17"/>
      <c r="BX365" s="18"/>
      <c r="BY365" s="18"/>
      <c r="BZ365" s="18"/>
      <c r="CA365" s="18"/>
      <c r="CB365" s="17"/>
      <c r="CC365" s="17"/>
      <c r="CD365" s="17"/>
      <c r="CE365" s="18"/>
      <c r="CF365" s="18"/>
      <c r="CG365" s="18"/>
      <c r="CH365" s="18"/>
      <c r="CI365" s="18"/>
      <c r="CJ365" s="18"/>
      <c r="CK365" s="18"/>
      <c r="CL365" s="18"/>
      <c r="CM365" s="18"/>
      <c r="CN365" s="18"/>
      <c r="CO365" s="18"/>
      <c r="CP365" s="18"/>
      <c r="CQ365" s="18"/>
      <c r="CR365" s="18"/>
      <c r="CS365" s="18"/>
      <c r="CT365" s="18"/>
      <c r="CU365" s="18"/>
      <c r="CV365" s="18"/>
      <c r="CW365" s="18"/>
      <c r="CX365" s="18"/>
      <c r="CY365" s="37"/>
      <c r="CZ365" s="38"/>
      <c r="DA365" s="18"/>
      <c r="DB365" s="37"/>
      <c r="DC365" s="38"/>
      <c r="DD365" s="18"/>
      <c r="DE365" s="37"/>
      <c r="DF365" s="38"/>
      <c r="DG365" s="18"/>
      <c r="DH365" s="37"/>
      <c r="DI365" s="38"/>
      <c r="DJ365" s="18"/>
      <c r="DK365" s="37"/>
      <c r="DL365" s="38"/>
      <c r="DM365" s="18"/>
      <c r="DN365" s="18"/>
      <c r="DO365" s="18"/>
      <c r="DP365" s="18"/>
      <c r="DQ365" s="18"/>
      <c r="DR365" s="18"/>
      <c r="DS365" s="18"/>
      <c r="DT365" s="18"/>
      <c r="DU365" s="18"/>
      <c r="DV365" s="18"/>
      <c r="DW365" s="18"/>
      <c r="DX365" s="18"/>
      <c r="DY365" s="18"/>
      <c r="DZ365" s="18"/>
    </row>
    <row r="366" spans="1:130" x14ac:dyDescent="0.3">
      <c r="A366" s="18"/>
      <c r="B366" s="18"/>
      <c r="C366" s="18"/>
      <c r="D366" s="18"/>
      <c r="E366" s="18"/>
      <c r="F366" s="18"/>
      <c r="G366" s="18"/>
      <c r="H366" s="18"/>
      <c r="I366" s="18"/>
      <c r="J366" s="18"/>
      <c r="K366" s="18"/>
      <c r="L366" s="18"/>
      <c r="M366" s="18"/>
      <c r="N366" s="17"/>
      <c r="O366" s="17"/>
      <c r="P366" s="17"/>
      <c r="Q366" s="17"/>
      <c r="R366" s="17"/>
      <c r="S366" s="17"/>
      <c r="T366" s="17"/>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7"/>
      <c r="BT366" s="17"/>
      <c r="BU366" s="17"/>
      <c r="BV366" s="17"/>
      <c r="BW366" s="17"/>
      <c r="BX366" s="18"/>
      <c r="BY366" s="18"/>
      <c r="BZ366" s="18"/>
      <c r="CA366" s="18"/>
      <c r="CB366" s="17"/>
      <c r="CC366" s="17"/>
      <c r="CD366" s="17"/>
      <c r="CE366" s="18"/>
      <c r="CF366" s="18"/>
      <c r="CG366" s="18"/>
      <c r="CH366" s="18"/>
      <c r="CI366" s="18"/>
      <c r="CJ366" s="18"/>
      <c r="CK366" s="18"/>
      <c r="CL366" s="18"/>
      <c r="CM366" s="18"/>
      <c r="CN366" s="18"/>
      <c r="CO366" s="18"/>
      <c r="CP366" s="18"/>
      <c r="CQ366" s="18"/>
      <c r="CR366" s="18"/>
      <c r="CS366" s="18"/>
      <c r="CT366" s="18"/>
      <c r="CU366" s="18"/>
      <c r="CV366" s="18"/>
      <c r="CW366" s="18"/>
      <c r="CX366" s="18"/>
      <c r="CY366" s="37"/>
      <c r="CZ366" s="38"/>
      <c r="DA366" s="18"/>
      <c r="DB366" s="37"/>
      <c r="DC366" s="38"/>
      <c r="DD366" s="18"/>
      <c r="DE366" s="37"/>
      <c r="DF366" s="38"/>
      <c r="DG366" s="18"/>
      <c r="DH366" s="37"/>
      <c r="DI366" s="38"/>
      <c r="DJ366" s="18"/>
      <c r="DK366" s="37"/>
      <c r="DL366" s="38"/>
      <c r="DM366" s="18"/>
      <c r="DN366" s="18"/>
      <c r="DO366" s="18"/>
      <c r="DP366" s="18"/>
      <c r="DQ366" s="18"/>
      <c r="DR366" s="18"/>
      <c r="DS366" s="18"/>
      <c r="DT366" s="18"/>
      <c r="DU366" s="18"/>
      <c r="DV366" s="18"/>
      <c r="DW366" s="18"/>
      <c r="DX366" s="18"/>
      <c r="DY366" s="18"/>
      <c r="DZ366" s="18"/>
    </row>
    <row r="367" spans="1:130" x14ac:dyDescent="0.3">
      <c r="A367" s="18"/>
      <c r="B367" s="18"/>
      <c r="C367" s="18"/>
      <c r="D367" s="18"/>
      <c r="E367" s="18"/>
      <c r="F367" s="18"/>
      <c r="G367" s="18"/>
      <c r="H367" s="18"/>
      <c r="I367" s="18"/>
      <c r="J367" s="18"/>
      <c r="K367" s="18"/>
      <c r="L367" s="18"/>
      <c r="M367" s="18"/>
      <c r="N367" s="17"/>
      <c r="O367" s="17"/>
      <c r="P367" s="17"/>
      <c r="Q367" s="17"/>
      <c r="R367" s="17"/>
      <c r="S367" s="17"/>
      <c r="T367" s="17"/>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7"/>
      <c r="BT367" s="17"/>
      <c r="BU367" s="17"/>
      <c r="BV367" s="17"/>
      <c r="BW367" s="17"/>
      <c r="BX367" s="18"/>
      <c r="BY367" s="18"/>
      <c r="BZ367" s="18"/>
      <c r="CA367" s="18"/>
      <c r="CB367" s="17"/>
      <c r="CC367" s="17"/>
      <c r="CD367" s="17"/>
      <c r="CE367" s="18"/>
      <c r="CF367" s="18"/>
      <c r="CG367" s="18"/>
      <c r="CH367" s="18"/>
      <c r="CI367" s="18"/>
      <c r="CJ367" s="18"/>
      <c r="CK367" s="18"/>
      <c r="CL367" s="18"/>
      <c r="CM367" s="18"/>
      <c r="CN367" s="18"/>
      <c r="CO367" s="18"/>
      <c r="CP367" s="18"/>
      <c r="CQ367" s="18"/>
      <c r="CR367" s="18"/>
      <c r="CS367" s="18"/>
      <c r="CT367" s="18"/>
      <c r="CU367" s="18"/>
      <c r="CV367" s="18"/>
      <c r="CW367" s="18"/>
      <c r="CX367" s="18"/>
      <c r="CY367" s="37"/>
      <c r="CZ367" s="38"/>
      <c r="DA367" s="18"/>
      <c r="DB367" s="37"/>
      <c r="DC367" s="38"/>
      <c r="DD367" s="18"/>
      <c r="DE367" s="37"/>
      <c r="DF367" s="38"/>
      <c r="DG367" s="18"/>
      <c r="DH367" s="37"/>
      <c r="DI367" s="38"/>
      <c r="DJ367" s="18"/>
      <c r="DK367" s="37"/>
      <c r="DL367" s="38"/>
      <c r="DM367" s="18"/>
      <c r="DN367" s="18"/>
      <c r="DO367" s="18"/>
      <c r="DP367" s="18"/>
      <c r="DQ367" s="18"/>
      <c r="DR367" s="18"/>
      <c r="DS367" s="18"/>
      <c r="DT367" s="18"/>
      <c r="DU367" s="18"/>
      <c r="DV367" s="18"/>
      <c r="DW367" s="18"/>
      <c r="DX367" s="18"/>
      <c r="DY367" s="18"/>
      <c r="DZ367" s="18"/>
    </row>
    <row r="368" spans="1:130" x14ac:dyDescent="0.3">
      <c r="A368" s="18"/>
      <c r="B368" s="18"/>
      <c r="C368" s="18"/>
      <c r="D368" s="18"/>
      <c r="E368" s="18"/>
      <c r="F368" s="18"/>
      <c r="G368" s="18"/>
      <c r="H368" s="18"/>
      <c r="I368" s="18"/>
      <c r="J368" s="18"/>
      <c r="K368" s="18"/>
      <c r="L368" s="18"/>
      <c r="M368" s="18"/>
      <c r="N368" s="17"/>
      <c r="O368" s="17"/>
      <c r="P368" s="17"/>
      <c r="Q368" s="17"/>
      <c r="R368" s="17"/>
      <c r="S368" s="17"/>
      <c r="T368" s="17"/>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7"/>
      <c r="BT368" s="17"/>
      <c r="BU368" s="17"/>
      <c r="BV368" s="17"/>
      <c r="BW368" s="17"/>
      <c r="BX368" s="18"/>
      <c r="BY368" s="18"/>
      <c r="BZ368" s="18"/>
      <c r="CA368" s="18"/>
      <c r="CB368" s="17"/>
      <c r="CC368" s="17"/>
      <c r="CD368" s="17"/>
      <c r="CE368" s="18"/>
      <c r="CF368" s="18"/>
      <c r="CG368" s="18"/>
      <c r="CH368" s="18"/>
      <c r="CI368" s="18"/>
      <c r="CJ368" s="18"/>
      <c r="CK368" s="18"/>
      <c r="CL368" s="18"/>
      <c r="CM368" s="18"/>
      <c r="CN368" s="18"/>
      <c r="CO368" s="18"/>
      <c r="CP368" s="18"/>
      <c r="CQ368" s="18"/>
      <c r="CR368" s="18"/>
      <c r="CS368" s="18"/>
      <c r="CT368" s="18"/>
      <c r="CU368" s="18"/>
      <c r="CV368" s="18"/>
      <c r="CW368" s="18"/>
      <c r="CX368" s="18"/>
      <c r="CY368" s="37"/>
      <c r="CZ368" s="38"/>
      <c r="DA368" s="18"/>
      <c r="DB368" s="37"/>
      <c r="DC368" s="38"/>
      <c r="DD368" s="18"/>
      <c r="DE368" s="37"/>
      <c r="DF368" s="38"/>
      <c r="DG368" s="18"/>
      <c r="DH368" s="37"/>
      <c r="DI368" s="38"/>
      <c r="DJ368" s="18"/>
      <c r="DK368" s="37"/>
      <c r="DL368" s="38"/>
      <c r="DM368" s="18"/>
      <c r="DN368" s="18"/>
      <c r="DO368" s="18"/>
      <c r="DP368" s="18"/>
      <c r="DQ368" s="18"/>
      <c r="DR368" s="18"/>
      <c r="DS368" s="18"/>
      <c r="DT368" s="18"/>
      <c r="DU368" s="18"/>
      <c r="DV368" s="18"/>
      <c r="DW368" s="18"/>
      <c r="DX368" s="18"/>
      <c r="DY368" s="18"/>
      <c r="DZ368" s="18"/>
    </row>
    <row r="369" spans="1:130" x14ac:dyDescent="0.3">
      <c r="A369" s="18"/>
      <c r="B369" s="18"/>
      <c r="C369" s="18"/>
      <c r="D369" s="18"/>
      <c r="E369" s="18"/>
      <c r="F369" s="18"/>
      <c r="G369" s="18"/>
      <c r="H369" s="18"/>
      <c r="I369" s="18"/>
      <c r="J369" s="18"/>
      <c r="K369" s="18"/>
      <c r="L369" s="18"/>
      <c r="M369" s="18"/>
      <c r="N369" s="17"/>
      <c r="O369" s="17"/>
      <c r="P369" s="17"/>
      <c r="Q369" s="17"/>
      <c r="R369" s="17"/>
      <c r="S369" s="17"/>
      <c r="T369" s="17"/>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7"/>
      <c r="BT369" s="17"/>
      <c r="BU369" s="17"/>
      <c r="BV369" s="17"/>
      <c r="BW369" s="17"/>
      <c r="BX369" s="18"/>
      <c r="BY369" s="18"/>
      <c r="BZ369" s="18"/>
      <c r="CA369" s="18"/>
      <c r="CB369" s="17"/>
      <c r="CC369" s="17"/>
      <c r="CD369" s="17"/>
      <c r="CE369" s="18"/>
      <c r="CF369" s="18"/>
      <c r="CG369" s="18"/>
      <c r="CH369" s="18"/>
      <c r="CI369" s="18"/>
      <c r="CJ369" s="18"/>
      <c r="CK369" s="18"/>
      <c r="CL369" s="18"/>
      <c r="CM369" s="18"/>
      <c r="CN369" s="18"/>
      <c r="CO369" s="18"/>
      <c r="CP369" s="18"/>
      <c r="CQ369" s="18"/>
      <c r="CR369" s="18"/>
      <c r="CS369" s="18"/>
      <c r="CT369" s="18"/>
      <c r="CU369" s="18"/>
      <c r="CV369" s="18"/>
      <c r="CW369" s="18"/>
      <c r="CX369" s="18"/>
      <c r="CY369" s="37"/>
      <c r="CZ369" s="38"/>
      <c r="DA369" s="18"/>
      <c r="DB369" s="37"/>
      <c r="DC369" s="38"/>
      <c r="DD369" s="18"/>
      <c r="DE369" s="37"/>
      <c r="DF369" s="38"/>
      <c r="DG369" s="18"/>
      <c r="DH369" s="37"/>
      <c r="DI369" s="38"/>
      <c r="DJ369" s="18"/>
      <c r="DK369" s="37"/>
      <c r="DL369" s="38"/>
      <c r="DM369" s="18"/>
      <c r="DN369" s="18"/>
      <c r="DO369" s="18"/>
      <c r="DP369" s="18"/>
      <c r="DQ369" s="18"/>
      <c r="DR369" s="18"/>
      <c r="DS369" s="18"/>
      <c r="DT369" s="18"/>
      <c r="DU369" s="18"/>
      <c r="DV369" s="18"/>
      <c r="DW369" s="18"/>
      <c r="DX369" s="18"/>
      <c r="DY369" s="18"/>
      <c r="DZ369" s="18"/>
    </row>
    <row r="370" spans="1:130" x14ac:dyDescent="0.3">
      <c r="A370" s="18"/>
      <c r="B370" s="18"/>
      <c r="C370" s="18"/>
      <c r="D370" s="18"/>
      <c r="E370" s="18"/>
      <c r="F370" s="18"/>
      <c r="G370" s="18"/>
      <c r="H370" s="18"/>
      <c r="I370" s="18"/>
      <c r="J370" s="18"/>
      <c r="K370" s="18"/>
      <c r="L370" s="18"/>
      <c r="M370" s="18"/>
      <c r="N370" s="17"/>
      <c r="O370" s="17"/>
      <c r="P370" s="17"/>
      <c r="Q370" s="17"/>
      <c r="R370" s="17"/>
      <c r="S370" s="17"/>
      <c r="T370" s="17"/>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7"/>
      <c r="BT370" s="17"/>
      <c r="BU370" s="17"/>
      <c r="BV370" s="17"/>
      <c r="BW370" s="17"/>
      <c r="BX370" s="18"/>
      <c r="BY370" s="18"/>
      <c r="BZ370" s="18"/>
      <c r="CA370" s="18"/>
      <c r="CB370" s="17"/>
      <c r="CC370" s="17"/>
      <c r="CD370" s="17"/>
      <c r="CE370" s="18"/>
      <c r="CF370" s="18"/>
      <c r="CG370" s="18"/>
      <c r="CH370" s="18"/>
      <c r="CI370" s="18"/>
      <c r="CJ370" s="18"/>
      <c r="CK370" s="18"/>
      <c r="CL370" s="18"/>
      <c r="CM370" s="18"/>
      <c r="CN370" s="18"/>
      <c r="CO370" s="18"/>
      <c r="CP370" s="18"/>
      <c r="CQ370" s="18"/>
      <c r="CR370" s="18"/>
      <c r="CS370" s="18"/>
      <c r="CT370" s="18"/>
      <c r="CU370" s="18"/>
      <c r="CV370" s="18"/>
      <c r="CW370" s="18"/>
      <c r="CX370" s="18"/>
      <c r="CY370" s="37"/>
      <c r="CZ370" s="38"/>
      <c r="DA370" s="18"/>
      <c r="DB370" s="37"/>
      <c r="DC370" s="38"/>
      <c r="DD370" s="18"/>
      <c r="DE370" s="37"/>
      <c r="DF370" s="38"/>
      <c r="DG370" s="18"/>
      <c r="DH370" s="37"/>
      <c r="DI370" s="38"/>
      <c r="DJ370" s="18"/>
      <c r="DK370" s="37"/>
      <c r="DL370" s="38"/>
      <c r="DM370" s="18"/>
      <c r="DN370" s="18"/>
      <c r="DO370" s="18"/>
      <c r="DP370" s="18"/>
      <c r="DQ370" s="18"/>
      <c r="DR370" s="18"/>
      <c r="DS370" s="18"/>
      <c r="DT370" s="18"/>
      <c r="DU370" s="18"/>
      <c r="DV370" s="18"/>
      <c r="DW370" s="18"/>
      <c r="DX370" s="18"/>
      <c r="DY370" s="18"/>
      <c r="DZ370" s="18"/>
    </row>
    <row r="371" spans="1:130" x14ac:dyDescent="0.3">
      <c r="A371" s="18"/>
      <c r="B371" s="18"/>
      <c r="C371" s="18"/>
      <c r="D371" s="18"/>
      <c r="E371" s="18"/>
      <c r="F371" s="18"/>
      <c r="G371" s="18"/>
      <c r="H371" s="18"/>
      <c r="I371" s="18"/>
      <c r="J371" s="18"/>
      <c r="K371" s="18"/>
      <c r="L371" s="18"/>
      <c r="M371" s="18"/>
      <c r="N371" s="17"/>
      <c r="O371" s="17"/>
      <c r="P371" s="17"/>
      <c r="Q371" s="17"/>
      <c r="R371" s="17"/>
      <c r="S371" s="17"/>
      <c r="T371" s="17"/>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7"/>
      <c r="BT371" s="17"/>
      <c r="BU371" s="17"/>
      <c r="BV371" s="17"/>
      <c r="BW371" s="17"/>
      <c r="BX371" s="18"/>
      <c r="BY371" s="18"/>
      <c r="BZ371" s="18"/>
      <c r="CA371" s="18"/>
      <c r="CB371" s="17"/>
      <c r="CC371" s="17"/>
      <c r="CD371" s="17"/>
      <c r="CE371" s="18"/>
      <c r="CF371" s="18"/>
      <c r="CG371" s="18"/>
      <c r="CH371" s="18"/>
      <c r="CI371" s="18"/>
      <c r="CJ371" s="18"/>
      <c r="CK371" s="18"/>
      <c r="CL371" s="18"/>
      <c r="CM371" s="18"/>
      <c r="CN371" s="18"/>
      <c r="CO371" s="18"/>
      <c r="CP371" s="18"/>
      <c r="CQ371" s="18"/>
      <c r="CR371" s="18"/>
      <c r="CS371" s="18"/>
      <c r="CT371" s="18"/>
      <c r="CU371" s="18"/>
      <c r="CV371" s="18"/>
      <c r="CW371" s="18"/>
      <c r="CX371" s="18"/>
      <c r="CY371" s="37"/>
      <c r="CZ371" s="38"/>
      <c r="DA371" s="18"/>
      <c r="DB371" s="37"/>
      <c r="DC371" s="38"/>
      <c r="DD371" s="18"/>
      <c r="DE371" s="37"/>
      <c r="DF371" s="38"/>
      <c r="DG371" s="18"/>
      <c r="DH371" s="37"/>
      <c r="DI371" s="38"/>
      <c r="DJ371" s="18"/>
      <c r="DK371" s="37"/>
      <c r="DL371" s="38"/>
      <c r="DM371" s="18"/>
      <c r="DN371" s="18"/>
      <c r="DO371" s="18"/>
      <c r="DP371" s="18"/>
      <c r="DQ371" s="18"/>
      <c r="DR371" s="18"/>
      <c r="DS371" s="18"/>
      <c r="DT371" s="18"/>
      <c r="DU371" s="18"/>
      <c r="DV371" s="18"/>
      <c r="DW371" s="18"/>
      <c r="DX371" s="18"/>
      <c r="DY371" s="18"/>
      <c r="DZ371" s="18"/>
    </row>
    <row r="372" spans="1:130" x14ac:dyDescent="0.3">
      <c r="A372" s="18"/>
      <c r="B372" s="18"/>
      <c r="C372" s="18"/>
      <c r="D372" s="18"/>
      <c r="E372" s="18"/>
      <c r="F372" s="18"/>
      <c r="G372" s="18"/>
      <c r="H372" s="18"/>
      <c r="I372" s="18"/>
      <c r="J372" s="18"/>
      <c r="K372" s="18"/>
      <c r="L372" s="18"/>
      <c r="M372" s="18"/>
      <c r="N372" s="17"/>
      <c r="O372" s="17"/>
      <c r="P372" s="17"/>
      <c r="Q372" s="17"/>
      <c r="R372" s="17"/>
      <c r="S372" s="17"/>
      <c r="T372" s="17"/>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7"/>
      <c r="BT372" s="17"/>
      <c r="BU372" s="17"/>
      <c r="BV372" s="17"/>
      <c r="BW372" s="17"/>
      <c r="BX372" s="18"/>
      <c r="BY372" s="18"/>
      <c r="BZ372" s="18"/>
      <c r="CA372" s="18"/>
      <c r="CB372" s="17"/>
      <c r="CC372" s="17"/>
      <c r="CD372" s="17"/>
      <c r="CE372" s="18"/>
      <c r="CF372" s="18"/>
      <c r="CG372" s="18"/>
      <c r="CH372" s="18"/>
      <c r="CI372" s="18"/>
      <c r="CJ372" s="18"/>
      <c r="CK372" s="18"/>
      <c r="CL372" s="18"/>
      <c r="CM372" s="18"/>
      <c r="CN372" s="18"/>
      <c r="CO372" s="18"/>
      <c r="CP372" s="18"/>
      <c r="CQ372" s="18"/>
      <c r="CR372" s="18"/>
      <c r="CS372" s="18"/>
      <c r="CT372" s="18"/>
      <c r="CU372" s="18"/>
      <c r="CV372" s="18"/>
      <c r="CW372" s="18"/>
      <c r="CX372" s="18"/>
      <c r="CY372" s="37"/>
      <c r="CZ372" s="38"/>
      <c r="DA372" s="18"/>
      <c r="DB372" s="37"/>
      <c r="DC372" s="38"/>
      <c r="DD372" s="18"/>
      <c r="DE372" s="37"/>
      <c r="DF372" s="38"/>
      <c r="DG372" s="18"/>
      <c r="DH372" s="37"/>
      <c r="DI372" s="38"/>
      <c r="DJ372" s="18"/>
      <c r="DK372" s="37"/>
      <c r="DL372" s="38"/>
      <c r="DM372" s="18"/>
      <c r="DN372" s="18"/>
      <c r="DO372" s="18"/>
      <c r="DP372" s="18"/>
      <c r="DQ372" s="18"/>
      <c r="DR372" s="18"/>
      <c r="DS372" s="18"/>
      <c r="DT372" s="18"/>
      <c r="DU372" s="18"/>
      <c r="DV372" s="18"/>
      <c r="DW372" s="18"/>
      <c r="DX372" s="18"/>
      <c r="DY372" s="18"/>
      <c r="DZ372" s="18"/>
    </row>
    <row r="373" spans="1:130" x14ac:dyDescent="0.3">
      <c r="A373" s="18"/>
      <c r="B373" s="18"/>
      <c r="C373" s="18"/>
      <c r="D373" s="18"/>
      <c r="E373" s="18"/>
      <c r="F373" s="18"/>
      <c r="G373" s="18"/>
      <c r="H373" s="18"/>
      <c r="I373" s="18"/>
      <c r="J373" s="18"/>
      <c r="K373" s="18"/>
      <c r="L373" s="18"/>
      <c r="M373" s="18"/>
      <c r="N373" s="17"/>
      <c r="O373" s="17"/>
      <c r="P373" s="17"/>
      <c r="Q373" s="17"/>
      <c r="R373" s="17"/>
      <c r="S373" s="17"/>
      <c r="T373" s="17"/>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7"/>
      <c r="BT373" s="17"/>
      <c r="BU373" s="17"/>
      <c r="BV373" s="17"/>
      <c r="BW373" s="17"/>
      <c r="BX373" s="18"/>
      <c r="BY373" s="18"/>
      <c r="BZ373" s="18"/>
      <c r="CA373" s="18"/>
      <c r="CB373" s="17"/>
      <c r="CC373" s="17"/>
      <c r="CD373" s="17"/>
      <c r="CE373" s="18"/>
      <c r="CF373" s="18"/>
      <c r="CG373" s="18"/>
      <c r="CH373" s="18"/>
      <c r="CI373" s="18"/>
      <c r="CJ373" s="18"/>
      <c r="CK373" s="18"/>
      <c r="CL373" s="18"/>
      <c r="CM373" s="18"/>
      <c r="CN373" s="18"/>
      <c r="CO373" s="18"/>
      <c r="CP373" s="18"/>
      <c r="CQ373" s="18"/>
      <c r="CR373" s="18"/>
      <c r="CS373" s="18"/>
      <c r="CT373" s="18"/>
      <c r="CU373" s="18"/>
      <c r="CV373" s="18"/>
      <c r="CW373" s="18"/>
      <c r="CX373" s="18"/>
      <c r="CY373" s="37"/>
      <c r="CZ373" s="38"/>
      <c r="DA373" s="18"/>
      <c r="DB373" s="37"/>
      <c r="DC373" s="38"/>
      <c r="DD373" s="18"/>
      <c r="DE373" s="37"/>
      <c r="DF373" s="38"/>
      <c r="DG373" s="18"/>
      <c r="DH373" s="37"/>
      <c r="DI373" s="38"/>
      <c r="DJ373" s="18"/>
      <c r="DK373" s="37"/>
      <c r="DL373" s="38"/>
      <c r="DM373" s="18"/>
      <c r="DN373" s="18"/>
      <c r="DO373" s="18"/>
      <c r="DP373" s="18"/>
      <c r="DQ373" s="18"/>
      <c r="DR373" s="18"/>
      <c r="DS373" s="18"/>
      <c r="DT373" s="18"/>
      <c r="DU373" s="18"/>
      <c r="DV373" s="18"/>
      <c r="DW373" s="18"/>
      <c r="DX373" s="18"/>
      <c r="DY373" s="18"/>
      <c r="DZ373" s="18"/>
    </row>
    <row r="374" spans="1:130" x14ac:dyDescent="0.3">
      <c r="A374" s="18"/>
      <c r="B374" s="18"/>
      <c r="C374" s="18"/>
      <c r="D374" s="18"/>
      <c r="E374" s="18"/>
      <c r="F374" s="18"/>
      <c r="G374" s="18"/>
      <c r="H374" s="18"/>
      <c r="I374" s="18"/>
      <c r="J374" s="18"/>
      <c r="K374" s="18"/>
      <c r="L374" s="18"/>
      <c r="M374" s="18"/>
      <c r="N374" s="17"/>
      <c r="O374" s="17"/>
      <c r="P374" s="17"/>
      <c r="Q374" s="17"/>
      <c r="R374" s="17"/>
      <c r="S374" s="17"/>
      <c r="T374" s="17"/>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7"/>
      <c r="BT374" s="17"/>
      <c r="BU374" s="17"/>
      <c r="BV374" s="17"/>
      <c r="BW374" s="17"/>
      <c r="BX374" s="18"/>
      <c r="BY374" s="18"/>
      <c r="BZ374" s="18"/>
      <c r="CA374" s="18"/>
      <c r="CB374" s="17"/>
      <c r="CC374" s="17"/>
      <c r="CD374" s="17"/>
      <c r="CE374" s="18"/>
      <c r="CF374" s="18"/>
      <c r="CG374" s="18"/>
      <c r="CH374" s="18"/>
      <c r="CI374" s="18"/>
      <c r="CJ374" s="18"/>
      <c r="CK374" s="18"/>
      <c r="CL374" s="18"/>
      <c r="CM374" s="18"/>
      <c r="CN374" s="18"/>
      <c r="CO374" s="18"/>
      <c r="CP374" s="18"/>
      <c r="CQ374" s="18"/>
      <c r="CR374" s="18"/>
      <c r="CS374" s="18"/>
      <c r="CT374" s="18"/>
      <c r="CU374" s="18"/>
      <c r="CV374" s="18"/>
      <c r="CW374" s="18"/>
      <c r="CX374" s="18"/>
      <c r="CY374" s="37"/>
      <c r="CZ374" s="38"/>
      <c r="DA374" s="18"/>
      <c r="DB374" s="37"/>
      <c r="DC374" s="38"/>
      <c r="DD374" s="18"/>
      <c r="DE374" s="37"/>
      <c r="DF374" s="38"/>
      <c r="DG374" s="18"/>
      <c r="DH374" s="37"/>
      <c r="DI374" s="38"/>
      <c r="DJ374" s="18"/>
      <c r="DK374" s="37"/>
      <c r="DL374" s="38"/>
      <c r="DM374" s="18"/>
      <c r="DN374" s="18"/>
      <c r="DO374" s="18"/>
      <c r="DP374" s="18"/>
      <c r="DQ374" s="18"/>
      <c r="DR374" s="18"/>
      <c r="DS374" s="18"/>
      <c r="DT374" s="18"/>
      <c r="DU374" s="18"/>
      <c r="DV374" s="18"/>
      <c r="DW374" s="18"/>
      <c r="DX374" s="18"/>
      <c r="DY374" s="18"/>
      <c r="DZ374" s="18"/>
    </row>
    <row r="375" spans="1:130" x14ac:dyDescent="0.3">
      <c r="A375" s="18"/>
      <c r="B375" s="18"/>
      <c r="C375" s="18"/>
      <c r="D375" s="18"/>
      <c r="E375" s="18"/>
      <c r="F375" s="18"/>
      <c r="G375" s="18"/>
      <c r="H375" s="18"/>
      <c r="I375" s="18"/>
      <c r="J375" s="18"/>
      <c r="K375" s="18"/>
      <c r="L375" s="18"/>
      <c r="M375" s="18"/>
      <c r="N375" s="17"/>
      <c r="O375" s="17"/>
      <c r="P375" s="17"/>
      <c r="Q375" s="17"/>
      <c r="R375" s="17"/>
      <c r="S375" s="17"/>
      <c r="T375" s="17"/>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7"/>
      <c r="BT375" s="17"/>
      <c r="BU375" s="17"/>
      <c r="BV375" s="17"/>
      <c r="BW375" s="17"/>
      <c r="BX375" s="18"/>
      <c r="BY375" s="18"/>
      <c r="BZ375" s="18"/>
      <c r="CA375" s="18"/>
      <c r="CB375" s="17"/>
      <c r="CC375" s="17"/>
      <c r="CD375" s="17"/>
      <c r="CE375" s="18"/>
      <c r="CF375" s="18"/>
      <c r="CG375" s="18"/>
      <c r="CH375" s="18"/>
      <c r="CI375" s="18"/>
      <c r="CJ375" s="18"/>
      <c r="CK375" s="18"/>
      <c r="CL375" s="18"/>
      <c r="CM375" s="18"/>
      <c r="CN375" s="18"/>
      <c r="CO375" s="18"/>
      <c r="CP375" s="18"/>
      <c r="CQ375" s="18"/>
      <c r="CR375" s="18"/>
      <c r="CS375" s="18"/>
      <c r="CT375" s="18"/>
      <c r="CU375" s="18"/>
      <c r="CV375" s="18"/>
      <c r="CW375" s="18"/>
      <c r="CX375" s="18"/>
      <c r="CY375" s="37"/>
      <c r="CZ375" s="38"/>
      <c r="DA375" s="18"/>
      <c r="DB375" s="37"/>
      <c r="DC375" s="38"/>
      <c r="DD375" s="18"/>
      <c r="DE375" s="37"/>
      <c r="DF375" s="38"/>
      <c r="DG375" s="18"/>
      <c r="DH375" s="37"/>
      <c r="DI375" s="38"/>
      <c r="DJ375" s="18"/>
      <c r="DK375" s="37"/>
      <c r="DL375" s="38"/>
      <c r="DM375" s="18"/>
      <c r="DN375" s="18"/>
      <c r="DO375" s="18"/>
      <c r="DP375" s="18"/>
      <c r="DQ375" s="18"/>
      <c r="DR375" s="18"/>
      <c r="DS375" s="18"/>
      <c r="DT375" s="18"/>
      <c r="DU375" s="18"/>
      <c r="DV375" s="18"/>
      <c r="DW375" s="18"/>
      <c r="DX375" s="18"/>
      <c r="DY375" s="18"/>
      <c r="DZ375" s="18"/>
    </row>
    <row r="376" spans="1:130" x14ac:dyDescent="0.3">
      <c r="A376" s="18"/>
      <c r="B376" s="18"/>
      <c r="C376" s="18"/>
      <c r="D376" s="18"/>
      <c r="E376" s="18"/>
      <c r="F376" s="18"/>
      <c r="G376" s="18"/>
      <c r="H376" s="18"/>
      <c r="I376" s="18"/>
      <c r="J376" s="18"/>
      <c r="K376" s="18"/>
      <c r="L376" s="18"/>
      <c r="M376" s="18"/>
      <c r="N376" s="17"/>
      <c r="O376" s="17"/>
      <c r="P376" s="17"/>
      <c r="Q376" s="17"/>
      <c r="R376" s="17"/>
      <c r="S376" s="17"/>
      <c r="T376" s="17"/>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7"/>
      <c r="BT376" s="17"/>
      <c r="BU376" s="17"/>
      <c r="BV376" s="17"/>
      <c r="BW376" s="17"/>
      <c r="BX376" s="18"/>
      <c r="BY376" s="18"/>
      <c r="BZ376" s="18"/>
      <c r="CA376" s="18"/>
      <c r="CB376" s="17"/>
      <c r="CC376" s="17"/>
      <c r="CD376" s="17"/>
      <c r="CE376" s="18"/>
      <c r="CF376" s="18"/>
      <c r="CG376" s="18"/>
      <c r="CH376" s="18"/>
      <c r="CI376" s="18"/>
      <c r="CJ376" s="18"/>
      <c r="CK376" s="18"/>
      <c r="CL376" s="18"/>
      <c r="CM376" s="18"/>
      <c r="CN376" s="18"/>
      <c r="CO376" s="18"/>
      <c r="CP376" s="18"/>
      <c r="CQ376" s="18"/>
      <c r="CR376" s="18"/>
      <c r="CS376" s="18"/>
      <c r="CT376" s="18"/>
      <c r="CU376" s="18"/>
      <c r="CV376" s="18"/>
      <c r="CW376" s="18"/>
      <c r="CX376" s="18"/>
      <c r="CY376" s="37"/>
      <c r="CZ376" s="38"/>
      <c r="DA376" s="18"/>
      <c r="DB376" s="37"/>
      <c r="DC376" s="38"/>
      <c r="DD376" s="18"/>
      <c r="DE376" s="37"/>
      <c r="DF376" s="38"/>
      <c r="DG376" s="18"/>
      <c r="DH376" s="37"/>
      <c r="DI376" s="38"/>
      <c r="DJ376" s="18"/>
      <c r="DK376" s="37"/>
      <c r="DL376" s="38"/>
      <c r="DM376" s="18"/>
      <c r="DN376" s="18"/>
      <c r="DO376" s="18"/>
      <c r="DP376" s="18"/>
      <c r="DQ376" s="18"/>
      <c r="DR376" s="18"/>
      <c r="DS376" s="18"/>
      <c r="DT376" s="18"/>
      <c r="DU376" s="18"/>
      <c r="DV376" s="18"/>
      <c r="DW376" s="18"/>
      <c r="DX376" s="18"/>
      <c r="DY376" s="18"/>
      <c r="DZ376" s="18"/>
    </row>
    <row r="377" spans="1:130" x14ac:dyDescent="0.3">
      <c r="A377" s="18"/>
      <c r="B377" s="18"/>
      <c r="C377" s="18"/>
      <c r="D377" s="18"/>
      <c r="E377" s="18"/>
      <c r="F377" s="18"/>
      <c r="G377" s="18"/>
      <c r="H377" s="18"/>
      <c r="I377" s="18"/>
      <c r="J377" s="18"/>
      <c r="K377" s="18"/>
      <c r="L377" s="18"/>
      <c r="M377" s="18"/>
      <c r="N377" s="17"/>
      <c r="O377" s="17"/>
      <c r="P377" s="17"/>
      <c r="Q377" s="17"/>
      <c r="R377" s="17"/>
      <c r="S377" s="17"/>
      <c r="T377" s="17"/>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7"/>
      <c r="BT377" s="17"/>
      <c r="BU377" s="17"/>
      <c r="BV377" s="17"/>
      <c r="BW377" s="17"/>
      <c r="BX377" s="18"/>
      <c r="BY377" s="18"/>
      <c r="BZ377" s="18"/>
      <c r="CA377" s="18"/>
      <c r="CB377" s="17"/>
      <c r="CC377" s="17"/>
      <c r="CD377" s="17"/>
      <c r="CE377" s="18"/>
      <c r="CF377" s="18"/>
      <c r="CG377" s="18"/>
      <c r="CH377" s="18"/>
      <c r="CI377" s="18"/>
      <c r="CJ377" s="18"/>
      <c r="CK377" s="18"/>
      <c r="CL377" s="18"/>
      <c r="CM377" s="18"/>
      <c r="CN377" s="18"/>
      <c r="CO377" s="18"/>
      <c r="CP377" s="18"/>
      <c r="CQ377" s="18"/>
      <c r="CR377" s="18"/>
      <c r="CS377" s="18"/>
      <c r="CT377" s="18"/>
      <c r="CU377" s="18"/>
      <c r="CV377" s="18"/>
      <c r="CW377" s="18"/>
      <c r="CX377" s="18"/>
      <c r="CY377" s="37"/>
      <c r="CZ377" s="38"/>
      <c r="DA377" s="18"/>
      <c r="DB377" s="37"/>
      <c r="DC377" s="38"/>
      <c r="DD377" s="18"/>
      <c r="DE377" s="37"/>
      <c r="DF377" s="38"/>
      <c r="DG377" s="18"/>
      <c r="DH377" s="37"/>
      <c r="DI377" s="38"/>
      <c r="DJ377" s="18"/>
      <c r="DK377" s="37"/>
      <c r="DL377" s="38"/>
      <c r="DM377" s="18"/>
      <c r="DN377" s="18"/>
      <c r="DO377" s="18"/>
      <c r="DP377" s="18"/>
      <c r="DQ377" s="18"/>
      <c r="DR377" s="18"/>
      <c r="DS377" s="18"/>
      <c r="DT377" s="18"/>
      <c r="DU377" s="18"/>
      <c r="DV377" s="18"/>
      <c r="DW377" s="18"/>
      <c r="DX377" s="18"/>
      <c r="DY377" s="18"/>
      <c r="DZ377" s="18"/>
    </row>
    <row r="378" spans="1:130" x14ac:dyDescent="0.3">
      <c r="A378" s="18"/>
      <c r="B378" s="18"/>
      <c r="C378" s="18"/>
      <c r="D378" s="18"/>
      <c r="E378" s="18"/>
      <c r="F378" s="18"/>
      <c r="G378" s="18"/>
      <c r="H378" s="18"/>
      <c r="I378" s="18"/>
      <c r="J378" s="18"/>
      <c r="K378" s="18"/>
      <c r="L378" s="18"/>
      <c r="M378" s="18"/>
      <c r="N378" s="17"/>
      <c r="O378" s="17"/>
      <c r="P378" s="17"/>
      <c r="Q378" s="17"/>
      <c r="R378" s="17"/>
      <c r="S378" s="17"/>
      <c r="T378" s="17"/>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7"/>
      <c r="BT378" s="17"/>
      <c r="BU378" s="17"/>
      <c r="BV378" s="17"/>
      <c r="BW378" s="17"/>
      <c r="BX378" s="18"/>
      <c r="BY378" s="18"/>
      <c r="BZ378" s="18"/>
      <c r="CA378" s="18"/>
      <c r="CB378" s="17"/>
      <c r="CC378" s="17"/>
      <c r="CD378" s="17"/>
      <c r="CE378" s="18"/>
      <c r="CF378" s="18"/>
      <c r="CG378" s="18"/>
      <c r="CH378" s="18"/>
      <c r="CI378" s="18"/>
      <c r="CJ378" s="18"/>
      <c r="CK378" s="18"/>
      <c r="CL378" s="18"/>
      <c r="CM378" s="18"/>
      <c r="CN378" s="18"/>
      <c r="CO378" s="18"/>
      <c r="CP378" s="18"/>
      <c r="CQ378" s="18"/>
      <c r="CR378" s="18"/>
      <c r="CS378" s="18"/>
      <c r="CT378" s="18"/>
      <c r="CU378" s="18"/>
      <c r="CV378" s="18"/>
      <c r="CW378" s="18"/>
      <c r="CX378" s="18"/>
      <c r="CY378" s="37"/>
      <c r="CZ378" s="38"/>
      <c r="DA378" s="18"/>
      <c r="DB378" s="37"/>
      <c r="DC378" s="38"/>
      <c r="DD378" s="18"/>
      <c r="DE378" s="37"/>
      <c r="DF378" s="38"/>
      <c r="DG378" s="18"/>
      <c r="DH378" s="37"/>
      <c r="DI378" s="38"/>
      <c r="DJ378" s="18"/>
      <c r="DK378" s="37"/>
      <c r="DL378" s="38"/>
      <c r="DM378" s="18"/>
      <c r="DN378" s="18"/>
      <c r="DO378" s="18"/>
      <c r="DP378" s="18"/>
      <c r="DQ378" s="18"/>
      <c r="DR378" s="18"/>
      <c r="DS378" s="18"/>
      <c r="DT378" s="18"/>
      <c r="DU378" s="18"/>
      <c r="DV378" s="18"/>
      <c r="DW378" s="18"/>
      <c r="DX378" s="18"/>
      <c r="DY378" s="18"/>
      <c r="DZ378" s="18"/>
    </row>
    <row r="379" spans="1:130" x14ac:dyDescent="0.3">
      <c r="A379" s="18"/>
      <c r="B379" s="18"/>
      <c r="C379" s="18"/>
      <c r="D379" s="18"/>
      <c r="E379" s="18"/>
      <c r="F379" s="18"/>
      <c r="G379" s="18"/>
      <c r="H379" s="18"/>
      <c r="I379" s="18"/>
      <c r="J379" s="18"/>
      <c r="K379" s="18"/>
      <c r="L379" s="18"/>
      <c r="M379" s="18"/>
      <c r="N379" s="17"/>
      <c r="O379" s="17"/>
      <c r="P379" s="17"/>
      <c r="Q379" s="17"/>
      <c r="R379" s="17"/>
      <c r="S379" s="17"/>
      <c r="T379" s="17"/>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7"/>
      <c r="BT379" s="17"/>
      <c r="BU379" s="17"/>
      <c r="BV379" s="17"/>
      <c r="BW379" s="17"/>
      <c r="BX379" s="18"/>
      <c r="BY379" s="18"/>
      <c r="BZ379" s="18"/>
      <c r="CA379" s="18"/>
      <c r="CB379" s="17"/>
      <c r="CC379" s="17"/>
      <c r="CD379" s="17"/>
      <c r="CE379" s="18"/>
      <c r="CF379" s="18"/>
      <c r="CG379" s="18"/>
      <c r="CH379" s="18"/>
      <c r="CI379" s="18"/>
      <c r="CJ379" s="18"/>
      <c r="CK379" s="18"/>
      <c r="CL379" s="18"/>
      <c r="CM379" s="18"/>
      <c r="CN379" s="18"/>
      <c r="CO379" s="18"/>
      <c r="CP379" s="18"/>
      <c r="CQ379" s="18"/>
      <c r="CR379" s="18"/>
      <c r="CS379" s="18"/>
      <c r="CT379" s="18"/>
      <c r="CU379" s="18"/>
      <c r="CV379" s="18"/>
      <c r="CW379" s="18"/>
      <c r="CX379" s="18"/>
      <c r="CY379" s="37"/>
      <c r="CZ379" s="38"/>
      <c r="DA379" s="18"/>
      <c r="DB379" s="37"/>
      <c r="DC379" s="38"/>
      <c r="DD379" s="18"/>
      <c r="DE379" s="37"/>
      <c r="DF379" s="38"/>
      <c r="DG379" s="18"/>
      <c r="DH379" s="37"/>
      <c r="DI379" s="38"/>
      <c r="DJ379" s="18"/>
      <c r="DK379" s="37"/>
      <c r="DL379" s="38"/>
      <c r="DM379" s="18"/>
      <c r="DN379" s="18"/>
      <c r="DO379" s="18"/>
      <c r="DP379" s="18"/>
      <c r="DQ379" s="18"/>
      <c r="DR379" s="18"/>
      <c r="DS379" s="18"/>
      <c r="DT379" s="18"/>
      <c r="DU379" s="18"/>
      <c r="DV379" s="18"/>
      <c r="DW379" s="18"/>
      <c r="DX379" s="18"/>
      <c r="DY379" s="18"/>
      <c r="DZ379" s="18"/>
    </row>
    <row r="380" spans="1:130" x14ac:dyDescent="0.3">
      <c r="A380" s="18"/>
      <c r="B380" s="18"/>
      <c r="C380" s="18"/>
      <c r="D380" s="18"/>
      <c r="E380" s="18"/>
      <c r="F380" s="18"/>
      <c r="G380" s="18"/>
      <c r="H380" s="18"/>
      <c r="I380" s="18"/>
      <c r="J380" s="18"/>
      <c r="K380" s="18"/>
      <c r="L380" s="18"/>
      <c r="M380" s="18"/>
      <c r="N380" s="17"/>
      <c r="O380" s="17"/>
      <c r="P380" s="17"/>
      <c r="Q380" s="17"/>
      <c r="R380" s="17"/>
      <c r="S380" s="17"/>
      <c r="T380" s="17"/>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7"/>
      <c r="BT380" s="17"/>
      <c r="BU380" s="17"/>
      <c r="BV380" s="17"/>
      <c r="BW380" s="17"/>
      <c r="BX380" s="18"/>
      <c r="BY380" s="18"/>
      <c r="BZ380" s="18"/>
      <c r="CA380" s="18"/>
      <c r="CB380" s="17"/>
      <c r="CC380" s="17"/>
      <c r="CD380" s="17"/>
      <c r="CE380" s="18"/>
      <c r="CF380" s="18"/>
      <c r="CG380" s="18"/>
      <c r="CH380" s="18"/>
      <c r="CI380" s="18"/>
      <c r="CJ380" s="18"/>
      <c r="CK380" s="18"/>
      <c r="CL380" s="18"/>
      <c r="CM380" s="18"/>
      <c r="CN380" s="18"/>
      <c r="CO380" s="18"/>
      <c r="CP380" s="18"/>
      <c r="CQ380" s="18"/>
      <c r="CR380" s="18"/>
      <c r="CS380" s="18"/>
      <c r="CT380" s="18"/>
      <c r="CU380" s="18"/>
      <c r="CV380" s="18"/>
      <c r="CW380" s="18"/>
      <c r="CX380" s="18"/>
      <c r="CY380" s="37"/>
      <c r="CZ380" s="38"/>
      <c r="DA380" s="18"/>
      <c r="DB380" s="37"/>
      <c r="DC380" s="38"/>
      <c r="DD380" s="18"/>
      <c r="DE380" s="37"/>
      <c r="DF380" s="38"/>
      <c r="DG380" s="18"/>
      <c r="DH380" s="37"/>
      <c r="DI380" s="38"/>
      <c r="DJ380" s="18"/>
      <c r="DK380" s="37"/>
      <c r="DL380" s="38"/>
      <c r="DM380" s="18"/>
      <c r="DN380" s="18"/>
      <c r="DO380" s="18"/>
      <c r="DP380" s="18"/>
      <c r="DQ380" s="18"/>
      <c r="DR380" s="18"/>
      <c r="DS380" s="18"/>
      <c r="DT380" s="18"/>
      <c r="DU380" s="18"/>
      <c r="DV380" s="18"/>
      <c r="DW380" s="18"/>
      <c r="DX380" s="18"/>
      <c r="DY380" s="18"/>
      <c r="DZ380" s="18"/>
    </row>
    <row r="381" spans="1:130" x14ac:dyDescent="0.3">
      <c r="A381" s="18"/>
      <c r="B381" s="18"/>
      <c r="C381" s="18"/>
      <c r="D381" s="18"/>
      <c r="E381" s="18"/>
      <c r="F381" s="18"/>
      <c r="G381" s="18"/>
      <c r="H381" s="18"/>
      <c r="I381" s="18"/>
      <c r="J381" s="18"/>
      <c r="K381" s="18"/>
      <c r="L381" s="18"/>
      <c r="M381" s="18"/>
      <c r="N381" s="17"/>
      <c r="O381" s="17"/>
      <c r="P381" s="17"/>
      <c r="Q381" s="17"/>
      <c r="R381" s="17"/>
      <c r="S381" s="17"/>
      <c r="T381" s="17"/>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7"/>
      <c r="BT381" s="17"/>
      <c r="BU381" s="17"/>
      <c r="BV381" s="17"/>
      <c r="BW381" s="17"/>
      <c r="BX381" s="18"/>
      <c r="BY381" s="18"/>
      <c r="BZ381" s="18"/>
      <c r="CA381" s="18"/>
      <c r="CB381" s="17"/>
      <c r="CC381" s="17"/>
      <c r="CD381" s="17"/>
      <c r="CE381" s="18"/>
      <c r="CF381" s="18"/>
      <c r="CG381" s="18"/>
      <c r="CH381" s="18"/>
      <c r="CI381" s="18"/>
      <c r="CJ381" s="18"/>
      <c r="CK381" s="18"/>
      <c r="CL381" s="18"/>
      <c r="CM381" s="18"/>
      <c r="CN381" s="18"/>
      <c r="CO381" s="18"/>
      <c r="CP381" s="18"/>
      <c r="CQ381" s="18"/>
      <c r="CR381" s="18"/>
      <c r="CS381" s="18"/>
      <c r="CT381" s="18"/>
      <c r="CU381" s="18"/>
      <c r="CV381" s="18"/>
      <c r="CW381" s="18"/>
      <c r="CX381" s="18"/>
      <c r="CY381" s="37"/>
      <c r="CZ381" s="38"/>
      <c r="DA381" s="18"/>
      <c r="DB381" s="37"/>
      <c r="DC381" s="38"/>
      <c r="DD381" s="18"/>
      <c r="DE381" s="37"/>
      <c r="DF381" s="38"/>
      <c r="DG381" s="18"/>
      <c r="DH381" s="37"/>
      <c r="DI381" s="38"/>
      <c r="DJ381" s="18"/>
      <c r="DK381" s="37"/>
      <c r="DL381" s="38"/>
      <c r="DM381" s="18"/>
      <c r="DN381" s="18"/>
      <c r="DO381" s="18"/>
      <c r="DP381" s="18"/>
      <c r="DQ381" s="18"/>
      <c r="DR381" s="18"/>
      <c r="DS381" s="18"/>
      <c r="DT381" s="18"/>
      <c r="DU381" s="18"/>
      <c r="DV381" s="18"/>
      <c r="DW381" s="18"/>
      <c r="DX381" s="18"/>
      <c r="DY381" s="18"/>
      <c r="DZ381" s="18"/>
    </row>
    <row r="382" spans="1:130" x14ac:dyDescent="0.3">
      <c r="A382" s="18"/>
      <c r="B382" s="18"/>
      <c r="C382" s="18"/>
      <c r="D382" s="18"/>
      <c r="E382" s="18"/>
      <c r="F382" s="18"/>
      <c r="G382" s="18"/>
      <c r="H382" s="18"/>
      <c r="I382" s="18"/>
      <c r="J382" s="18"/>
      <c r="K382" s="18"/>
      <c r="L382" s="18"/>
      <c r="M382" s="18"/>
      <c r="N382" s="17"/>
      <c r="O382" s="17"/>
      <c r="P382" s="17"/>
      <c r="Q382" s="17"/>
      <c r="R382" s="17"/>
      <c r="S382" s="17"/>
      <c r="T382" s="17"/>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7"/>
      <c r="BT382" s="17"/>
      <c r="BU382" s="17"/>
      <c r="BV382" s="17"/>
      <c r="BW382" s="17"/>
      <c r="BX382" s="18"/>
      <c r="BY382" s="18"/>
      <c r="BZ382" s="18"/>
      <c r="CA382" s="18"/>
      <c r="CB382" s="17"/>
      <c r="CC382" s="17"/>
      <c r="CD382" s="17"/>
      <c r="CE382" s="18"/>
      <c r="CF382" s="18"/>
      <c r="CG382" s="18"/>
      <c r="CH382" s="18"/>
      <c r="CI382" s="18"/>
      <c r="CJ382" s="18"/>
      <c r="CK382" s="18"/>
      <c r="CL382" s="18"/>
      <c r="CM382" s="18"/>
      <c r="CN382" s="18"/>
      <c r="CO382" s="18"/>
      <c r="CP382" s="18"/>
      <c r="CQ382" s="18"/>
      <c r="CR382" s="18"/>
      <c r="CS382" s="18"/>
      <c r="CT382" s="18"/>
      <c r="CU382" s="18"/>
      <c r="CV382" s="18"/>
      <c r="CW382" s="18"/>
      <c r="CX382" s="18"/>
      <c r="CY382" s="37"/>
      <c r="CZ382" s="38"/>
      <c r="DA382" s="18"/>
      <c r="DB382" s="37"/>
      <c r="DC382" s="38"/>
      <c r="DD382" s="18"/>
      <c r="DE382" s="37"/>
      <c r="DF382" s="38"/>
      <c r="DG382" s="18"/>
      <c r="DH382" s="37"/>
      <c r="DI382" s="38"/>
      <c r="DJ382" s="18"/>
      <c r="DK382" s="37"/>
      <c r="DL382" s="38"/>
      <c r="DM382" s="18"/>
      <c r="DN382" s="18"/>
      <c r="DO382" s="18"/>
      <c r="DP382" s="18"/>
      <c r="DQ382" s="18"/>
      <c r="DR382" s="18"/>
      <c r="DS382" s="18"/>
      <c r="DT382" s="18"/>
      <c r="DU382" s="18"/>
      <c r="DV382" s="18"/>
      <c r="DW382" s="18"/>
      <c r="DX382" s="18"/>
      <c r="DY382" s="18"/>
      <c r="DZ382" s="18"/>
    </row>
    <row r="383" spans="1:130" x14ac:dyDescent="0.3">
      <c r="A383" s="18"/>
      <c r="B383" s="18"/>
      <c r="C383" s="18"/>
      <c r="D383" s="18"/>
      <c r="E383" s="18"/>
      <c r="F383" s="18"/>
      <c r="G383" s="18"/>
      <c r="H383" s="18"/>
      <c r="I383" s="18"/>
      <c r="J383" s="18"/>
      <c r="K383" s="18"/>
      <c r="L383" s="18"/>
      <c r="M383" s="18"/>
      <c r="N383" s="17"/>
      <c r="O383" s="17"/>
      <c r="P383" s="17"/>
      <c r="Q383" s="17"/>
      <c r="R383" s="17"/>
      <c r="S383" s="17"/>
      <c r="T383" s="17"/>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7"/>
      <c r="BT383" s="17"/>
      <c r="BU383" s="17"/>
      <c r="BV383" s="17"/>
      <c r="BW383" s="17"/>
      <c r="BX383" s="18"/>
      <c r="BY383" s="18"/>
      <c r="BZ383" s="18"/>
      <c r="CA383" s="18"/>
      <c r="CB383" s="17"/>
      <c r="CC383" s="17"/>
      <c r="CD383" s="17"/>
      <c r="CE383" s="18"/>
      <c r="CF383" s="18"/>
      <c r="CG383" s="18"/>
      <c r="CH383" s="18"/>
      <c r="CI383" s="18"/>
      <c r="CJ383" s="18"/>
      <c r="CK383" s="18"/>
      <c r="CL383" s="18"/>
      <c r="CM383" s="18"/>
      <c r="CN383" s="18"/>
      <c r="CO383" s="18"/>
      <c r="CP383" s="18"/>
      <c r="CQ383" s="18"/>
      <c r="CR383" s="18"/>
      <c r="CS383" s="18"/>
      <c r="CT383" s="18"/>
      <c r="CU383" s="18"/>
      <c r="CV383" s="18"/>
      <c r="CW383" s="18"/>
      <c r="CX383" s="18"/>
      <c r="CY383" s="37"/>
      <c r="CZ383" s="38"/>
      <c r="DA383" s="18"/>
      <c r="DB383" s="37"/>
      <c r="DC383" s="38"/>
      <c r="DD383" s="18"/>
      <c r="DE383" s="37"/>
      <c r="DF383" s="38"/>
      <c r="DG383" s="18"/>
      <c r="DH383" s="37"/>
      <c r="DI383" s="38"/>
      <c r="DJ383" s="18"/>
      <c r="DK383" s="37"/>
      <c r="DL383" s="38"/>
      <c r="DM383" s="18"/>
      <c r="DN383" s="18"/>
      <c r="DO383" s="18"/>
      <c r="DP383" s="18"/>
      <c r="DQ383" s="18"/>
      <c r="DR383" s="18"/>
      <c r="DS383" s="18"/>
      <c r="DT383" s="18"/>
      <c r="DU383" s="18"/>
      <c r="DV383" s="18"/>
      <c r="DW383" s="18"/>
      <c r="DX383" s="18"/>
      <c r="DY383" s="18"/>
      <c r="DZ383" s="18"/>
    </row>
    <row r="384" spans="1:130" x14ac:dyDescent="0.3">
      <c r="A384" s="18"/>
      <c r="B384" s="18"/>
      <c r="C384" s="18"/>
      <c r="D384" s="18"/>
      <c r="E384" s="18"/>
      <c r="F384" s="18"/>
      <c r="G384" s="18"/>
      <c r="H384" s="18"/>
      <c r="I384" s="18"/>
      <c r="J384" s="18"/>
      <c r="K384" s="18"/>
      <c r="L384" s="18"/>
      <c r="M384" s="18"/>
      <c r="N384" s="17"/>
      <c r="O384" s="17"/>
      <c r="P384" s="17"/>
      <c r="Q384" s="17"/>
      <c r="R384" s="17"/>
      <c r="S384" s="17"/>
      <c r="T384" s="17"/>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7"/>
      <c r="BT384" s="17"/>
      <c r="BU384" s="17"/>
      <c r="BV384" s="17"/>
      <c r="BW384" s="17"/>
      <c r="BX384" s="18"/>
      <c r="BY384" s="18"/>
      <c r="BZ384" s="18"/>
      <c r="CA384" s="18"/>
      <c r="CB384" s="17"/>
      <c r="CC384" s="17"/>
      <c r="CD384" s="17"/>
      <c r="CE384" s="18"/>
      <c r="CF384" s="18"/>
      <c r="CG384" s="18"/>
      <c r="CH384" s="18"/>
      <c r="CI384" s="18"/>
      <c r="CJ384" s="18"/>
      <c r="CK384" s="18"/>
      <c r="CL384" s="18"/>
      <c r="CM384" s="18"/>
      <c r="CN384" s="18"/>
      <c r="CO384" s="18"/>
      <c r="CP384" s="18"/>
      <c r="CQ384" s="18"/>
      <c r="CR384" s="18"/>
      <c r="CS384" s="18"/>
      <c r="CT384" s="18"/>
      <c r="CU384" s="18"/>
      <c r="CV384" s="18"/>
      <c r="CW384" s="18"/>
      <c r="CX384" s="18"/>
      <c r="CY384" s="37"/>
      <c r="CZ384" s="38"/>
      <c r="DA384" s="18"/>
      <c r="DB384" s="37"/>
      <c r="DC384" s="38"/>
      <c r="DD384" s="18"/>
      <c r="DE384" s="37"/>
      <c r="DF384" s="38"/>
      <c r="DG384" s="18"/>
      <c r="DH384" s="37"/>
      <c r="DI384" s="38"/>
      <c r="DJ384" s="18"/>
      <c r="DK384" s="37"/>
      <c r="DL384" s="38"/>
      <c r="DM384" s="18"/>
      <c r="DN384" s="18"/>
      <c r="DO384" s="18"/>
      <c r="DP384" s="18"/>
      <c r="DQ384" s="18"/>
      <c r="DR384" s="18"/>
      <c r="DS384" s="18"/>
      <c r="DT384" s="18"/>
      <c r="DU384" s="18"/>
      <c r="DV384" s="18"/>
      <c r="DW384" s="18"/>
      <c r="DX384" s="18"/>
      <c r="DY384" s="18"/>
      <c r="DZ384" s="18"/>
    </row>
    <row r="385" spans="1:130" x14ac:dyDescent="0.3">
      <c r="A385" s="18"/>
      <c r="B385" s="18"/>
      <c r="C385" s="18"/>
      <c r="D385" s="18"/>
      <c r="E385" s="18"/>
      <c r="F385" s="18"/>
      <c r="G385" s="18"/>
      <c r="H385" s="18"/>
      <c r="I385" s="18"/>
      <c r="J385" s="18"/>
      <c r="K385" s="18"/>
      <c r="L385" s="18"/>
      <c r="M385" s="18"/>
      <c r="N385" s="17"/>
      <c r="O385" s="17"/>
      <c r="P385" s="17"/>
      <c r="Q385" s="17"/>
      <c r="R385" s="17"/>
      <c r="S385" s="17"/>
      <c r="T385" s="17"/>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7"/>
      <c r="BT385" s="17"/>
      <c r="BU385" s="17"/>
      <c r="BV385" s="17"/>
      <c r="BW385" s="17"/>
      <c r="BX385" s="18"/>
      <c r="BY385" s="18"/>
      <c r="BZ385" s="18"/>
      <c r="CA385" s="18"/>
      <c r="CB385" s="17"/>
      <c r="CC385" s="17"/>
      <c r="CD385" s="17"/>
      <c r="CE385" s="18"/>
      <c r="CF385" s="18"/>
      <c r="CG385" s="18"/>
      <c r="CH385" s="18"/>
      <c r="CI385" s="18"/>
      <c r="CJ385" s="18"/>
      <c r="CK385" s="18"/>
      <c r="CL385" s="18"/>
      <c r="CM385" s="18"/>
      <c r="CN385" s="18"/>
      <c r="CO385" s="18"/>
      <c r="CP385" s="18"/>
      <c r="CQ385" s="18"/>
      <c r="CR385" s="18"/>
      <c r="CS385" s="18"/>
      <c r="CT385" s="18"/>
      <c r="CU385" s="18"/>
      <c r="CV385" s="18"/>
      <c r="CW385" s="18"/>
      <c r="CX385" s="18"/>
      <c r="CY385" s="37"/>
      <c r="CZ385" s="38"/>
      <c r="DA385" s="18"/>
      <c r="DB385" s="37"/>
      <c r="DC385" s="38"/>
      <c r="DD385" s="18"/>
      <c r="DE385" s="37"/>
      <c r="DF385" s="38"/>
      <c r="DG385" s="18"/>
      <c r="DH385" s="37"/>
      <c r="DI385" s="38"/>
      <c r="DJ385" s="18"/>
      <c r="DK385" s="37"/>
      <c r="DL385" s="38"/>
      <c r="DM385" s="18"/>
      <c r="DN385" s="18"/>
      <c r="DO385" s="18"/>
      <c r="DP385" s="18"/>
      <c r="DQ385" s="18"/>
      <c r="DR385" s="18"/>
      <c r="DS385" s="18"/>
      <c r="DT385" s="18"/>
      <c r="DU385" s="18"/>
      <c r="DV385" s="18"/>
      <c r="DW385" s="18"/>
      <c r="DX385" s="18"/>
      <c r="DY385" s="18"/>
      <c r="DZ385" s="18"/>
    </row>
    <row r="386" spans="1:130" x14ac:dyDescent="0.3">
      <c r="A386" s="18"/>
      <c r="B386" s="18"/>
      <c r="C386" s="18"/>
      <c r="D386" s="18"/>
      <c r="E386" s="18"/>
      <c r="F386" s="18"/>
      <c r="G386" s="18"/>
      <c r="H386" s="18"/>
      <c r="I386" s="18"/>
      <c r="J386" s="18"/>
      <c r="K386" s="18"/>
      <c r="L386" s="18"/>
      <c r="M386" s="18"/>
      <c r="N386" s="17"/>
      <c r="O386" s="17"/>
      <c r="P386" s="17"/>
      <c r="Q386" s="17"/>
      <c r="R386" s="17"/>
      <c r="S386" s="17"/>
      <c r="T386" s="17"/>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7"/>
      <c r="BT386" s="17"/>
      <c r="BU386" s="17"/>
      <c r="BV386" s="17"/>
      <c r="BW386" s="17"/>
      <c r="BX386" s="18"/>
      <c r="BY386" s="18"/>
      <c r="BZ386" s="18"/>
      <c r="CA386" s="18"/>
      <c r="CB386" s="17"/>
      <c r="CC386" s="17"/>
      <c r="CD386" s="17"/>
      <c r="CE386" s="18"/>
      <c r="CF386" s="18"/>
      <c r="CG386" s="18"/>
      <c r="CH386" s="18"/>
      <c r="CI386" s="18"/>
      <c r="CJ386" s="18"/>
      <c r="CK386" s="18"/>
      <c r="CL386" s="18"/>
      <c r="CM386" s="18"/>
      <c r="CN386" s="18"/>
      <c r="CO386" s="18"/>
      <c r="CP386" s="18"/>
      <c r="CQ386" s="18"/>
      <c r="CR386" s="18"/>
      <c r="CS386" s="18"/>
      <c r="CT386" s="18"/>
      <c r="CU386" s="18"/>
      <c r="CV386" s="18"/>
      <c r="CW386" s="18"/>
      <c r="CX386" s="18"/>
      <c r="CY386" s="37"/>
      <c r="CZ386" s="38"/>
      <c r="DA386" s="18"/>
      <c r="DB386" s="37"/>
      <c r="DC386" s="38"/>
      <c r="DD386" s="18"/>
      <c r="DE386" s="37"/>
      <c r="DF386" s="38"/>
      <c r="DG386" s="18"/>
      <c r="DH386" s="37"/>
      <c r="DI386" s="38"/>
      <c r="DJ386" s="18"/>
      <c r="DK386" s="37"/>
      <c r="DL386" s="38"/>
      <c r="DM386" s="18"/>
      <c r="DN386" s="18"/>
      <c r="DO386" s="18"/>
      <c r="DP386" s="18"/>
      <c r="DQ386" s="18"/>
      <c r="DR386" s="18"/>
      <c r="DS386" s="18"/>
      <c r="DT386" s="18"/>
      <c r="DU386" s="18"/>
      <c r="DV386" s="18"/>
      <c r="DW386" s="18"/>
      <c r="DX386" s="18"/>
      <c r="DY386" s="18"/>
      <c r="DZ386" s="18"/>
    </row>
    <row r="387" spans="1:130" x14ac:dyDescent="0.3">
      <c r="A387" s="18"/>
      <c r="B387" s="18"/>
      <c r="C387" s="18"/>
      <c r="D387" s="18"/>
      <c r="E387" s="18"/>
      <c r="F387" s="18"/>
      <c r="G387" s="18"/>
      <c r="H387" s="18"/>
      <c r="I387" s="18"/>
      <c r="J387" s="18"/>
      <c r="K387" s="18"/>
      <c r="L387" s="18"/>
      <c r="M387" s="18"/>
      <c r="N387" s="17"/>
      <c r="O387" s="17"/>
      <c r="P387" s="17"/>
      <c r="Q387" s="17"/>
      <c r="R387" s="17"/>
      <c r="S387" s="17"/>
      <c r="T387" s="17"/>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7"/>
      <c r="BT387" s="17"/>
      <c r="BU387" s="17"/>
      <c r="BV387" s="17"/>
      <c r="BW387" s="17"/>
      <c r="BX387" s="18"/>
      <c r="BY387" s="18"/>
      <c r="BZ387" s="18"/>
      <c r="CA387" s="18"/>
      <c r="CB387" s="17"/>
      <c r="CC387" s="17"/>
      <c r="CD387" s="17"/>
      <c r="CE387" s="18"/>
      <c r="CF387" s="18"/>
      <c r="CG387" s="18"/>
      <c r="CH387" s="18"/>
      <c r="CI387" s="18"/>
      <c r="CJ387" s="18"/>
      <c r="CK387" s="18"/>
      <c r="CL387" s="18"/>
      <c r="CM387" s="18"/>
      <c r="CN387" s="18"/>
      <c r="CO387" s="18"/>
      <c r="CP387" s="18"/>
      <c r="CQ387" s="18"/>
      <c r="CR387" s="18"/>
      <c r="CS387" s="18"/>
      <c r="CT387" s="18"/>
      <c r="CU387" s="18"/>
      <c r="CV387" s="18"/>
      <c r="CW387" s="18"/>
      <c r="CX387" s="18"/>
      <c r="CY387" s="37"/>
      <c r="CZ387" s="38"/>
      <c r="DA387" s="18"/>
      <c r="DB387" s="37"/>
      <c r="DC387" s="38"/>
      <c r="DD387" s="18"/>
      <c r="DE387" s="37"/>
      <c r="DF387" s="38"/>
      <c r="DG387" s="18"/>
      <c r="DH387" s="37"/>
      <c r="DI387" s="38"/>
      <c r="DJ387" s="18"/>
      <c r="DK387" s="37"/>
      <c r="DL387" s="38"/>
      <c r="DM387" s="18"/>
      <c r="DN387" s="18"/>
      <c r="DO387" s="18"/>
      <c r="DP387" s="18"/>
      <c r="DQ387" s="18"/>
      <c r="DR387" s="18"/>
      <c r="DS387" s="18"/>
      <c r="DT387" s="18"/>
      <c r="DU387" s="18"/>
      <c r="DV387" s="18"/>
      <c r="DW387" s="18"/>
      <c r="DX387" s="18"/>
      <c r="DY387" s="18"/>
      <c r="DZ387" s="18"/>
    </row>
    <row r="388" spans="1:130" x14ac:dyDescent="0.3">
      <c r="A388" s="18"/>
      <c r="B388" s="18"/>
      <c r="C388" s="18"/>
      <c r="D388" s="18"/>
      <c r="E388" s="18"/>
      <c r="F388" s="18"/>
      <c r="G388" s="18"/>
      <c r="H388" s="18"/>
      <c r="I388" s="18"/>
      <c r="J388" s="18"/>
      <c r="K388" s="18"/>
      <c r="L388" s="18"/>
      <c r="M388" s="18"/>
      <c r="N388" s="17"/>
      <c r="O388" s="17"/>
      <c r="P388" s="17"/>
      <c r="Q388" s="17"/>
      <c r="R388" s="17"/>
      <c r="S388" s="17"/>
      <c r="T388" s="17"/>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7"/>
      <c r="BT388" s="17"/>
      <c r="BU388" s="17"/>
      <c r="BV388" s="17"/>
      <c r="BW388" s="17"/>
      <c r="BX388" s="18"/>
      <c r="BY388" s="18"/>
      <c r="BZ388" s="18"/>
      <c r="CA388" s="18"/>
      <c r="CB388" s="17"/>
      <c r="CC388" s="17"/>
      <c r="CD388" s="17"/>
      <c r="CE388" s="18"/>
      <c r="CF388" s="18"/>
      <c r="CG388" s="18"/>
      <c r="CH388" s="18"/>
      <c r="CI388" s="18"/>
      <c r="CJ388" s="18"/>
      <c r="CK388" s="18"/>
      <c r="CL388" s="18"/>
      <c r="CM388" s="18"/>
      <c r="CN388" s="18"/>
      <c r="CO388" s="18"/>
      <c r="CP388" s="18"/>
      <c r="CQ388" s="18"/>
      <c r="CR388" s="18"/>
      <c r="CS388" s="18"/>
      <c r="CT388" s="18"/>
      <c r="CU388" s="18"/>
      <c r="CV388" s="18"/>
      <c r="CW388" s="18"/>
      <c r="CX388" s="18"/>
      <c r="CY388" s="37"/>
      <c r="CZ388" s="38"/>
      <c r="DA388" s="18"/>
      <c r="DB388" s="37"/>
      <c r="DC388" s="38"/>
      <c r="DD388" s="18"/>
      <c r="DE388" s="37"/>
      <c r="DF388" s="38"/>
      <c r="DG388" s="18"/>
      <c r="DH388" s="37"/>
      <c r="DI388" s="38"/>
      <c r="DJ388" s="18"/>
      <c r="DK388" s="37"/>
      <c r="DL388" s="38"/>
      <c r="DM388" s="18"/>
      <c r="DN388" s="18"/>
      <c r="DO388" s="18"/>
      <c r="DP388" s="18"/>
      <c r="DQ388" s="18"/>
      <c r="DR388" s="18"/>
      <c r="DS388" s="18"/>
      <c r="DT388" s="18"/>
      <c r="DU388" s="18"/>
      <c r="DV388" s="18"/>
      <c r="DW388" s="18"/>
      <c r="DX388" s="18"/>
      <c r="DY388" s="18"/>
      <c r="DZ388" s="18"/>
    </row>
    <row r="389" spans="1:130" x14ac:dyDescent="0.3">
      <c r="A389" s="18"/>
      <c r="B389" s="18"/>
      <c r="C389" s="18"/>
      <c r="D389" s="18"/>
      <c r="E389" s="18"/>
      <c r="F389" s="18"/>
      <c r="G389" s="18"/>
      <c r="H389" s="18"/>
      <c r="I389" s="18"/>
      <c r="J389" s="18"/>
      <c r="K389" s="18"/>
      <c r="L389" s="18"/>
      <c r="M389" s="18"/>
      <c r="N389" s="17"/>
      <c r="O389" s="17"/>
      <c r="P389" s="17"/>
      <c r="Q389" s="17"/>
      <c r="R389" s="17"/>
      <c r="S389" s="17"/>
      <c r="T389" s="17"/>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7"/>
      <c r="BT389" s="17"/>
      <c r="BU389" s="17"/>
      <c r="BV389" s="17"/>
      <c r="BW389" s="17"/>
      <c r="BX389" s="18"/>
      <c r="BY389" s="18"/>
      <c r="BZ389" s="18"/>
      <c r="CA389" s="18"/>
      <c r="CB389" s="17"/>
      <c r="CC389" s="17"/>
      <c r="CD389" s="17"/>
      <c r="CE389" s="18"/>
      <c r="CF389" s="18"/>
      <c r="CG389" s="18"/>
      <c r="CH389" s="18"/>
      <c r="CI389" s="18"/>
      <c r="CJ389" s="18"/>
      <c r="CK389" s="18"/>
      <c r="CL389" s="18"/>
      <c r="CM389" s="18"/>
      <c r="CN389" s="18"/>
      <c r="CO389" s="18"/>
      <c r="CP389" s="18"/>
      <c r="CQ389" s="18"/>
      <c r="CR389" s="18"/>
      <c r="CS389" s="18"/>
      <c r="CT389" s="18"/>
      <c r="CU389" s="18"/>
      <c r="CV389" s="18"/>
      <c r="CW389" s="18"/>
      <c r="CX389" s="18"/>
      <c r="CY389" s="37"/>
      <c r="CZ389" s="38"/>
      <c r="DA389" s="18"/>
      <c r="DB389" s="37"/>
      <c r="DC389" s="38"/>
      <c r="DD389" s="18"/>
      <c r="DE389" s="37"/>
      <c r="DF389" s="38"/>
      <c r="DG389" s="18"/>
      <c r="DH389" s="37"/>
      <c r="DI389" s="38"/>
      <c r="DJ389" s="18"/>
      <c r="DK389" s="37"/>
      <c r="DL389" s="38"/>
      <c r="DM389" s="18"/>
      <c r="DN389" s="18"/>
      <c r="DO389" s="18"/>
      <c r="DP389" s="18"/>
      <c r="DQ389" s="18"/>
      <c r="DR389" s="18"/>
      <c r="DS389" s="18"/>
      <c r="DT389" s="18"/>
      <c r="DU389" s="18"/>
      <c r="DV389" s="18"/>
      <c r="DW389" s="18"/>
      <c r="DX389" s="18"/>
      <c r="DY389" s="18"/>
      <c r="DZ389" s="18"/>
    </row>
    <row r="390" spans="1:130" x14ac:dyDescent="0.3">
      <c r="A390" s="18"/>
      <c r="B390" s="18"/>
      <c r="C390" s="18"/>
      <c r="D390" s="18"/>
      <c r="E390" s="18"/>
      <c r="F390" s="18"/>
      <c r="G390" s="18"/>
      <c r="H390" s="18"/>
      <c r="I390" s="18"/>
      <c r="J390" s="18"/>
      <c r="K390" s="18"/>
      <c r="L390" s="18"/>
      <c r="M390" s="18"/>
      <c r="N390" s="17"/>
      <c r="O390" s="17"/>
      <c r="P390" s="17"/>
      <c r="Q390" s="17"/>
      <c r="R390" s="17"/>
      <c r="S390" s="17"/>
      <c r="T390" s="17"/>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7"/>
      <c r="BT390" s="17"/>
      <c r="BU390" s="17"/>
      <c r="BV390" s="17"/>
      <c r="BW390" s="17"/>
      <c r="BX390" s="18"/>
      <c r="BY390" s="18"/>
      <c r="BZ390" s="18"/>
      <c r="CA390" s="18"/>
      <c r="CB390" s="17"/>
      <c r="CC390" s="17"/>
      <c r="CD390" s="17"/>
      <c r="CE390" s="18"/>
      <c r="CF390" s="18"/>
      <c r="CG390" s="18"/>
      <c r="CH390" s="18"/>
      <c r="CI390" s="18"/>
      <c r="CJ390" s="18"/>
      <c r="CK390" s="18"/>
      <c r="CL390" s="18"/>
      <c r="CM390" s="18"/>
      <c r="CN390" s="18"/>
      <c r="CO390" s="18"/>
      <c r="CP390" s="18"/>
      <c r="CQ390" s="18"/>
      <c r="CR390" s="18"/>
      <c r="CS390" s="18"/>
      <c r="CT390" s="18"/>
      <c r="CU390" s="18"/>
      <c r="CV390" s="18"/>
      <c r="CW390" s="18"/>
      <c r="CX390" s="18"/>
      <c r="CY390" s="37"/>
      <c r="CZ390" s="38"/>
      <c r="DA390" s="18"/>
      <c r="DB390" s="37"/>
      <c r="DC390" s="38"/>
      <c r="DD390" s="18"/>
      <c r="DE390" s="37"/>
      <c r="DF390" s="38"/>
      <c r="DG390" s="18"/>
      <c r="DH390" s="37"/>
      <c r="DI390" s="38"/>
      <c r="DJ390" s="18"/>
      <c r="DK390" s="37"/>
      <c r="DL390" s="38"/>
      <c r="DM390" s="18"/>
      <c r="DN390" s="18"/>
      <c r="DO390" s="18"/>
      <c r="DP390" s="18"/>
      <c r="DQ390" s="18"/>
      <c r="DR390" s="18"/>
      <c r="DS390" s="18"/>
      <c r="DT390" s="18"/>
      <c r="DU390" s="18"/>
      <c r="DV390" s="18"/>
      <c r="DW390" s="18"/>
      <c r="DX390" s="18"/>
      <c r="DY390" s="18"/>
      <c r="DZ390" s="18"/>
    </row>
    <row r="391" spans="1:130" x14ac:dyDescent="0.3">
      <c r="A391" s="18"/>
      <c r="B391" s="18"/>
      <c r="C391" s="18"/>
      <c r="D391" s="18"/>
      <c r="E391" s="18"/>
      <c r="F391" s="18"/>
      <c r="G391" s="18"/>
      <c r="H391" s="18"/>
      <c r="I391" s="18"/>
      <c r="J391" s="18"/>
      <c r="K391" s="18"/>
      <c r="L391" s="18"/>
      <c r="M391" s="18"/>
      <c r="N391" s="17"/>
      <c r="O391" s="17"/>
      <c r="P391" s="17"/>
      <c r="Q391" s="17"/>
      <c r="R391" s="17"/>
      <c r="S391" s="17"/>
      <c r="T391" s="17"/>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7"/>
      <c r="BT391" s="17"/>
      <c r="BU391" s="17"/>
      <c r="BV391" s="17"/>
      <c r="BW391" s="17"/>
      <c r="BX391" s="18"/>
      <c r="BY391" s="18"/>
      <c r="BZ391" s="18"/>
      <c r="CA391" s="18"/>
      <c r="CB391" s="17"/>
      <c r="CC391" s="17"/>
      <c r="CD391" s="17"/>
      <c r="CE391" s="18"/>
      <c r="CF391" s="18"/>
      <c r="CG391" s="18"/>
      <c r="CH391" s="18"/>
      <c r="CI391" s="18"/>
      <c r="CJ391" s="18"/>
      <c r="CK391" s="18"/>
      <c r="CL391" s="18"/>
      <c r="CM391" s="18"/>
      <c r="CN391" s="18"/>
      <c r="CO391" s="18"/>
      <c r="CP391" s="18"/>
      <c r="CQ391" s="18"/>
      <c r="CR391" s="18"/>
      <c r="CS391" s="18"/>
      <c r="CT391" s="18"/>
      <c r="CU391" s="18"/>
      <c r="CV391" s="18"/>
      <c r="CW391" s="18"/>
      <c r="CX391" s="18"/>
      <c r="CY391" s="37"/>
      <c r="CZ391" s="38"/>
      <c r="DA391" s="18"/>
      <c r="DB391" s="37"/>
      <c r="DC391" s="38"/>
      <c r="DD391" s="18"/>
      <c r="DE391" s="37"/>
      <c r="DF391" s="38"/>
      <c r="DG391" s="18"/>
      <c r="DH391" s="37"/>
      <c r="DI391" s="38"/>
      <c r="DJ391" s="18"/>
      <c r="DK391" s="37"/>
      <c r="DL391" s="38"/>
      <c r="DM391" s="18"/>
      <c r="DN391" s="18"/>
      <c r="DO391" s="18"/>
      <c r="DP391" s="18"/>
      <c r="DQ391" s="18"/>
      <c r="DR391" s="18"/>
      <c r="DS391" s="18"/>
      <c r="DT391" s="18"/>
      <c r="DU391" s="18"/>
      <c r="DV391" s="18"/>
      <c r="DW391" s="18"/>
      <c r="DX391" s="18"/>
      <c r="DY391" s="18"/>
      <c r="DZ391" s="18"/>
    </row>
    <row r="392" spans="1:130" x14ac:dyDescent="0.3">
      <c r="A392" s="18"/>
      <c r="B392" s="18"/>
      <c r="C392" s="18"/>
      <c r="D392" s="18"/>
      <c r="E392" s="18"/>
      <c r="F392" s="18"/>
      <c r="G392" s="18"/>
      <c r="H392" s="18"/>
      <c r="I392" s="18"/>
      <c r="J392" s="18"/>
      <c r="K392" s="18"/>
      <c r="L392" s="18"/>
      <c r="M392" s="18"/>
      <c r="N392" s="17"/>
      <c r="O392" s="17"/>
      <c r="P392" s="17"/>
      <c r="Q392" s="17"/>
      <c r="R392" s="17"/>
      <c r="S392" s="17"/>
      <c r="T392" s="17"/>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7"/>
      <c r="BT392" s="17"/>
      <c r="BU392" s="17"/>
      <c r="BV392" s="17"/>
      <c r="BW392" s="17"/>
      <c r="BX392" s="18"/>
      <c r="BY392" s="18"/>
      <c r="BZ392" s="18"/>
      <c r="CA392" s="18"/>
      <c r="CB392" s="17"/>
      <c r="CC392" s="17"/>
      <c r="CD392" s="17"/>
      <c r="CE392" s="18"/>
      <c r="CF392" s="18"/>
      <c r="CG392" s="18"/>
      <c r="CH392" s="18"/>
      <c r="CI392" s="18"/>
      <c r="CJ392" s="18"/>
      <c r="CK392" s="18"/>
      <c r="CL392" s="18"/>
      <c r="CM392" s="18"/>
      <c r="CN392" s="18"/>
      <c r="CO392" s="18"/>
      <c r="CP392" s="18"/>
      <c r="CQ392" s="18"/>
      <c r="CR392" s="18"/>
      <c r="CS392" s="18"/>
      <c r="CT392" s="18"/>
      <c r="CU392" s="18"/>
      <c r="CV392" s="18"/>
      <c r="CW392" s="18"/>
      <c r="CX392" s="18"/>
      <c r="CY392" s="37"/>
      <c r="CZ392" s="38"/>
      <c r="DA392" s="18"/>
      <c r="DB392" s="37"/>
      <c r="DC392" s="38"/>
      <c r="DD392" s="18"/>
      <c r="DE392" s="37"/>
      <c r="DF392" s="38"/>
      <c r="DG392" s="18"/>
      <c r="DH392" s="37"/>
      <c r="DI392" s="38"/>
      <c r="DJ392" s="18"/>
      <c r="DK392" s="37"/>
      <c r="DL392" s="38"/>
      <c r="DM392" s="18"/>
      <c r="DN392" s="18"/>
      <c r="DO392" s="18"/>
      <c r="DP392" s="18"/>
      <c r="DQ392" s="18"/>
      <c r="DR392" s="18"/>
      <c r="DS392" s="18"/>
      <c r="DT392" s="18"/>
      <c r="DU392" s="18"/>
      <c r="DV392" s="18"/>
      <c r="DW392" s="18"/>
      <c r="DX392" s="18"/>
      <c r="DY392" s="18"/>
      <c r="DZ392" s="18"/>
    </row>
    <row r="393" spans="1:130" x14ac:dyDescent="0.3">
      <c r="A393" s="18"/>
      <c r="B393" s="18"/>
      <c r="C393" s="18"/>
      <c r="D393" s="18"/>
      <c r="E393" s="18"/>
      <c r="F393" s="18"/>
      <c r="G393" s="18"/>
      <c r="H393" s="18"/>
      <c r="I393" s="18"/>
      <c r="J393" s="18"/>
      <c r="K393" s="18"/>
      <c r="L393" s="18"/>
      <c r="M393" s="18"/>
      <c r="N393" s="17"/>
      <c r="O393" s="17"/>
      <c r="P393" s="17"/>
      <c r="Q393" s="17"/>
      <c r="R393" s="17"/>
      <c r="S393" s="17"/>
      <c r="T393" s="17"/>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7"/>
      <c r="BT393" s="17"/>
      <c r="BU393" s="17"/>
      <c r="BV393" s="17"/>
      <c r="BW393" s="17"/>
      <c r="BX393" s="18"/>
      <c r="BY393" s="18"/>
      <c r="BZ393" s="18"/>
      <c r="CA393" s="18"/>
      <c r="CB393" s="17"/>
      <c r="CC393" s="17"/>
      <c r="CD393" s="17"/>
      <c r="CE393" s="18"/>
      <c r="CF393" s="18"/>
      <c r="CG393" s="18"/>
      <c r="CH393" s="18"/>
      <c r="CI393" s="18"/>
      <c r="CJ393" s="18"/>
      <c r="CK393" s="18"/>
      <c r="CL393" s="18"/>
      <c r="CM393" s="18"/>
      <c r="CN393" s="18"/>
      <c r="CO393" s="18"/>
      <c r="CP393" s="18"/>
      <c r="CQ393" s="18"/>
      <c r="CR393" s="18"/>
      <c r="CS393" s="18"/>
      <c r="CT393" s="18"/>
      <c r="CU393" s="18"/>
      <c r="CV393" s="18"/>
      <c r="CW393" s="18"/>
      <c r="CX393" s="18"/>
      <c r="CY393" s="37"/>
      <c r="CZ393" s="38"/>
      <c r="DA393" s="18"/>
      <c r="DB393" s="37"/>
      <c r="DC393" s="38"/>
      <c r="DD393" s="18"/>
      <c r="DE393" s="37"/>
      <c r="DF393" s="38"/>
      <c r="DG393" s="18"/>
      <c r="DH393" s="37"/>
      <c r="DI393" s="38"/>
      <c r="DJ393" s="18"/>
      <c r="DK393" s="37"/>
      <c r="DL393" s="38"/>
      <c r="DM393" s="18"/>
      <c r="DN393" s="18"/>
      <c r="DO393" s="18"/>
      <c r="DP393" s="18"/>
      <c r="DQ393" s="18"/>
      <c r="DR393" s="18"/>
      <c r="DS393" s="18"/>
      <c r="DT393" s="18"/>
      <c r="DU393" s="18"/>
      <c r="DV393" s="18"/>
      <c r="DW393" s="18"/>
      <c r="DX393" s="18"/>
      <c r="DY393" s="18"/>
      <c r="DZ393" s="18"/>
    </row>
    <row r="394" spans="1:130" x14ac:dyDescent="0.3">
      <c r="A394" s="18"/>
      <c r="B394" s="18"/>
      <c r="C394" s="18"/>
      <c r="D394" s="18"/>
      <c r="E394" s="18"/>
      <c r="F394" s="18"/>
      <c r="G394" s="18"/>
      <c r="H394" s="18"/>
      <c r="I394" s="18"/>
      <c r="J394" s="18"/>
      <c r="K394" s="18"/>
      <c r="L394" s="18"/>
      <c r="M394" s="18"/>
      <c r="N394" s="17"/>
      <c r="O394" s="17"/>
      <c r="P394" s="17"/>
      <c r="Q394" s="17"/>
      <c r="R394" s="17"/>
      <c r="S394" s="17"/>
      <c r="T394" s="17"/>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7"/>
      <c r="BT394" s="17"/>
      <c r="BU394" s="17"/>
      <c r="BV394" s="17"/>
      <c r="BW394" s="17"/>
      <c r="BX394" s="18"/>
      <c r="BY394" s="18"/>
      <c r="BZ394" s="18"/>
      <c r="CA394" s="18"/>
      <c r="CB394" s="17"/>
      <c r="CC394" s="17"/>
      <c r="CD394" s="17"/>
      <c r="CE394" s="18"/>
      <c r="CF394" s="18"/>
      <c r="CG394" s="18"/>
      <c r="CH394" s="18"/>
      <c r="CI394" s="18"/>
      <c r="CJ394" s="18"/>
      <c r="CK394" s="18"/>
      <c r="CL394" s="18"/>
      <c r="CM394" s="18"/>
      <c r="CN394" s="18"/>
      <c r="CO394" s="18"/>
      <c r="CP394" s="18"/>
      <c r="CQ394" s="18"/>
      <c r="CR394" s="18"/>
      <c r="CS394" s="18"/>
      <c r="CT394" s="18"/>
      <c r="CU394" s="18"/>
      <c r="CV394" s="18"/>
      <c r="CW394" s="18"/>
      <c r="CX394" s="18"/>
      <c r="CY394" s="37"/>
      <c r="CZ394" s="38"/>
      <c r="DA394" s="18"/>
      <c r="DB394" s="37"/>
      <c r="DC394" s="38"/>
      <c r="DD394" s="18"/>
      <c r="DE394" s="37"/>
      <c r="DF394" s="38"/>
      <c r="DG394" s="18"/>
      <c r="DH394" s="37"/>
      <c r="DI394" s="38"/>
      <c r="DJ394" s="18"/>
      <c r="DK394" s="37"/>
      <c r="DL394" s="38"/>
      <c r="DM394" s="18"/>
      <c r="DN394" s="18"/>
      <c r="DO394" s="18"/>
      <c r="DP394" s="18"/>
      <c r="DQ394" s="18"/>
      <c r="DR394" s="18"/>
      <c r="DS394" s="18"/>
      <c r="DT394" s="18"/>
      <c r="DU394" s="18"/>
      <c r="DV394" s="18"/>
      <c r="DW394" s="18"/>
      <c r="DX394" s="18"/>
      <c r="DY394" s="18"/>
      <c r="DZ394" s="18"/>
    </row>
    <row r="395" spans="1:130" x14ac:dyDescent="0.3">
      <c r="A395" s="18"/>
      <c r="B395" s="18"/>
      <c r="C395" s="18"/>
      <c r="D395" s="18"/>
      <c r="E395" s="18"/>
      <c r="F395" s="18"/>
      <c r="G395" s="18"/>
      <c r="H395" s="18"/>
      <c r="I395" s="18"/>
      <c r="J395" s="18"/>
      <c r="K395" s="18"/>
      <c r="L395" s="18"/>
      <c r="M395" s="18"/>
      <c r="N395" s="17"/>
      <c r="O395" s="17"/>
      <c r="P395" s="17"/>
      <c r="Q395" s="17"/>
      <c r="R395" s="17"/>
      <c r="S395" s="17"/>
      <c r="T395" s="17"/>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7"/>
      <c r="BT395" s="17"/>
      <c r="BU395" s="17"/>
      <c r="BV395" s="17"/>
      <c r="BW395" s="17"/>
      <c r="BX395" s="18"/>
      <c r="BY395" s="18"/>
      <c r="BZ395" s="18"/>
      <c r="CA395" s="18"/>
      <c r="CB395" s="17"/>
      <c r="CC395" s="17"/>
      <c r="CD395" s="17"/>
      <c r="CE395" s="18"/>
      <c r="CF395" s="18"/>
      <c r="CG395" s="18"/>
      <c r="CH395" s="18"/>
      <c r="CI395" s="18"/>
      <c r="CJ395" s="18"/>
      <c r="CK395" s="18"/>
      <c r="CL395" s="18"/>
      <c r="CM395" s="18"/>
      <c r="CN395" s="18"/>
      <c r="CO395" s="18"/>
      <c r="CP395" s="18"/>
      <c r="CQ395" s="18"/>
      <c r="CR395" s="18"/>
      <c r="CS395" s="18"/>
      <c r="CT395" s="18"/>
      <c r="CU395" s="18"/>
      <c r="CV395" s="18"/>
      <c r="CW395" s="18"/>
      <c r="CX395" s="18"/>
      <c r="CY395" s="37"/>
      <c r="CZ395" s="38"/>
      <c r="DA395" s="18"/>
      <c r="DB395" s="37"/>
      <c r="DC395" s="38"/>
      <c r="DD395" s="18"/>
      <c r="DE395" s="37"/>
      <c r="DF395" s="38"/>
      <c r="DG395" s="18"/>
      <c r="DH395" s="37"/>
      <c r="DI395" s="38"/>
      <c r="DJ395" s="18"/>
      <c r="DK395" s="37"/>
      <c r="DL395" s="38"/>
      <c r="DM395" s="18"/>
      <c r="DN395" s="18"/>
      <c r="DO395" s="18"/>
      <c r="DP395" s="18"/>
      <c r="DQ395" s="18"/>
      <c r="DR395" s="18"/>
      <c r="DS395" s="18"/>
      <c r="DT395" s="18"/>
      <c r="DU395" s="18"/>
      <c r="DV395" s="18"/>
      <c r="DW395" s="18"/>
      <c r="DX395" s="18"/>
      <c r="DY395" s="18"/>
      <c r="DZ395" s="18"/>
    </row>
    <row r="396" spans="1:130" x14ac:dyDescent="0.3">
      <c r="A396" s="18"/>
      <c r="B396" s="18"/>
      <c r="C396" s="18"/>
      <c r="D396" s="18"/>
      <c r="E396" s="18"/>
      <c r="F396" s="18"/>
      <c r="G396" s="18"/>
      <c r="H396" s="18"/>
      <c r="I396" s="18"/>
      <c r="J396" s="18"/>
      <c r="K396" s="18"/>
      <c r="L396" s="18"/>
      <c r="M396" s="18"/>
      <c r="N396" s="17"/>
      <c r="O396" s="17"/>
      <c r="P396" s="17"/>
      <c r="Q396" s="17"/>
      <c r="R396" s="17"/>
      <c r="S396" s="17"/>
      <c r="T396" s="17"/>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7"/>
      <c r="BT396" s="17"/>
      <c r="BU396" s="17"/>
      <c r="BV396" s="17"/>
      <c r="BW396" s="17"/>
      <c r="BX396" s="18"/>
      <c r="BY396" s="18"/>
      <c r="BZ396" s="18"/>
      <c r="CA396" s="18"/>
      <c r="CB396" s="17"/>
      <c r="CC396" s="17"/>
      <c r="CD396" s="17"/>
      <c r="CE396" s="18"/>
      <c r="CF396" s="18"/>
      <c r="CG396" s="18"/>
      <c r="CH396" s="18"/>
      <c r="CI396" s="18"/>
      <c r="CJ396" s="18"/>
      <c r="CK396" s="18"/>
      <c r="CL396" s="18"/>
      <c r="CM396" s="18"/>
      <c r="CN396" s="18"/>
      <c r="CO396" s="18"/>
      <c r="CP396" s="18"/>
      <c r="CQ396" s="18"/>
      <c r="CR396" s="18"/>
      <c r="CS396" s="18"/>
      <c r="CT396" s="18"/>
      <c r="CU396" s="18"/>
      <c r="CV396" s="18"/>
      <c r="CW396" s="18"/>
      <c r="CX396" s="18"/>
      <c r="CY396" s="37"/>
      <c r="CZ396" s="38"/>
      <c r="DA396" s="18"/>
      <c r="DB396" s="37"/>
      <c r="DC396" s="38"/>
      <c r="DD396" s="18"/>
      <c r="DE396" s="37"/>
      <c r="DF396" s="38"/>
      <c r="DG396" s="18"/>
      <c r="DH396" s="37"/>
      <c r="DI396" s="38"/>
      <c r="DJ396" s="18"/>
      <c r="DK396" s="37"/>
      <c r="DL396" s="38"/>
      <c r="DM396" s="18"/>
      <c r="DN396" s="18"/>
      <c r="DO396" s="18"/>
      <c r="DP396" s="18"/>
      <c r="DQ396" s="18"/>
      <c r="DR396" s="18"/>
      <c r="DS396" s="18"/>
      <c r="DT396" s="18"/>
      <c r="DU396" s="18"/>
      <c r="DV396" s="18"/>
      <c r="DW396" s="18"/>
      <c r="DX396" s="18"/>
      <c r="DY396" s="18"/>
      <c r="DZ396" s="18"/>
    </row>
    <row r="397" spans="1:130" x14ac:dyDescent="0.3">
      <c r="A397" s="18"/>
      <c r="B397" s="18"/>
      <c r="C397" s="18"/>
      <c r="D397" s="18"/>
      <c r="E397" s="18"/>
      <c r="F397" s="18"/>
      <c r="G397" s="18"/>
      <c r="H397" s="18"/>
      <c r="I397" s="18"/>
      <c r="J397" s="18"/>
      <c r="K397" s="18"/>
      <c r="L397" s="18"/>
      <c r="M397" s="18"/>
      <c r="N397" s="17"/>
      <c r="O397" s="17"/>
      <c r="P397" s="17"/>
      <c r="Q397" s="17"/>
      <c r="R397" s="17"/>
      <c r="S397" s="17"/>
      <c r="T397" s="17"/>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7"/>
      <c r="BT397" s="17"/>
      <c r="BU397" s="17"/>
      <c r="BV397" s="17"/>
      <c r="BW397" s="17"/>
      <c r="BX397" s="18"/>
      <c r="BY397" s="18"/>
      <c r="BZ397" s="18"/>
      <c r="CA397" s="18"/>
      <c r="CB397" s="17"/>
      <c r="CC397" s="17"/>
      <c r="CD397" s="17"/>
      <c r="CE397" s="18"/>
      <c r="CF397" s="18"/>
      <c r="CG397" s="18"/>
      <c r="CH397" s="18"/>
      <c r="CI397" s="18"/>
      <c r="CJ397" s="18"/>
      <c r="CK397" s="18"/>
      <c r="CL397" s="18"/>
      <c r="CM397" s="18"/>
      <c r="CN397" s="18"/>
      <c r="CO397" s="18"/>
      <c r="CP397" s="18"/>
      <c r="CQ397" s="18"/>
      <c r="CR397" s="18"/>
      <c r="CS397" s="18"/>
      <c r="CT397" s="18"/>
      <c r="CU397" s="18"/>
      <c r="CV397" s="18"/>
      <c r="CW397" s="18"/>
      <c r="CX397" s="18"/>
      <c r="CY397" s="37"/>
      <c r="CZ397" s="38"/>
      <c r="DA397" s="18"/>
      <c r="DB397" s="37"/>
      <c r="DC397" s="38"/>
      <c r="DD397" s="18"/>
      <c r="DE397" s="37"/>
      <c r="DF397" s="38"/>
      <c r="DG397" s="18"/>
      <c r="DH397" s="37"/>
      <c r="DI397" s="38"/>
      <c r="DJ397" s="18"/>
      <c r="DK397" s="37"/>
      <c r="DL397" s="38"/>
      <c r="DM397" s="18"/>
      <c r="DN397" s="18"/>
      <c r="DO397" s="18"/>
      <c r="DP397" s="18"/>
      <c r="DQ397" s="18"/>
      <c r="DR397" s="18"/>
      <c r="DS397" s="18"/>
      <c r="DT397" s="18"/>
      <c r="DU397" s="18"/>
      <c r="DV397" s="18"/>
      <c r="DW397" s="18"/>
      <c r="DX397" s="18"/>
      <c r="DY397" s="18"/>
      <c r="DZ397" s="18"/>
    </row>
    <row r="398" spans="1:130" x14ac:dyDescent="0.3">
      <c r="A398" s="18"/>
      <c r="B398" s="18"/>
      <c r="C398" s="18"/>
      <c r="D398" s="18"/>
      <c r="E398" s="18"/>
      <c r="F398" s="18"/>
      <c r="G398" s="18"/>
      <c r="H398" s="18"/>
      <c r="I398" s="18"/>
      <c r="J398" s="18"/>
      <c r="K398" s="18"/>
      <c r="L398" s="18"/>
      <c r="M398" s="18"/>
      <c r="N398" s="17"/>
      <c r="O398" s="17"/>
      <c r="P398" s="17"/>
      <c r="Q398" s="17"/>
      <c r="R398" s="17"/>
      <c r="S398" s="17"/>
      <c r="T398" s="17"/>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7"/>
      <c r="BT398" s="17"/>
      <c r="BU398" s="17"/>
      <c r="BV398" s="17"/>
      <c r="BW398" s="17"/>
      <c r="BX398" s="18"/>
      <c r="BY398" s="18"/>
      <c r="BZ398" s="18"/>
      <c r="CA398" s="18"/>
      <c r="CB398" s="17"/>
      <c r="CC398" s="17"/>
      <c r="CD398" s="17"/>
      <c r="CE398" s="18"/>
      <c r="CF398" s="18"/>
      <c r="CG398" s="18"/>
      <c r="CH398" s="18"/>
      <c r="CI398" s="18"/>
      <c r="CJ398" s="18"/>
      <c r="CK398" s="18"/>
      <c r="CL398" s="18"/>
      <c r="CM398" s="18"/>
      <c r="CN398" s="18"/>
      <c r="CO398" s="18"/>
      <c r="CP398" s="18"/>
      <c r="CQ398" s="18"/>
      <c r="CR398" s="18"/>
      <c r="CS398" s="18"/>
      <c r="CT398" s="18"/>
      <c r="CU398" s="18"/>
      <c r="CV398" s="18"/>
      <c r="CW398" s="18"/>
      <c r="CX398" s="18"/>
      <c r="CY398" s="37"/>
      <c r="CZ398" s="38"/>
      <c r="DA398" s="18"/>
      <c r="DB398" s="37"/>
      <c r="DC398" s="38"/>
      <c r="DD398" s="18"/>
      <c r="DE398" s="37"/>
      <c r="DF398" s="38"/>
      <c r="DG398" s="18"/>
      <c r="DH398" s="37"/>
      <c r="DI398" s="38"/>
      <c r="DJ398" s="18"/>
      <c r="DK398" s="37"/>
      <c r="DL398" s="38"/>
      <c r="DM398" s="18"/>
      <c r="DN398" s="18"/>
      <c r="DO398" s="18"/>
      <c r="DP398" s="18"/>
      <c r="DQ398" s="18"/>
      <c r="DR398" s="18"/>
      <c r="DS398" s="18"/>
      <c r="DT398" s="18"/>
      <c r="DU398" s="18"/>
      <c r="DV398" s="18"/>
      <c r="DW398" s="18"/>
      <c r="DX398" s="18"/>
      <c r="DY398" s="18"/>
      <c r="DZ398" s="18"/>
    </row>
    <row r="399" spans="1:130" x14ac:dyDescent="0.3">
      <c r="A399" s="18"/>
      <c r="B399" s="18"/>
      <c r="C399" s="18"/>
      <c r="D399" s="18"/>
      <c r="E399" s="18"/>
      <c r="F399" s="18"/>
      <c r="G399" s="18"/>
      <c r="H399" s="18"/>
      <c r="I399" s="18"/>
      <c r="J399" s="18"/>
      <c r="K399" s="18"/>
      <c r="L399" s="18"/>
      <c r="M399" s="18"/>
      <c r="N399" s="17"/>
      <c r="O399" s="17"/>
      <c r="P399" s="17"/>
      <c r="Q399" s="17"/>
      <c r="R399" s="17"/>
      <c r="S399" s="17"/>
      <c r="T399" s="17"/>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7"/>
      <c r="BT399" s="17"/>
      <c r="BU399" s="17"/>
      <c r="BV399" s="17"/>
      <c r="BW399" s="17"/>
      <c r="BX399" s="18"/>
      <c r="BY399" s="18"/>
      <c r="BZ399" s="18"/>
      <c r="CA399" s="18"/>
      <c r="CB399" s="17"/>
      <c r="CC399" s="17"/>
      <c r="CD399" s="17"/>
      <c r="CE399" s="18"/>
      <c r="CF399" s="18"/>
      <c r="CG399" s="18"/>
      <c r="CH399" s="18"/>
      <c r="CI399" s="18"/>
      <c r="CJ399" s="18"/>
      <c r="CK399" s="18"/>
      <c r="CL399" s="18"/>
      <c r="CM399" s="18"/>
      <c r="CN399" s="18"/>
      <c r="CO399" s="18"/>
      <c r="CP399" s="18"/>
      <c r="CQ399" s="18"/>
      <c r="CR399" s="18"/>
      <c r="CS399" s="18"/>
      <c r="CT399" s="18"/>
      <c r="CU399" s="18"/>
      <c r="CV399" s="18"/>
      <c r="CW399" s="18"/>
      <c r="CX399" s="18"/>
      <c r="CY399" s="37"/>
      <c r="CZ399" s="38"/>
      <c r="DA399" s="18"/>
      <c r="DB399" s="37"/>
      <c r="DC399" s="38"/>
      <c r="DD399" s="18"/>
      <c r="DE399" s="37"/>
      <c r="DF399" s="38"/>
      <c r="DG399" s="18"/>
      <c r="DH399" s="37"/>
      <c r="DI399" s="38"/>
      <c r="DJ399" s="18"/>
      <c r="DK399" s="37"/>
      <c r="DL399" s="38"/>
      <c r="DM399" s="18"/>
      <c r="DN399" s="18"/>
      <c r="DO399" s="18"/>
      <c r="DP399" s="18"/>
      <c r="DQ399" s="18"/>
      <c r="DR399" s="18"/>
      <c r="DS399" s="18"/>
      <c r="DT399" s="18"/>
      <c r="DU399" s="18"/>
      <c r="DV399" s="18"/>
      <c r="DW399" s="18"/>
      <c r="DX399" s="18"/>
      <c r="DY399" s="18"/>
      <c r="DZ399" s="18"/>
    </row>
    <row r="400" spans="1:130" x14ac:dyDescent="0.3">
      <c r="A400" s="18"/>
      <c r="B400" s="18"/>
      <c r="C400" s="18"/>
      <c r="D400" s="18"/>
      <c r="E400" s="18"/>
      <c r="F400" s="18"/>
      <c r="G400" s="18"/>
      <c r="H400" s="18"/>
      <c r="I400" s="18"/>
      <c r="J400" s="18"/>
      <c r="K400" s="18"/>
      <c r="L400" s="18"/>
      <c r="M400" s="18"/>
      <c r="N400" s="17"/>
      <c r="O400" s="17"/>
      <c r="P400" s="17"/>
      <c r="Q400" s="17"/>
      <c r="R400" s="17"/>
      <c r="S400" s="17"/>
      <c r="T400" s="17"/>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7"/>
      <c r="BT400" s="17"/>
      <c r="BU400" s="17"/>
      <c r="BV400" s="17"/>
      <c r="BW400" s="17"/>
      <c r="BX400" s="18"/>
      <c r="BY400" s="18"/>
      <c r="BZ400" s="18"/>
      <c r="CA400" s="18"/>
      <c r="CB400" s="17"/>
      <c r="CC400" s="17"/>
      <c r="CD400" s="17"/>
      <c r="CE400" s="18"/>
      <c r="CF400" s="18"/>
      <c r="CG400" s="18"/>
      <c r="CH400" s="18"/>
      <c r="CI400" s="18"/>
      <c r="CJ400" s="18"/>
      <c r="CK400" s="18"/>
      <c r="CL400" s="18"/>
      <c r="CM400" s="18"/>
      <c r="CN400" s="18"/>
      <c r="CO400" s="18"/>
      <c r="CP400" s="18"/>
      <c r="CQ400" s="18"/>
      <c r="CR400" s="18"/>
      <c r="CS400" s="18"/>
      <c r="CT400" s="18"/>
      <c r="CU400" s="18"/>
      <c r="CV400" s="18"/>
      <c r="CW400" s="18"/>
      <c r="CX400" s="18"/>
      <c r="CY400" s="37"/>
      <c r="CZ400" s="38"/>
      <c r="DA400" s="18"/>
      <c r="DB400" s="37"/>
      <c r="DC400" s="38"/>
      <c r="DD400" s="18"/>
      <c r="DE400" s="37"/>
      <c r="DF400" s="38"/>
      <c r="DG400" s="18"/>
      <c r="DH400" s="37"/>
      <c r="DI400" s="38"/>
      <c r="DJ400" s="18"/>
      <c r="DK400" s="37"/>
      <c r="DL400" s="38"/>
      <c r="DM400" s="18"/>
      <c r="DN400" s="18"/>
      <c r="DO400" s="18"/>
      <c r="DP400" s="18"/>
      <c r="DQ400" s="18"/>
      <c r="DR400" s="18"/>
      <c r="DS400" s="18"/>
      <c r="DT400" s="18"/>
      <c r="DU400" s="18"/>
      <c r="DV400" s="18"/>
      <c r="DW400" s="18"/>
      <c r="DX400" s="18"/>
      <c r="DY400" s="18"/>
      <c r="DZ400" s="18"/>
    </row>
    <row r="401" spans="1:130" x14ac:dyDescent="0.3">
      <c r="A401" s="18"/>
      <c r="B401" s="18"/>
      <c r="C401" s="18"/>
      <c r="D401" s="18"/>
      <c r="E401" s="18"/>
      <c r="F401" s="18"/>
      <c r="G401" s="18"/>
      <c r="H401" s="18"/>
      <c r="I401" s="18"/>
      <c r="J401" s="18"/>
      <c r="K401" s="18"/>
      <c r="L401" s="18"/>
      <c r="M401" s="18"/>
      <c r="N401" s="17"/>
      <c r="O401" s="17"/>
      <c r="P401" s="17"/>
      <c r="Q401" s="17"/>
      <c r="R401" s="17"/>
      <c r="S401" s="17"/>
      <c r="T401" s="17"/>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7"/>
      <c r="BT401" s="17"/>
      <c r="BU401" s="17"/>
      <c r="BV401" s="17"/>
      <c r="BW401" s="17"/>
      <c r="BX401" s="18"/>
      <c r="BY401" s="18"/>
      <c r="BZ401" s="18"/>
      <c r="CA401" s="18"/>
      <c r="CB401" s="17"/>
      <c r="CC401" s="17"/>
      <c r="CD401" s="17"/>
      <c r="CE401" s="18"/>
      <c r="CF401" s="18"/>
      <c r="CG401" s="18"/>
      <c r="CH401" s="18"/>
      <c r="CI401" s="18"/>
      <c r="CJ401" s="18"/>
      <c r="CK401" s="18"/>
      <c r="CL401" s="18"/>
      <c r="CM401" s="18"/>
      <c r="CN401" s="18"/>
      <c r="CO401" s="18"/>
      <c r="CP401" s="18"/>
      <c r="CQ401" s="18"/>
      <c r="CR401" s="18"/>
      <c r="CS401" s="18"/>
      <c r="CT401" s="18"/>
      <c r="CU401" s="18"/>
      <c r="CV401" s="18"/>
      <c r="CW401" s="18"/>
      <c r="CX401" s="18"/>
      <c r="CY401" s="37"/>
      <c r="CZ401" s="38"/>
      <c r="DA401" s="18"/>
      <c r="DB401" s="37"/>
      <c r="DC401" s="38"/>
      <c r="DD401" s="18"/>
      <c r="DE401" s="37"/>
      <c r="DF401" s="38"/>
      <c r="DG401" s="18"/>
      <c r="DH401" s="37"/>
      <c r="DI401" s="38"/>
      <c r="DJ401" s="18"/>
      <c r="DK401" s="37"/>
      <c r="DL401" s="38"/>
      <c r="DM401" s="18"/>
      <c r="DN401" s="18"/>
      <c r="DO401" s="18"/>
      <c r="DP401" s="18"/>
      <c r="DQ401" s="18"/>
      <c r="DR401" s="18"/>
      <c r="DS401" s="18"/>
      <c r="DT401" s="18"/>
      <c r="DU401" s="18"/>
      <c r="DV401" s="18"/>
      <c r="DW401" s="18"/>
      <c r="DX401" s="18"/>
      <c r="DY401" s="18"/>
      <c r="DZ401" s="18"/>
    </row>
    <row r="402" spans="1:130" x14ac:dyDescent="0.3">
      <c r="A402" s="18"/>
      <c r="B402" s="18"/>
      <c r="C402" s="18"/>
      <c r="D402" s="18"/>
      <c r="E402" s="18"/>
      <c r="F402" s="18"/>
      <c r="G402" s="18"/>
      <c r="H402" s="18"/>
      <c r="I402" s="18"/>
      <c r="J402" s="18"/>
      <c r="K402" s="18"/>
      <c r="L402" s="18"/>
      <c r="M402" s="18"/>
      <c r="N402" s="17"/>
      <c r="O402" s="17"/>
      <c r="P402" s="17"/>
      <c r="Q402" s="17"/>
      <c r="R402" s="17"/>
      <c r="S402" s="17"/>
      <c r="T402" s="17"/>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7"/>
      <c r="BT402" s="17"/>
      <c r="BU402" s="17"/>
      <c r="BV402" s="17"/>
      <c r="BW402" s="17"/>
      <c r="BX402" s="18"/>
      <c r="BY402" s="18"/>
      <c r="BZ402" s="18"/>
      <c r="CA402" s="18"/>
      <c r="CB402" s="17"/>
      <c r="CC402" s="17"/>
      <c r="CD402" s="17"/>
      <c r="CE402" s="18"/>
      <c r="CF402" s="18"/>
      <c r="CG402" s="18"/>
      <c r="CH402" s="18"/>
      <c r="CI402" s="18"/>
      <c r="CJ402" s="18"/>
      <c r="CK402" s="18"/>
      <c r="CL402" s="18"/>
      <c r="CM402" s="18"/>
      <c r="CN402" s="18"/>
      <c r="CO402" s="18"/>
      <c r="CP402" s="18"/>
      <c r="CQ402" s="18"/>
      <c r="CR402" s="18"/>
      <c r="CS402" s="18"/>
      <c r="CT402" s="18"/>
      <c r="CU402" s="18"/>
      <c r="CV402" s="18"/>
      <c r="CW402" s="18"/>
      <c r="CX402" s="18"/>
      <c r="CY402" s="37"/>
      <c r="CZ402" s="38"/>
      <c r="DA402" s="18"/>
      <c r="DB402" s="37"/>
      <c r="DC402" s="38"/>
      <c r="DD402" s="18"/>
      <c r="DE402" s="37"/>
      <c r="DF402" s="38"/>
      <c r="DG402" s="18"/>
      <c r="DH402" s="37"/>
      <c r="DI402" s="38"/>
      <c r="DJ402" s="18"/>
      <c r="DK402" s="37"/>
      <c r="DL402" s="38"/>
      <c r="DM402" s="18"/>
      <c r="DN402" s="18"/>
      <c r="DO402" s="18"/>
      <c r="DP402" s="18"/>
      <c r="DQ402" s="18"/>
      <c r="DR402" s="18"/>
      <c r="DS402" s="18"/>
      <c r="DT402" s="18"/>
      <c r="DU402" s="18"/>
      <c r="DV402" s="18"/>
      <c r="DW402" s="18"/>
      <c r="DX402" s="18"/>
      <c r="DY402" s="18"/>
      <c r="DZ402" s="18"/>
    </row>
    <row r="403" spans="1:130" x14ac:dyDescent="0.3">
      <c r="A403" s="18"/>
      <c r="B403" s="18"/>
      <c r="C403" s="18"/>
      <c r="D403" s="18"/>
      <c r="E403" s="18"/>
      <c r="F403" s="18"/>
      <c r="G403" s="18"/>
      <c r="H403" s="18"/>
      <c r="I403" s="18"/>
      <c r="J403" s="18"/>
      <c r="K403" s="18"/>
      <c r="L403" s="18"/>
      <c r="M403" s="18"/>
      <c r="N403" s="17"/>
      <c r="O403" s="17"/>
      <c r="P403" s="17"/>
      <c r="Q403" s="17"/>
      <c r="R403" s="17"/>
      <c r="S403" s="17"/>
      <c r="T403" s="17"/>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7"/>
      <c r="BT403" s="17"/>
      <c r="BU403" s="17"/>
      <c r="BV403" s="17"/>
      <c r="BW403" s="17"/>
      <c r="BX403" s="18"/>
      <c r="BY403" s="18"/>
      <c r="BZ403" s="18"/>
      <c r="CA403" s="18"/>
      <c r="CB403" s="17"/>
      <c r="CC403" s="17"/>
      <c r="CD403" s="17"/>
      <c r="CE403" s="18"/>
      <c r="CF403" s="18"/>
      <c r="CG403" s="18"/>
      <c r="CH403" s="18"/>
      <c r="CI403" s="18"/>
      <c r="CJ403" s="18"/>
      <c r="CK403" s="18"/>
      <c r="CL403" s="18"/>
      <c r="CM403" s="18"/>
      <c r="CN403" s="18"/>
      <c r="CO403" s="18"/>
      <c r="CP403" s="18"/>
      <c r="CQ403" s="18"/>
      <c r="CR403" s="18"/>
      <c r="CS403" s="18"/>
      <c r="CT403" s="18"/>
      <c r="CU403" s="18"/>
      <c r="CV403" s="18"/>
      <c r="CW403" s="18"/>
      <c r="CX403" s="18"/>
      <c r="CY403" s="18"/>
      <c r="CZ403" s="18"/>
      <c r="DA403" s="18"/>
      <c r="DB403" s="18"/>
      <c r="DC403" s="18"/>
      <c r="DD403" s="18"/>
      <c r="DE403" s="18"/>
      <c r="DF403" s="18"/>
      <c r="DG403" s="18"/>
      <c r="DH403" s="18"/>
      <c r="DI403" s="18"/>
      <c r="DJ403" s="18"/>
      <c r="DK403" s="18"/>
      <c r="DL403" s="18"/>
      <c r="DM403" s="18"/>
      <c r="DN403" s="18"/>
      <c r="DO403" s="18"/>
      <c r="DP403" s="18"/>
      <c r="DQ403" s="18"/>
      <c r="DR403" s="18"/>
      <c r="DS403" s="18"/>
      <c r="DT403" s="18"/>
      <c r="DU403" s="18"/>
      <c r="DV403" s="18"/>
      <c r="DW403" s="18"/>
      <c r="DX403" s="18"/>
      <c r="DY403" s="18"/>
      <c r="DZ403" s="18"/>
    </row>
    <row r="404" spans="1:130" x14ac:dyDescent="0.3">
      <c r="A404" s="18"/>
      <c r="B404" s="18"/>
      <c r="C404" s="18"/>
      <c r="D404" s="18"/>
      <c r="E404" s="18"/>
      <c r="F404" s="18"/>
      <c r="G404" s="18"/>
      <c r="H404" s="18"/>
      <c r="I404" s="18"/>
      <c r="J404" s="18"/>
      <c r="K404" s="18"/>
      <c r="L404" s="18"/>
      <c r="M404" s="18"/>
      <c r="N404" s="17"/>
      <c r="O404" s="17"/>
      <c r="P404" s="17"/>
      <c r="Q404" s="17"/>
      <c r="R404" s="17"/>
      <c r="S404" s="17"/>
      <c r="T404" s="17"/>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7"/>
      <c r="BT404" s="17"/>
      <c r="BU404" s="17"/>
      <c r="BV404" s="17"/>
      <c r="BW404" s="17"/>
      <c r="BX404" s="18"/>
      <c r="BY404" s="18"/>
      <c r="BZ404" s="18"/>
      <c r="CA404" s="18"/>
      <c r="CB404" s="17"/>
      <c r="CC404" s="17"/>
      <c r="CD404" s="17"/>
      <c r="CE404" s="18"/>
      <c r="CF404" s="18"/>
      <c r="CG404" s="18"/>
      <c r="CH404" s="18"/>
      <c r="CI404" s="18"/>
      <c r="CJ404" s="18"/>
      <c r="CK404" s="18"/>
      <c r="CL404" s="18"/>
      <c r="CM404" s="18"/>
      <c r="CN404" s="18"/>
      <c r="CO404" s="18"/>
      <c r="CP404" s="18"/>
      <c r="CQ404" s="18"/>
      <c r="CR404" s="18"/>
      <c r="CS404" s="18"/>
      <c r="CT404" s="18"/>
      <c r="CU404" s="18"/>
      <c r="CV404" s="18"/>
      <c r="CW404" s="18"/>
      <c r="CX404" s="18"/>
      <c r="CY404" s="18"/>
      <c r="CZ404" s="18"/>
      <c r="DA404" s="18"/>
      <c r="DB404" s="18"/>
      <c r="DC404" s="18"/>
      <c r="DD404" s="18"/>
      <c r="DE404" s="18"/>
      <c r="DF404" s="18"/>
      <c r="DG404" s="18"/>
      <c r="DH404" s="18"/>
      <c r="DI404" s="18"/>
      <c r="DJ404" s="18"/>
      <c r="DK404" s="18"/>
      <c r="DL404" s="18"/>
      <c r="DM404" s="18"/>
      <c r="DN404" s="18"/>
      <c r="DO404" s="18"/>
      <c r="DP404" s="18"/>
      <c r="DQ404" s="18"/>
      <c r="DR404" s="18"/>
      <c r="DS404" s="18"/>
      <c r="DT404" s="18"/>
      <c r="DU404" s="18"/>
      <c r="DV404" s="18"/>
      <c r="DW404" s="18"/>
      <c r="DX404" s="18"/>
      <c r="DY404" s="18"/>
      <c r="DZ404" s="18"/>
    </row>
    <row r="405" spans="1:130" x14ac:dyDescent="0.3">
      <c r="A405" s="18"/>
      <c r="B405" s="18"/>
      <c r="C405" s="18"/>
      <c r="D405" s="18"/>
      <c r="E405" s="18"/>
      <c r="F405" s="18"/>
      <c r="G405" s="18"/>
      <c r="H405" s="18"/>
      <c r="I405" s="18"/>
      <c r="J405" s="18"/>
      <c r="K405" s="18"/>
      <c r="L405" s="18"/>
      <c r="M405" s="18"/>
      <c r="N405" s="17"/>
      <c r="O405" s="17"/>
      <c r="P405" s="17"/>
      <c r="Q405" s="17"/>
      <c r="R405" s="17"/>
      <c r="S405" s="17"/>
      <c r="T405" s="17"/>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7"/>
      <c r="BT405" s="17"/>
      <c r="BU405" s="17"/>
      <c r="BV405" s="17"/>
      <c r="BW405" s="17"/>
      <c r="BX405" s="18"/>
      <c r="BY405" s="18"/>
      <c r="BZ405" s="18"/>
      <c r="CA405" s="18"/>
      <c r="CB405" s="17"/>
      <c r="CC405" s="17"/>
      <c r="CD405" s="17"/>
      <c r="CE405" s="18"/>
      <c r="CF405" s="18"/>
      <c r="CG405" s="18"/>
      <c r="CH405" s="18"/>
      <c r="CI405" s="18"/>
      <c r="CJ405" s="18"/>
      <c r="CK405" s="18"/>
      <c r="CL405" s="18"/>
      <c r="CM405" s="18"/>
      <c r="CN405" s="18"/>
      <c r="CO405" s="18"/>
      <c r="CP405" s="18"/>
      <c r="CQ405" s="18"/>
      <c r="CR405" s="18"/>
      <c r="CS405" s="18"/>
      <c r="CT405" s="18"/>
      <c r="CU405" s="18"/>
      <c r="CV405" s="18"/>
      <c r="CW405" s="18"/>
      <c r="CX405" s="18"/>
      <c r="CY405" s="18"/>
      <c r="CZ405" s="18"/>
      <c r="DA405" s="18"/>
      <c r="DB405" s="18"/>
      <c r="DC405" s="18"/>
      <c r="DD405" s="18"/>
      <c r="DE405" s="18"/>
      <c r="DF405" s="18"/>
      <c r="DG405" s="18"/>
      <c r="DH405" s="18"/>
      <c r="DI405" s="18"/>
      <c r="DJ405" s="18"/>
      <c r="DK405" s="18"/>
      <c r="DL405" s="18"/>
      <c r="DM405" s="18"/>
      <c r="DN405" s="18"/>
      <c r="DO405" s="18"/>
      <c r="DP405" s="18"/>
      <c r="DQ405" s="18"/>
      <c r="DR405" s="18"/>
      <c r="DS405" s="18"/>
      <c r="DT405" s="18"/>
      <c r="DU405" s="18"/>
      <c r="DV405" s="18"/>
      <c r="DW405" s="18"/>
      <c r="DX405" s="18"/>
      <c r="DY405" s="18"/>
      <c r="DZ405" s="18"/>
    </row>
    <row r="406" spans="1:130" x14ac:dyDescent="0.3">
      <c r="A406" s="18"/>
      <c r="B406" s="18"/>
      <c r="C406" s="18"/>
      <c r="D406" s="18"/>
      <c r="E406" s="18"/>
      <c r="F406" s="18"/>
      <c r="G406" s="18"/>
      <c r="H406" s="18"/>
      <c r="I406" s="18"/>
      <c r="J406" s="18"/>
      <c r="K406" s="18"/>
      <c r="L406" s="18"/>
      <c r="M406" s="18"/>
      <c r="N406" s="17"/>
      <c r="O406" s="17"/>
      <c r="P406" s="17"/>
      <c r="Q406" s="17"/>
      <c r="R406" s="17"/>
      <c r="S406" s="17"/>
      <c r="T406" s="17"/>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7"/>
      <c r="BT406" s="17"/>
      <c r="BU406" s="17"/>
      <c r="BV406" s="17"/>
      <c r="BW406" s="17"/>
      <c r="BX406" s="18"/>
      <c r="BY406" s="18"/>
      <c r="BZ406" s="18"/>
      <c r="CA406" s="18"/>
      <c r="CB406" s="17"/>
      <c r="CC406" s="17"/>
      <c r="CD406" s="17"/>
      <c r="CE406" s="18"/>
      <c r="CF406" s="18"/>
      <c r="CG406" s="18"/>
      <c r="CH406" s="18"/>
      <c r="CI406" s="18"/>
      <c r="CJ406" s="18"/>
      <c r="CK406" s="18"/>
      <c r="CL406" s="18"/>
      <c r="CM406" s="18"/>
      <c r="CN406" s="18"/>
      <c r="CO406" s="18"/>
      <c r="CP406" s="18"/>
      <c r="CQ406" s="18"/>
      <c r="CR406" s="18"/>
      <c r="CS406" s="18"/>
      <c r="CT406" s="18"/>
      <c r="CU406" s="18"/>
      <c r="CV406" s="18"/>
      <c r="CW406" s="18"/>
      <c r="CX406" s="18"/>
      <c r="CY406" s="18"/>
      <c r="CZ406" s="18"/>
      <c r="DA406" s="18"/>
      <c r="DB406" s="18"/>
      <c r="DC406" s="18"/>
      <c r="DD406" s="18"/>
      <c r="DE406" s="18"/>
      <c r="DF406" s="18"/>
      <c r="DG406" s="18"/>
      <c r="DH406" s="18"/>
      <c r="DI406" s="18"/>
      <c r="DJ406" s="18"/>
      <c r="DK406" s="18"/>
      <c r="DL406" s="18"/>
      <c r="DM406" s="18"/>
      <c r="DN406" s="18"/>
      <c r="DO406" s="18"/>
      <c r="DP406" s="18"/>
      <c r="DQ406" s="18"/>
      <c r="DR406" s="18"/>
      <c r="DS406" s="18"/>
      <c r="DT406" s="18"/>
      <c r="DU406" s="18"/>
      <c r="DV406" s="18"/>
      <c r="DW406" s="18"/>
      <c r="DX406" s="18"/>
      <c r="DY406" s="18"/>
      <c r="DZ406" s="18"/>
    </row>
    <row r="407" spans="1:130" x14ac:dyDescent="0.3">
      <c r="A407" s="18"/>
      <c r="B407" s="18"/>
      <c r="C407" s="18"/>
      <c r="D407" s="18"/>
      <c r="E407" s="18"/>
      <c r="F407" s="18"/>
      <c r="G407" s="18"/>
      <c r="H407" s="18"/>
      <c r="I407" s="18"/>
      <c r="J407" s="18"/>
      <c r="K407" s="18"/>
      <c r="L407" s="18"/>
      <c r="M407" s="18"/>
      <c r="N407" s="17"/>
      <c r="O407" s="17"/>
      <c r="P407" s="17"/>
      <c r="Q407" s="17"/>
      <c r="R407" s="17"/>
      <c r="S407" s="17"/>
      <c r="T407" s="17"/>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7"/>
      <c r="BT407" s="17"/>
      <c r="BU407" s="17"/>
      <c r="BV407" s="17"/>
      <c r="BW407" s="17"/>
      <c r="BX407" s="18"/>
      <c r="BY407" s="18"/>
      <c r="BZ407" s="18"/>
      <c r="CA407" s="18"/>
      <c r="CB407" s="17"/>
      <c r="CC407" s="17"/>
      <c r="CD407" s="17"/>
      <c r="CE407" s="18"/>
      <c r="CF407" s="18"/>
      <c r="CG407" s="18"/>
      <c r="CH407" s="18"/>
      <c r="CI407" s="18"/>
      <c r="CJ407" s="18"/>
      <c r="CK407" s="18"/>
      <c r="CL407" s="18"/>
      <c r="CM407" s="18"/>
      <c r="CN407" s="18"/>
      <c r="CO407" s="18"/>
      <c r="CP407" s="18"/>
      <c r="CQ407" s="18"/>
      <c r="CR407" s="18"/>
      <c r="CS407" s="18"/>
      <c r="CT407" s="18"/>
      <c r="CU407" s="18"/>
      <c r="CV407" s="18"/>
      <c r="CW407" s="18"/>
      <c r="CX407" s="18"/>
      <c r="CY407" s="18"/>
      <c r="CZ407" s="18"/>
      <c r="DA407" s="18"/>
      <c r="DB407" s="18"/>
      <c r="DC407" s="18"/>
      <c r="DD407" s="18"/>
      <c r="DE407" s="18"/>
      <c r="DF407" s="18"/>
      <c r="DG407" s="18"/>
      <c r="DH407" s="18"/>
      <c r="DI407" s="18"/>
      <c r="DJ407" s="18"/>
      <c r="DK407" s="18"/>
      <c r="DL407" s="18"/>
      <c r="DM407" s="18"/>
      <c r="DN407" s="18"/>
      <c r="DO407" s="18"/>
      <c r="DP407" s="18"/>
      <c r="DQ407" s="18"/>
      <c r="DR407" s="18"/>
      <c r="DS407" s="18"/>
      <c r="DT407" s="18"/>
      <c r="DU407" s="18"/>
      <c r="DV407" s="18"/>
      <c r="DW407" s="18"/>
      <c r="DX407" s="18"/>
      <c r="DY407" s="18"/>
      <c r="DZ407" s="18"/>
    </row>
    <row r="408" spans="1:130" x14ac:dyDescent="0.3">
      <c r="A408" s="18"/>
      <c r="B408" s="18"/>
      <c r="C408" s="18"/>
      <c r="D408" s="18"/>
      <c r="E408" s="18"/>
      <c r="F408" s="18"/>
      <c r="G408" s="18"/>
      <c r="H408" s="18"/>
      <c r="I408" s="18"/>
      <c r="J408" s="18"/>
      <c r="K408" s="18"/>
      <c r="L408" s="18"/>
      <c r="M408" s="18"/>
      <c r="N408" s="17"/>
      <c r="O408" s="17"/>
      <c r="P408" s="17"/>
      <c r="Q408" s="17"/>
      <c r="R408" s="17"/>
      <c r="S408" s="17"/>
      <c r="T408" s="17"/>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7"/>
      <c r="BT408" s="17"/>
      <c r="BU408" s="17"/>
      <c r="BV408" s="17"/>
      <c r="BW408" s="17"/>
      <c r="BX408" s="18"/>
      <c r="BY408" s="18"/>
      <c r="BZ408" s="18"/>
      <c r="CA408" s="18"/>
      <c r="CB408" s="17"/>
      <c r="CC408" s="17"/>
      <c r="CD408" s="17"/>
      <c r="CE408" s="18"/>
      <c r="CF408" s="18"/>
      <c r="CG408" s="18"/>
      <c r="CH408" s="18"/>
      <c r="CI408" s="18"/>
      <c r="CJ408" s="18"/>
      <c r="CK408" s="18"/>
      <c r="CL408" s="18"/>
      <c r="CM408" s="18"/>
      <c r="CN408" s="18"/>
      <c r="CO408" s="18"/>
      <c r="CP408" s="18"/>
      <c r="CQ408" s="18"/>
      <c r="CR408" s="18"/>
      <c r="CS408" s="18"/>
      <c r="CT408" s="18"/>
      <c r="CU408" s="18"/>
      <c r="CV408" s="18"/>
      <c r="CW408" s="18"/>
      <c r="CX408" s="18"/>
      <c r="CY408" s="18"/>
      <c r="CZ408" s="18"/>
      <c r="DA408" s="18"/>
      <c r="DB408" s="18"/>
      <c r="DC408" s="18"/>
      <c r="DD408" s="18"/>
      <c r="DE408" s="18"/>
      <c r="DF408" s="18"/>
      <c r="DG408" s="18"/>
      <c r="DH408" s="18"/>
      <c r="DI408" s="18"/>
      <c r="DJ408" s="18"/>
      <c r="DK408" s="18"/>
      <c r="DL408" s="18"/>
      <c r="DM408" s="18"/>
      <c r="DN408" s="18"/>
      <c r="DO408" s="18"/>
      <c r="DP408" s="18"/>
      <c r="DQ408" s="18"/>
      <c r="DR408" s="18"/>
      <c r="DS408" s="18"/>
      <c r="DT408" s="18"/>
      <c r="DU408" s="18"/>
      <c r="DV408" s="18"/>
      <c r="DW408" s="18"/>
      <c r="DX408" s="18"/>
      <c r="DY408" s="18"/>
      <c r="DZ408" s="18"/>
    </row>
    <row r="409" spans="1:130" x14ac:dyDescent="0.3">
      <c r="A409" s="18"/>
      <c r="B409" s="18"/>
      <c r="C409" s="18"/>
      <c r="D409" s="18"/>
      <c r="E409" s="18"/>
      <c r="F409" s="18"/>
      <c r="G409" s="18"/>
      <c r="H409" s="18"/>
      <c r="I409" s="18"/>
      <c r="J409" s="18"/>
      <c r="K409" s="18"/>
      <c r="L409" s="18"/>
      <c r="M409" s="18"/>
      <c r="N409" s="17"/>
      <c r="O409" s="17"/>
      <c r="P409" s="17"/>
      <c r="Q409" s="17"/>
      <c r="R409" s="17"/>
      <c r="S409" s="17"/>
      <c r="T409" s="17"/>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7"/>
      <c r="BT409" s="17"/>
      <c r="BU409" s="17"/>
      <c r="BV409" s="17"/>
      <c r="BW409" s="17"/>
      <c r="BX409" s="18"/>
      <c r="BY409" s="18"/>
      <c r="BZ409" s="18"/>
      <c r="CA409" s="18"/>
      <c r="CB409" s="17"/>
      <c r="CC409" s="17"/>
      <c r="CD409" s="17"/>
      <c r="CE409" s="18"/>
      <c r="CF409" s="18"/>
      <c r="CG409" s="18"/>
      <c r="CH409" s="18"/>
      <c r="CI409" s="18"/>
      <c r="CJ409" s="18"/>
      <c r="CK409" s="18"/>
      <c r="CL409" s="18"/>
      <c r="CM409" s="18"/>
      <c r="CN409" s="18"/>
      <c r="CO409" s="18"/>
      <c r="CP409" s="18"/>
      <c r="CQ409" s="18"/>
      <c r="CR409" s="18"/>
      <c r="CS409" s="18"/>
      <c r="CT409" s="18"/>
      <c r="CU409" s="18"/>
      <c r="CV409" s="18"/>
      <c r="CW409" s="18"/>
      <c r="CX409" s="18"/>
      <c r="CY409" s="18"/>
      <c r="CZ409" s="18"/>
      <c r="DA409" s="18"/>
      <c r="DB409" s="18"/>
      <c r="DC409" s="18"/>
      <c r="DD409" s="18"/>
      <c r="DE409" s="18"/>
      <c r="DF409" s="18"/>
      <c r="DG409" s="18"/>
      <c r="DH409" s="18"/>
      <c r="DI409" s="18"/>
      <c r="DJ409" s="18"/>
      <c r="DK409" s="18"/>
      <c r="DL409" s="18"/>
      <c r="DM409" s="18"/>
      <c r="DN409" s="18"/>
      <c r="DO409" s="18"/>
      <c r="DP409" s="18"/>
      <c r="DQ409" s="18"/>
      <c r="DR409" s="18"/>
      <c r="DS409" s="18"/>
      <c r="DT409" s="18"/>
      <c r="DU409" s="18"/>
      <c r="DV409" s="18"/>
      <c r="DW409" s="18"/>
      <c r="DX409" s="18"/>
      <c r="DY409" s="18"/>
      <c r="DZ409" s="18"/>
    </row>
    <row r="410" spans="1:130" x14ac:dyDescent="0.3">
      <c r="A410" s="18"/>
      <c r="B410" s="18"/>
      <c r="C410" s="18"/>
      <c r="D410" s="18"/>
      <c r="E410" s="18"/>
      <c r="F410" s="18"/>
      <c r="G410" s="18"/>
      <c r="H410" s="18"/>
      <c r="I410" s="18"/>
      <c r="J410" s="18"/>
      <c r="K410" s="18"/>
      <c r="L410" s="18"/>
      <c r="M410" s="18"/>
      <c r="N410" s="17"/>
      <c r="O410" s="17"/>
      <c r="P410" s="17"/>
      <c r="Q410" s="17"/>
      <c r="R410" s="17"/>
      <c r="S410" s="17"/>
      <c r="T410" s="17"/>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7"/>
      <c r="BT410" s="17"/>
      <c r="BU410" s="17"/>
      <c r="BV410" s="17"/>
      <c r="BW410" s="17"/>
      <c r="BX410" s="18"/>
      <c r="BY410" s="18"/>
      <c r="BZ410" s="18"/>
      <c r="CA410" s="18"/>
      <c r="CB410" s="17"/>
      <c r="CC410" s="17"/>
      <c r="CD410" s="17"/>
      <c r="CE410" s="18"/>
      <c r="CF410" s="18"/>
      <c r="CG410" s="18"/>
      <c r="CH410" s="18"/>
      <c r="CI410" s="18"/>
      <c r="CJ410" s="18"/>
      <c r="CK410" s="18"/>
      <c r="CL410" s="18"/>
      <c r="CM410" s="18"/>
      <c r="CN410" s="18"/>
      <c r="CO410" s="18"/>
      <c r="CP410" s="18"/>
      <c r="CQ410" s="18"/>
      <c r="CR410" s="18"/>
      <c r="CS410" s="18"/>
      <c r="CT410" s="18"/>
      <c r="CU410" s="18"/>
      <c r="CV410" s="18"/>
      <c r="CW410" s="18"/>
      <c r="CX410" s="18"/>
      <c r="CY410" s="18"/>
      <c r="CZ410" s="18"/>
      <c r="DA410" s="18"/>
      <c r="DB410" s="18"/>
      <c r="DC410" s="18"/>
      <c r="DD410" s="18"/>
      <c r="DE410" s="18"/>
      <c r="DF410" s="18"/>
      <c r="DG410" s="18"/>
      <c r="DH410" s="18"/>
      <c r="DI410" s="18"/>
      <c r="DJ410" s="18"/>
      <c r="DK410" s="18"/>
      <c r="DL410" s="18"/>
      <c r="DM410" s="18"/>
      <c r="DN410" s="18"/>
      <c r="DO410" s="18"/>
      <c r="DP410" s="18"/>
      <c r="DQ410" s="18"/>
      <c r="DR410" s="18"/>
      <c r="DS410" s="18"/>
      <c r="DT410" s="18"/>
      <c r="DU410" s="18"/>
      <c r="DV410" s="18"/>
      <c r="DW410" s="18"/>
      <c r="DX410" s="18"/>
      <c r="DY410" s="18"/>
      <c r="DZ410" s="18"/>
    </row>
    <row r="411" spans="1:130" x14ac:dyDescent="0.3">
      <c r="A411" s="18"/>
      <c r="B411" s="18"/>
      <c r="C411" s="18"/>
      <c r="D411" s="18"/>
      <c r="E411" s="18"/>
      <c r="F411" s="18"/>
      <c r="G411" s="18"/>
      <c r="H411" s="18"/>
      <c r="I411" s="18"/>
      <c r="J411" s="18"/>
      <c r="K411" s="18"/>
      <c r="L411" s="18"/>
      <c r="M411" s="18"/>
      <c r="N411" s="17"/>
      <c r="O411" s="17"/>
      <c r="P411" s="17"/>
      <c r="Q411" s="17"/>
      <c r="R411" s="17"/>
      <c r="S411" s="17"/>
      <c r="T411" s="17"/>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7"/>
      <c r="BT411" s="17"/>
      <c r="BU411" s="17"/>
      <c r="BV411" s="17"/>
      <c r="BW411" s="17"/>
      <c r="BX411" s="18"/>
      <c r="BY411" s="18"/>
      <c r="BZ411" s="18"/>
      <c r="CA411" s="18"/>
      <c r="CB411" s="17"/>
      <c r="CC411" s="17"/>
      <c r="CD411" s="17"/>
      <c r="CE411" s="18"/>
      <c r="CF411" s="18"/>
      <c r="CG411" s="18"/>
      <c r="CH411" s="18"/>
      <c r="CI411" s="18"/>
      <c r="CJ411" s="18"/>
      <c r="CK411" s="18"/>
      <c r="CL411" s="18"/>
      <c r="CM411" s="18"/>
      <c r="CN411" s="18"/>
      <c r="CO411" s="18"/>
      <c r="CP411" s="18"/>
      <c r="CQ411" s="18"/>
      <c r="CR411" s="18"/>
      <c r="CS411" s="18"/>
      <c r="CT411" s="18"/>
      <c r="CU411" s="18"/>
      <c r="CV411" s="18"/>
      <c r="CW411" s="18"/>
      <c r="CX411" s="18"/>
      <c r="CY411" s="18"/>
      <c r="CZ411" s="18"/>
      <c r="DA411" s="18"/>
      <c r="DB411" s="18"/>
      <c r="DC411" s="18"/>
      <c r="DD411" s="18"/>
      <c r="DE411" s="18"/>
      <c r="DF411" s="18"/>
      <c r="DG411" s="18"/>
      <c r="DH411" s="18"/>
      <c r="DI411" s="18"/>
      <c r="DJ411" s="18"/>
      <c r="DK411" s="18"/>
      <c r="DL411" s="18"/>
      <c r="DM411" s="18"/>
      <c r="DN411" s="18"/>
      <c r="DO411" s="18"/>
      <c r="DP411" s="18"/>
      <c r="DQ411" s="18"/>
      <c r="DR411" s="18"/>
      <c r="DS411" s="18"/>
      <c r="DT411" s="18"/>
      <c r="DU411" s="18"/>
      <c r="DV411" s="18"/>
      <c r="DW411" s="18"/>
      <c r="DX411" s="18"/>
      <c r="DY411" s="18"/>
      <c r="DZ411" s="18"/>
    </row>
    <row r="412" spans="1:130" x14ac:dyDescent="0.3">
      <c r="A412" s="18"/>
      <c r="B412" s="18"/>
      <c r="C412" s="18"/>
      <c r="D412" s="18"/>
      <c r="E412" s="18"/>
      <c r="F412" s="18"/>
      <c r="G412" s="18"/>
      <c r="H412" s="18"/>
      <c r="I412" s="18"/>
      <c r="J412" s="18"/>
      <c r="K412" s="18"/>
      <c r="L412" s="18"/>
      <c r="M412" s="18"/>
      <c r="N412" s="17"/>
      <c r="O412" s="17"/>
      <c r="P412" s="17"/>
      <c r="Q412" s="17"/>
      <c r="R412" s="17"/>
      <c r="S412" s="17"/>
      <c r="T412" s="17"/>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7"/>
      <c r="BT412" s="17"/>
      <c r="BU412" s="17"/>
      <c r="BV412" s="17"/>
      <c r="BW412" s="17"/>
      <c r="BX412" s="18"/>
      <c r="BY412" s="18"/>
      <c r="BZ412" s="18"/>
      <c r="CA412" s="18"/>
      <c r="CB412" s="17"/>
      <c r="CC412" s="17"/>
      <c r="CD412" s="17"/>
      <c r="CE412" s="18"/>
      <c r="CF412" s="18"/>
      <c r="CG412" s="18"/>
      <c r="CH412" s="18"/>
      <c r="CI412" s="18"/>
      <c r="CJ412" s="18"/>
      <c r="CK412" s="18"/>
      <c r="CL412" s="18"/>
      <c r="CM412" s="18"/>
      <c r="CN412" s="18"/>
      <c r="CO412" s="18"/>
      <c r="CP412" s="18"/>
      <c r="CQ412" s="18"/>
      <c r="CR412" s="18"/>
      <c r="CS412" s="18"/>
      <c r="CT412" s="18"/>
      <c r="CU412" s="18"/>
      <c r="CV412" s="18"/>
      <c r="CW412" s="18"/>
      <c r="CX412" s="18"/>
      <c r="CY412" s="18"/>
      <c r="CZ412" s="18"/>
      <c r="DA412" s="18"/>
      <c r="DB412" s="18"/>
      <c r="DC412" s="18"/>
      <c r="DD412" s="18"/>
      <c r="DE412" s="18"/>
      <c r="DF412" s="18"/>
      <c r="DG412" s="18"/>
      <c r="DH412" s="18"/>
      <c r="DI412" s="18"/>
      <c r="DJ412" s="18"/>
      <c r="DK412" s="18"/>
      <c r="DL412" s="18"/>
      <c r="DM412" s="18"/>
      <c r="DN412" s="18"/>
      <c r="DO412" s="18"/>
      <c r="DP412" s="18"/>
      <c r="DQ412" s="18"/>
      <c r="DR412" s="18"/>
      <c r="DS412" s="18"/>
      <c r="DT412" s="18"/>
      <c r="DU412" s="18"/>
      <c r="DV412" s="18"/>
      <c r="DW412" s="18"/>
      <c r="DX412" s="18"/>
      <c r="DY412" s="18"/>
      <c r="DZ412" s="18"/>
    </row>
    <row r="413" spans="1:130" x14ac:dyDescent="0.3">
      <c r="A413" s="18"/>
      <c r="B413" s="18"/>
      <c r="C413" s="18"/>
      <c r="D413" s="18"/>
      <c r="E413" s="18"/>
      <c r="F413" s="18"/>
      <c r="G413" s="18"/>
      <c r="H413" s="18"/>
      <c r="I413" s="18"/>
      <c r="J413" s="18"/>
      <c r="K413" s="18"/>
      <c r="L413" s="18"/>
      <c r="M413" s="18"/>
      <c r="N413" s="17"/>
      <c r="O413" s="17"/>
      <c r="P413" s="17"/>
      <c r="Q413" s="17"/>
      <c r="R413" s="17"/>
      <c r="S413" s="17"/>
      <c r="T413" s="17"/>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7"/>
      <c r="BT413" s="17"/>
      <c r="BU413" s="17"/>
      <c r="BV413" s="17"/>
      <c r="BW413" s="17"/>
      <c r="BX413" s="18"/>
      <c r="BY413" s="18"/>
      <c r="BZ413" s="18"/>
      <c r="CA413" s="18"/>
      <c r="CB413" s="17"/>
      <c r="CC413" s="17"/>
      <c r="CD413" s="17"/>
      <c r="CE413" s="18"/>
      <c r="CF413" s="18"/>
      <c r="CG413" s="18"/>
      <c r="CH413" s="18"/>
      <c r="CI413" s="18"/>
      <c r="CJ413" s="18"/>
      <c r="CK413" s="18"/>
      <c r="CL413" s="18"/>
      <c r="CM413" s="18"/>
      <c r="CN413" s="18"/>
      <c r="CO413" s="18"/>
      <c r="CP413" s="18"/>
      <c r="CQ413" s="18"/>
      <c r="CR413" s="18"/>
      <c r="CS413" s="18"/>
      <c r="CT413" s="18"/>
      <c r="CU413" s="18"/>
      <c r="CV413" s="18"/>
      <c r="CW413" s="18"/>
      <c r="CX413" s="18"/>
      <c r="CY413" s="18"/>
      <c r="CZ413" s="18"/>
      <c r="DA413" s="18"/>
      <c r="DB413" s="18"/>
      <c r="DC413" s="18"/>
      <c r="DD413" s="18"/>
      <c r="DE413" s="18"/>
      <c r="DF413" s="18"/>
      <c r="DG413" s="18"/>
      <c r="DH413" s="18"/>
      <c r="DI413" s="18"/>
      <c r="DJ413" s="18"/>
      <c r="DK413" s="18"/>
      <c r="DL413" s="18"/>
      <c r="DM413" s="18"/>
      <c r="DN413" s="18"/>
      <c r="DO413" s="18"/>
      <c r="DP413" s="18"/>
      <c r="DQ413" s="18"/>
      <c r="DR413" s="18"/>
      <c r="DS413" s="18"/>
      <c r="DT413" s="18"/>
      <c r="DU413" s="18"/>
      <c r="DV413" s="18"/>
      <c r="DW413" s="18"/>
      <c r="DX413" s="18"/>
      <c r="DY413" s="18"/>
      <c r="DZ413" s="18"/>
    </row>
    <row r="414" spans="1:130" x14ac:dyDescent="0.3">
      <c r="A414" s="18"/>
      <c r="B414" s="18"/>
      <c r="C414" s="18"/>
      <c r="D414" s="18"/>
      <c r="E414" s="18"/>
      <c r="F414" s="18"/>
      <c r="G414" s="18"/>
      <c r="H414" s="18"/>
      <c r="I414" s="18"/>
      <c r="J414" s="18"/>
      <c r="K414" s="18"/>
      <c r="L414" s="18"/>
      <c r="M414" s="18"/>
      <c r="N414" s="17"/>
      <c r="O414" s="17"/>
      <c r="P414" s="17"/>
      <c r="Q414" s="17"/>
      <c r="R414" s="17"/>
      <c r="S414" s="17"/>
      <c r="T414" s="17"/>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7"/>
      <c r="BT414" s="17"/>
      <c r="BU414" s="17"/>
      <c r="BV414" s="17"/>
      <c r="BW414" s="17"/>
      <c r="BX414" s="18"/>
      <c r="BY414" s="18"/>
      <c r="BZ414" s="18"/>
      <c r="CA414" s="18"/>
      <c r="CB414" s="17"/>
      <c r="CC414" s="17"/>
      <c r="CD414" s="17"/>
      <c r="CE414" s="18"/>
      <c r="CF414" s="18"/>
      <c r="CG414" s="18"/>
      <c r="CH414" s="18"/>
      <c r="CI414" s="18"/>
      <c r="CJ414" s="18"/>
      <c r="CK414" s="18"/>
      <c r="CL414" s="18"/>
      <c r="CM414" s="18"/>
      <c r="CN414" s="18"/>
      <c r="CO414" s="18"/>
      <c r="CP414" s="18"/>
      <c r="CQ414" s="18"/>
      <c r="CR414" s="18"/>
      <c r="CS414" s="18"/>
      <c r="CT414" s="18"/>
      <c r="CU414" s="18"/>
      <c r="CV414" s="18"/>
      <c r="CW414" s="18"/>
      <c r="CX414" s="18"/>
      <c r="CY414" s="18"/>
      <c r="CZ414" s="18"/>
      <c r="DA414" s="18"/>
      <c r="DB414" s="18"/>
      <c r="DC414" s="18"/>
      <c r="DD414" s="18"/>
      <c r="DE414" s="18"/>
      <c r="DF414" s="18"/>
      <c r="DG414" s="18"/>
      <c r="DH414" s="18"/>
      <c r="DI414" s="18"/>
      <c r="DJ414" s="18"/>
      <c r="DK414" s="18"/>
      <c r="DL414" s="18"/>
      <c r="DM414" s="18"/>
      <c r="DN414" s="18"/>
      <c r="DO414" s="18"/>
      <c r="DP414" s="18"/>
      <c r="DQ414" s="18"/>
      <c r="DR414" s="18"/>
      <c r="DS414" s="18"/>
      <c r="DT414" s="18"/>
      <c r="DU414" s="18"/>
      <c r="DV414" s="18"/>
      <c r="DW414" s="18"/>
      <c r="DX414" s="18"/>
      <c r="DY414" s="18"/>
      <c r="DZ414" s="18"/>
    </row>
    <row r="415" spans="1:130" x14ac:dyDescent="0.3">
      <c r="A415" s="18"/>
      <c r="B415" s="18"/>
      <c r="C415" s="18"/>
      <c r="D415" s="18"/>
      <c r="E415" s="18"/>
      <c r="F415" s="18"/>
      <c r="G415" s="18"/>
      <c r="H415" s="18"/>
      <c r="I415" s="18"/>
      <c r="J415" s="18"/>
      <c r="K415" s="18"/>
      <c r="L415" s="18"/>
      <c r="M415" s="18"/>
      <c r="N415" s="17"/>
      <c r="O415" s="17"/>
      <c r="P415" s="17"/>
      <c r="Q415" s="17"/>
      <c r="R415" s="17"/>
      <c r="S415" s="17"/>
      <c r="T415" s="17"/>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7"/>
      <c r="BT415" s="17"/>
      <c r="BU415" s="17"/>
      <c r="BV415" s="17"/>
      <c r="BW415" s="17"/>
      <c r="BX415" s="18"/>
      <c r="BY415" s="18"/>
      <c r="BZ415" s="18"/>
      <c r="CA415" s="18"/>
      <c r="CB415" s="17"/>
      <c r="CC415" s="17"/>
      <c r="CD415" s="17"/>
      <c r="CE415" s="18"/>
      <c r="CF415" s="18"/>
      <c r="CG415" s="18"/>
      <c r="CH415" s="18"/>
      <c r="CI415" s="18"/>
      <c r="CJ415" s="18"/>
      <c r="CK415" s="18"/>
      <c r="CL415" s="18"/>
      <c r="CM415" s="18"/>
      <c r="CN415" s="18"/>
      <c r="CO415" s="18"/>
      <c r="CP415" s="18"/>
      <c r="CQ415" s="18"/>
      <c r="CR415" s="18"/>
      <c r="CS415" s="18"/>
      <c r="CT415" s="18"/>
      <c r="CU415" s="18"/>
      <c r="CV415" s="18"/>
      <c r="CW415" s="18"/>
      <c r="CX415" s="18"/>
      <c r="CY415" s="18"/>
      <c r="CZ415" s="18"/>
      <c r="DA415" s="18"/>
      <c r="DB415" s="18"/>
      <c r="DC415" s="18"/>
      <c r="DD415" s="18"/>
      <c r="DE415" s="18"/>
      <c r="DF415" s="18"/>
      <c r="DG415" s="18"/>
      <c r="DH415" s="18"/>
      <c r="DI415" s="18"/>
      <c r="DJ415" s="18"/>
      <c r="DK415" s="18"/>
      <c r="DL415" s="18"/>
      <c r="DM415" s="18"/>
      <c r="DN415" s="18"/>
      <c r="DO415" s="18"/>
      <c r="DP415" s="18"/>
      <c r="DQ415" s="18"/>
      <c r="DR415" s="18"/>
      <c r="DS415" s="18"/>
      <c r="DT415" s="18"/>
      <c r="DU415" s="18"/>
      <c r="DV415" s="18"/>
      <c r="DW415" s="18"/>
      <c r="DX415" s="18"/>
      <c r="DY415" s="18"/>
      <c r="DZ415" s="18"/>
    </row>
    <row r="416" spans="1:130" x14ac:dyDescent="0.3">
      <c r="A416" s="18"/>
      <c r="B416" s="18"/>
      <c r="C416" s="18"/>
      <c r="D416" s="18"/>
      <c r="E416" s="18"/>
      <c r="F416" s="18"/>
      <c r="G416" s="18"/>
      <c r="H416" s="18"/>
      <c r="I416" s="18"/>
      <c r="J416" s="18"/>
      <c r="K416" s="18"/>
      <c r="L416" s="18"/>
      <c r="M416" s="18"/>
      <c r="N416" s="17"/>
      <c r="O416" s="17"/>
      <c r="P416" s="17"/>
      <c r="Q416" s="17"/>
      <c r="R416" s="17"/>
      <c r="S416" s="17"/>
      <c r="T416" s="17"/>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7"/>
      <c r="BT416" s="17"/>
      <c r="BU416" s="17"/>
      <c r="BV416" s="17"/>
      <c r="BW416" s="17"/>
      <c r="BX416" s="18"/>
      <c r="BY416" s="18"/>
      <c r="BZ416" s="18"/>
      <c r="CA416" s="18"/>
      <c r="CB416" s="17"/>
      <c r="CC416" s="17"/>
      <c r="CD416" s="17"/>
      <c r="CE416" s="18"/>
      <c r="CF416" s="18"/>
      <c r="CG416" s="18"/>
      <c r="CH416" s="18"/>
      <c r="CI416" s="18"/>
      <c r="CJ416" s="18"/>
      <c r="CK416" s="18"/>
      <c r="CL416" s="18"/>
      <c r="CM416" s="18"/>
      <c r="CN416" s="18"/>
      <c r="CO416" s="18"/>
      <c r="CP416" s="18"/>
      <c r="CQ416" s="18"/>
      <c r="CR416" s="18"/>
      <c r="CS416" s="18"/>
      <c r="CT416" s="18"/>
      <c r="CU416" s="18"/>
      <c r="CV416" s="18"/>
      <c r="CW416" s="18"/>
      <c r="CX416" s="18"/>
      <c r="CY416" s="18"/>
      <c r="CZ416" s="18"/>
      <c r="DA416" s="18"/>
      <c r="DB416" s="18"/>
      <c r="DC416" s="18"/>
      <c r="DD416" s="18"/>
      <c r="DE416" s="18"/>
      <c r="DF416" s="18"/>
      <c r="DG416" s="18"/>
      <c r="DH416" s="18"/>
      <c r="DI416" s="18"/>
      <c r="DJ416" s="18"/>
      <c r="DK416" s="18"/>
      <c r="DL416" s="18"/>
      <c r="DM416" s="18"/>
      <c r="DN416" s="18"/>
      <c r="DO416" s="18"/>
      <c r="DP416" s="18"/>
      <c r="DQ416" s="18"/>
      <c r="DR416" s="18"/>
      <c r="DS416" s="18"/>
      <c r="DT416" s="18"/>
      <c r="DU416" s="18"/>
      <c r="DV416" s="18"/>
      <c r="DW416" s="18"/>
      <c r="DX416" s="18"/>
      <c r="DY416" s="18"/>
      <c r="DZ416" s="18"/>
    </row>
    <row r="417" spans="1:130" x14ac:dyDescent="0.3">
      <c r="A417" s="18"/>
      <c r="B417" s="18"/>
      <c r="C417" s="18"/>
      <c r="D417" s="18"/>
      <c r="E417" s="18"/>
      <c r="F417" s="18"/>
      <c r="G417" s="18"/>
      <c r="H417" s="18"/>
      <c r="I417" s="18"/>
      <c r="J417" s="18"/>
      <c r="K417" s="18"/>
      <c r="L417" s="18"/>
      <c r="M417" s="18"/>
      <c r="N417" s="17"/>
      <c r="O417" s="17"/>
      <c r="P417" s="17"/>
      <c r="Q417" s="17"/>
      <c r="R417" s="17"/>
      <c r="S417" s="17"/>
      <c r="T417" s="17"/>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7"/>
      <c r="BT417" s="17"/>
      <c r="BU417" s="17"/>
      <c r="BV417" s="17"/>
      <c r="BW417" s="17"/>
      <c r="BX417" s="18"/>
      <c r="BY417" s="18"/>
      <c r="BZ417" s="18"/>
      <c r="CA417" s="18"/>
      <c r="CB417" s="17"/>
      <c r="CC417" s="17"/>
      <c r="CD417" s="17"/>
      <c r="CE417" s="18"/>
      <c r="CF417" s="18"/>
      <c r="CG417" s="18"/>
      <c r="CH417" s="18"/>
      <c r="CI417" s="18"/>
      <c r="CJ417" s="18"/>
      <c r="CK417" s="18"/>
      <c r="CL417" s="18"/>
      <c r="CM417" s="18"/>
      <c r="CN417" s="18"/>
      <c r="CO417" s="18"/>
      <c r="CP417" s="18"/>
      <c r="CQ417" s="18"/>
      <c r="CR417" s="18"/>
      <c r="CS417" s="18"/>
      <c r="CT417" s="18"/>
      <c r="CU417" s="18"/>
      <c r="CV417" s="18"/>
      <c r="CW417" s="18"/>
      <c r="CX417" s="18"/>
      <c r="CY417" s="18"/>
      <c r="CZ417" s="18"/>
      <c r="DA417" s="18"/>
      <c r="DB417" s="18"/>
      <c r="DC417" s="18"/>
      <c r="DD417" s="18"/>
      <c r="DE417" s="18"/>
      <c r="DF417" s="18"/>
      <c r="DG417" s="18"/>
      <c r="DH417" s="18"/>
      <c r="DI417" s="18"/>
      <c r="DJ417" s="18"/>
      <c r="DK417" s="18"/>
      <c r="DL417" s="18"/>
      <c r="DM417" s="18"/>
      <c r="DN417" s="18"/>
      <c r="DO417" s="18"/>
      <c r="DP417" s="18"/>
      <c r="DQ417" s="18"/>
      <c r="DR417" s="18"/>
      <c r="DS417" s="18"/>
      <c r="DT417" s="18"/>
      <c r="DU417" s="18"/>
      <c r="DV417" s="18"/>
      <c r="DW417" s="18"/>
      <c r="DX417" s="18"/>
      <c r="DY417" s="18"/>
      <c r="DZ417" s="18"/>
    </row>
    <row r="418" spans="1:130" x14ac:dyDescent="0.3">
      <c r="A418" s="18"/>
      <c r="B418" s="18"/>
      <c r="C418" s="18"/>
      <c r="D418" s="18"/>
      <c r="E418" s="18"/>
      <c r="F418" s="18"/>
      <c r="G418" s="18"/>
      <c r="H418" s="18"/>
      <c r="I418" s="18"/>
      <c r="J418" s="18"/>
      <c r="K418" s="18"/>
      <c r="L418" s="18"/>
      <c r="M418" s="18"/>
      <c r="N418" s="17"/>
      <c r="O418" s="17"/>
      <c r="P418" s="17"/>
      <c r="Q418" s="17"/>
      <c r="R418" s="17"/>
      <c r="S418" s="17"/>
      <c r="T418" s="17"/>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7"/>
      <c r="BT418" s="17"/>
      <c r="BU418" s="17"/>
      <c r="BV418" s="17"/>
      <c r="BW418" s="17"/>
      <c r="BX418" s="18"/>
      <c r="BY418" s="18"/>
      <c r="BZ418" s="18"/>
      <c r="CA418" s="18"/>
      <c r="CB418" s="17"/>
      <c r="CC418" s="17"/>
      <c r="CD418" s="17"/>
      <c r="CE418" s="18"/>
      <c r="CF418" s="18"/>
      <c r="CG418" s="18"/>
      <c r="CH418" s="18"/>
      <c r="CI418" s="18"/>
      <c r="CJ418" s="18"/>
      <c r="CK418" s="18"/>
      <c r="CL418" s="18"/>
      <c r="CM418" s="18"/>
      <c r="CN418" s="18"/>
      <c r="CO418" s="18"/>
      <c r="CP418" s="18"/>
      <c r="CQ418" s="18"/>
      <c r="CR418" s="18"/>
      <c r="CS418" s="18"/>
      <c r="CT418" s="18"/>
      <c r="CU418" s="18"/>
      <c r="CV418" s="18"/>
      <c r="CW418" s="18"/>
      <c r="CX418" s="18"/>
      <c r="CY418" s="18"/>
      <c r="CZ418" s="18"/>
      <c r="DA418" s="18"/>
      <c r="DB418" s="18"/>
      <c r="DC418" s="18"/>
      <c r="DD418" s="18"/>
      <c r="DE418" s="18"/>
      <c r="DF418" s="18"/>
      <c r="DG418" s="18"/>
      <c r="DH418" s="18"/>
      <c r="DI418" s="18"/>
      <c r="DJ418" s="18"/>
      <c r="DK418" s="18"/>
      <c r="DL418" s="18"/>
      <c r="DM418" s="18"/>
      <c r="DN418" s="18"/>
      <c r="DO418" s="18"/>
      <c r="DP418" s="18"/>
      <c r="DQ418" s="18"/>
      <c r="DR418" s="18"/>
      <c r="DS418" s="18"/>
      <c r="DT418" s="18"/>
      <c r="DU418" s="18"/>
      <c r="DV418" s="18"/>
      <c r="DW418" s="18"/>
      <c r="DX418" s="18"/>
      <c r="DY418" s="18"/>
      <c r="DZ418" s="18"/>
    </row>
    <row r="419" spans="1:130" x14ac:dyDescent="0.3">
      <c r="A419" s="18"/>
      <c r="B419" s="18"/>
      <c r="C419" s="18"/>
      <c r="D419" s="18"/>
      <c r="E419" s="18"/>
      <c r="F419" s="18"/>
      <c r="G419" s="18"/>
      <c r="H419" s="18"/>
      <c r="I419" s="18"/>
      <c r="J419" s="18"/>
      <c r="K419" s="18"/>
      <c r="L419" s="18"/>
      <c r="M419" s="18"/>
      <c r="N419" s="17"/>
      <c r="O419" s="17"/>
      <c r="P419" s="17"/>
      <c r="Q419" s="17"/>
      <c r="R419" s="17"/>
      <c r="S419" s="17"/>
      <c r="T419" s="17"/>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7"/>
      <c r="BT419" s="17"/>
      <c r="BU419" s="17"/>
      <c r="BV419" s="17"/>
      <c r="BW419" s="17"/>
      <c r="BX419" s="18"/>
      <c r="BY419" s="18"/>
      <c r="BZ419" s="18"/>
      <c r="CA419" s="18"/>
      <c r="CB419" s="17"/>
      <c r="CC419" s="17"/>
      <c r="CD419" s="17"/>
      <c r="CE419" s="18"/>
      <c r="CF419" s="18"/>
      <c r="CG419" s="18"/>
      <c r="CH419" s="18"/>
      <c r="CI419" s="18"/>
      <c r="CJ419" s="18"/>
      <c r="CK419" s="18"/>
      <c r="CL419" s="18"/>
      <c r="CM419" s="18"/>
      <c r="CN419" s="18"/>
      <c r="CO419" s="18"/>
      <c r="CP419" s="18"/>
      <c r="CQ419" s="18"/>
      <c r="CR419" s="18"/>
      <c r="CS419" s="18"/>
      <c r="CT419" s="18"/>
      <c r="CU419" s="18"/>
      <c r="CV419" s="18"/>
      <c r="CW419" s="18"/>
      <c r="CX419" s="18"/>
      <c r="CY419" s="18"/>
      <c r="CZ419" s="18"/>
      <c r="DA419" s="18"/>
      <c r="DB419" s="18"/>
      <c r="DC419" s="18"/>
      <c r="DD419" s="18"/>
      <c r="DE419" s="18"/>
      <c r="DF419" s="18"/>
      <c r="DG419" s="18"/>
      <c r="DH419" s="18"/>
      <c r="DI419" s="18"/>
      <c r="DJ419" s="18"/>
      <c r="DK419" s="18"/>
      <c r="DL419" s="18"/>
      <c r="DM419" s="18"/>
      <c r="DN419" s="18"/>
      <c r="DO419" s="18"/>
      <c r="DP419" s="18"/>
      <c r="DQ419" s="18"/>
      <c r="DR419" s="18"/>
      <c r="DS419" s="18"/>
      <c r="DT419" s="18"/>
      <c r="DU419" s="18"/>
      <c r="DV419" s="18"/>
      <c r="DW419" s="18"/>
      <c r="DX419" s="18"/>
      <c r="DY419" s="18"/>
      <c r="DZ419" s="18"/>
    </row>
    <row r="420" spans="1:130" x14ac:dyDescent="0.3">
      <c r="A420" s="18"/>
      <c r="B420" s="18"/>
      <c r="C420" s="18"/>
      <c r="D420" s="18"/>
      <c r="E420" s="18"/>
      <c r="F420" s="18"/>
      <c r="G420" s="18"/>
      <c r="H420" s="18"/>
      <c r="I420" s="18"/>
      <c r="J420" s="18"/>
      <c r="K420" s="18"/>
      <c r="L420" s="18"/>
      <c r="M420" s="18"/>
      <c r="N420" s="17"/>
      <c r="O420" s="17"/>
      <c r="P420" s="17"/>
      <c r="Q420" s="17"/>
      <c r="R420" s="17"/>
      <c r="S420" s="17"/>
      <c r="T420" s="17"/>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7"/>
      <c r="BT420" s="17"/>
      <c r="BU420" s="17"/>
      <c r="BV420" s="17"/>
      <c r="BW420" s="17"/>
      <c r="BX420" s="18"/>
      <c r="BY420" s="18"/>
      <c r="BZ420" s="18"/>
      <c r="CA420" s="18"/>
      <c r="CB420" s="17"/>
      <c r="CC420" s="17"/>
      <c r="CD420" s="17"/>
      <c r="CE420" s="18"/>
      <c r="CF420" s="18"/>
      <c r="CG420" s="18"/>
      <c r="CH420" s="18"/>
      <c r="CI420" s="18"/>
      <c r="CJ420" s="18"/>
      <c r="CK420" s="18"/>
      <c r="CL420" s="18"/>
      <c r="CM420" s="18"/>
      <c r="CN420" s="18"/>
      <c r="CO420" s="18"/>
      <c r="CP420" s="18"/>
      <c r="CQ420" s="18"/>
      <c r="CR420" s="18"/>
      <c r="CS420" s="18"/>
      <c r="CT420" s="18"/>
      <c r="CU420" s="18"/>
      <c r="CV420" s="18"/>
      <c r="CW420" s="18"/>
      <c r="CX420" s="18"/>
      <c r="CY420" s="18"/>
      <c r="CZ420" s="18"/>
      <c r="DA420" s="18"/>
      <c r="DB420" s="18"/>
      <c r="DC420" s="18"/>
      <c r="DD420" s="18"/>
      <c r="DE420" s="18"/>
      <c r="DF420" s="18"/>
      <c r="DG420" s="18"/>
      <c r="DH420" s="18"/>
      <c r="DI420" s="18"/>
      <c r="DJ420" s="18"/>
      <c r="DK420" s="18"/>
      <c r="DL420" s="18"/>
      <c r="DM420" s="18"/>
      <c r="DN420" s="18"/>
      <c r="DO420" s="18"/>
      <c r="DP420" s="18"/>
      <c r="DQ420" s="18"/>
      <c r="DR420" s="18"/>
      <c r="DS420" s="18"/>
      <c r="DT420" s="18"/>
      <c r="DU420" s="18"/>
      <c r="DV420" s="18"/>
      <c r="DW420" s="18"/>
      <c r="DX420" s="18"/>
      <c r="DY420" s="18"/>
      <c r="DZ420" s="18"/>
    </row>
    <row r="421" spans="1:130" x14ac:dyDescent="0.3">
      <c r="A421" s="18"/>
      <c r="B421" s="18"/>
      <c r="C421" s="18"/>
      <c r="D421" s="18"/>
      <c r="E421" s="18"/>
      <c r="F421" s="18"/>
      <c r="G421" s="18"/>
      <c r="H421" s="18"/>
      <c r="I421" s="18"/>
      <c r="J421" s="18"/>
      <c r="K421" s="18"/>
      <c r="L421" s="18"/>
      <c r="M421" s="18"/>
      <c r="N421" s="17"/>
      <c r="O421" s="17"/>
      <c r="P421" s="17"/>
      <c r="Q421" s="17"/>
      <c r="R421" s="17"/>
      <c r="S421" s="17"/>
      <c r="T421" s="17"/>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7"/>
      <c r="BT421" s="17"/>
      <c r="BU421" s="17"/>
      <c r="BV421" s="17"/>
      <c r="BW421" s="17"/>
      <c r="BX421" s="18"/>
      <c r="BY421" s="18"/>
      <c r="BZ421" s="18"/>
      <c r="CA421" s="18"/>
      <c r="CB421" s="17"/>
      <c r="CC421" s="17"/>
      <c r="CD421" s="17"/>
      <c r="CE421" s="18"/>
      <c r="CF421" s="18"/>
      <c r="CG421" s="18"/>
      <c r="CH421" s="18"/>
      <c r="CI421" s="18"/>
      <c r="CJ421" s="18"/>
      <c r="CK421" s="18"/>
      <c r="CL421" s="18"/>
      <c r="CM421" s="18"/>
      <c r="CN421" s="18"/>
      <c r="CO421" s="18"/>
      <c r="CP421" s="18"/>
      <c r="CQ421" s="18"/>
      <c r="CR421" s="18"/>
      <c r="CS421" s="18"/>
      <c r="CT421" s="18"/>
      <c r="CU421" s="18"/>
      <c r="CV421" s="18"/>
      <c r="CW421" s="18"/>
      <c r="CX421" s="18"/>
      <c r="CY421" s="18"/>
      <c r="CZ421" s="18"/>
      <c r="DA421" s="18"/>
      <c r="DB421" s="18"/>
      <c r="DC421" s="18"/>
      <c r="DD421" s="18"/>
      <c r="DE421" s="18"/>
      <c r="DF421" s="18"/>
      <c r="DG421" s="18"/>
      <c r="DH421" s="18"/>
      <c r="DI421" s="18"/>
      <c r="DJ421" s="18"/>
      <c r="DK421" s="18"/>
      <c r="DL421" s="18"/>
      <c r="DM421" s="18"/>
      <c r="DN421" s="18"/>
      <c r="DO421" s="18"/>
      <c r="DP421" s="18"/>
      <c r="DQ421" s="18"/>
      <c r="DR421" s="18"/>
      <c r="DS421" s="18"/>
      <c r="DT421" s="18"/>
      <c r="DU421" s="18"/>
      <c r="DV421" s="18"/>
      <c r="DW421" s="18"/>
      <c r="DX421" s="18"/>
      <c r="DY421" s="18"/>
      <c r="DZ421" s="18"/>
    </row>
    <row r="422" spans="1:130" x14ac:dyDescent="0.3">
      <c r="A422" s="18"/>
      <c r="B422" s="18"/>
      <c r="C422" s="18"/>
      <c r="D422" s="18"/>
      <c r="E422" s="18"/>
      <c r="F422" s="18"/>
      <c r="G422" s="18"/>
      <c r="H422" s="18"/>
      <c r="I422" s="18"/>
      <c r="J422" s="18"/>
      <c r="K422" s="18"/>
      <c r="L422" s="18"/>
      <c r="M422" s="18"/>
      <c r="N422" s="17"/>
      <c r="O422" s="17"/>
      <c r="P422" s="17"/>
      <c r="Q422" s="17"/>
      <c r="R422" s="17"/>
      <c r="S422" s="17"/>
      <c r="T422" s="17"/>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7"/>
      <c r="BT422" s="17"/>
      <c r="BU422" s="17"/>
      <c r="BV422" s="17"/>
      <c r="BW422" s="17"/>
      <c r="BX422" s="18"/>
      <c r="BY422" s="18"/>
      <c r="BZ422" s="18"/>
      <c r="CA422" s="18"/>
      <c r="CB422" s="17"/>
      <c r="CC422" s="17"/>
      <c r="CD422" s="17"/>
      <c r="CE422" s="18"/>
      <c r="CF422" s="18"/>
      <c r="CG422" s="18"/>
      <c r="CH422" s="18"/>
      <c r="CI422" s="18"/>
      <c r="CJ422" s="18"/>
      <c r="CK422" s="18"/>
      <c r="CL422" s="18"/>
      <c r="CM422" s="18"/>
      <c r="CN422" s="18"/>
      <c r="CO422" s="18"/>
      <c r="CP422" s="18"/>
      <c r="CQ422" s="18"/>
      <c r="CR422" s="18"/>
      <c r="CS422" s="18"/>
      <c r="CT422" s="18"/>
      <c r="CU422" s="18"/>
      <c r="CV422" s="18"/>
      <c r="CW422" s="18"/>
      <c r="CX422" s="18"/>
      <c r="CY422" s="18"/>
      <c r="CZ422" s="18"/>
      <c r="DA422" s="18"/>
      <c r="DB422" s="18"/>
      <c r="DC422" s="18"/>
      <c r="DD422" s="18"/>
      <c r="DE422" s="18"/>
      <c r="DF422" s="18"/>
      <c r="DG422" s="18"/>
      <c r="DH422" s="18"/>
      <c r="DI422" s="18"/>
      <c r="DJ422" s="18"/>
      <c r="DK422" s="18"/>
      <c r="DL422" s="18"/>
      <c r="DM422" s="18"/>
      <c r="DN422" s="18"/>
      <c r="DO422" s="18"/>
      <c r="DP422" s="18"/>
      <c r="DQ422" s="18"/>
      <c r="DR422" s="18"/>
      <c r="DS422" s="18"/>
      <c r="DT422" s="18"/>
      <c r="DU422" s="18"/>
      <c r="DV422" s="18"/>
      <c r="DW422" s="18"/>
      <c r="DX422" s="18"/>
      <c r="DY422" s="18"/>
      <c r="DZ422" s="18"/>
    </row>
    <row r="423" spans="1:130" x14ac:dyDescent="0.3">
      <c r="A423" s="18"/>
      <c r="B423" s="18"/>
      <c r="C423" s="18"/>
      <c r="D423" s="18"/>
      <c r="E423" s="18"/>
      <c r="F423" s="18"/>
      <c r="G423" s="18"/>
      <c r="H423" s="18"/>
      <c r="I423" s="18"/>
      <c r="J423" s="18"/>
      <c r="K423" s="18"/>
      <c r="L423" s="18"/>
      <c r="M423" s="18"/>
      <c r="N423" s="17"/>
      <c r="O423" s="17"/>
      <c r="P423" s="17"/>
      <c r="Q423" s="17"/>
      <c r="R423" s="17"/>
      <c r="S423" s="17"/>
      <c r="T423" s="17"/>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7"/>
      <c r="BT423" s="17"/>
      <c r="BU423" s="17"/>
      <c r="BV423" s="17"/>
      <c r="BW423" s="17"/>
      <c r="BX423" s="18"/>
      <c r="BY423" s="18"/>
      <c r="BZ423" s="18"/>
      <c r="CA423" s="18"/>
      <c r="CB423" s="17"/>
      <c r="CC423" s="17"/>
      <c r="CD423" s="17"/>
      <c r="CE423" s="18"/>
      <c r="CF423" s="18"/>
      <c r="CG423" s="18"/>
      <c r="CH423" s="18"/>
      <c r="CI423" s="18"/>
      <c r="CJ423" s="18"/>
      <c r="CK423" s="18"/>
      <c r="CL423" s="18"/>
      <c r="CM423" s="18"/>
      <c r="CN423" s="18"/>
      <c r="CO423" s="18"/>
      <c r="CP423" s="18"/>
      <c r="CQ423" s="18"/>
      <c r="CR423" s="18"/>
      <c r="CS423" s="18"/>
      <c r="CT423" s="18"/>
      <c r="CU423" s="18"/>
      <c r="CV423" s="18"/>
      <c r="CW423" s="18"/>
      <c r="CX423" s="18"/>
      <c r="CY423" s="18"/>
      <c r="CZ423" s="18"/>
      <c r="DA423" s="18"/>
      <c r="DB423" s="18"/>
      <c r="DC423" s="18"/>
      <c r="DD423" s="18"/>
      <c r="DE423" s="18"/>
      <c r="DF423" s="18"/>
      <c r="DG423" s="18"/>
      <c r="DH423" s="18"/>
      <c r="DI423" s="18"/>
      <c r="DJ423" s="18"/>
      <c r="DK423" s="18"/>
      <c r="DL423" s="18"/>
      <c r="DM423" s="18"/>
      <c r="DN423" s="18"/>
      <c r="DO423" s="18"/>
      <c r="DP423" s="18"/>
      <c r="DQ423" s="18"/>
      <c r="DR423" s="18"/>
      <c r="DS423" s="18"/>
      <c r="DT423" s="18"/>
      <c r="DU423" s="18"/>
      <c r="DV423" s="18"/>
      <c r="DW423" s="18"/>
      <c r="DX423" s="18"/>
      <c r="DY423" s="18"/>
      <c r="DZ423" s="18"/>
    </row>
    <row r="424" spans="1:130" x14ac:dyDescent="0.3">
      <c r="A424" s="18"/>
      <c r="B424" s="18"/>
      <c r="C424" s="18"/>
      <c r="D424" s="18"/>
      <c r="E424" s="18"/>
      <c r="F424" s="18"/>
      <c r="G424" s="18"/>
      <c r="H424" s="18"/>
      <c r="I424" s="18"/>
      <c r="J424" s="18"/>
      <c r="K424" s="18"/>
      <c r="L424" s="18"/>
      <c r="M424" s="18"/>
      <c r="N424" s="17"/>
      <c r="O424" s="17"/>
      <c r="P424" s="17"/>
      <c r="Q424" s="17"/>
      <c r="R424" s="17"/>
      <c r="S424" s="17"/>
      <c r="T424" s="17"/>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7"/>
      <c r="BT424" s="17"/>
      <c r="BU424" s="17"/>
      <c r="BV424" s="17"/>
      <c r="BW424" s="17"/>
      <c r="BX424" s="18"/>
      <c r="BY424" s="18"/>
      <c r="BZ424" s="18"/>
      <c r="CA424" s="18"/>
      <c r="CB424" s="17"/>
      <c r="CC424" s="17"/>
      <c r="CD424" s="17"/>
      <c r="CE424" s="18"/>
      <c r="CF424" s="18"/>
      <c r="CG424" s="18"/>
      <c r="CH424" s="18"/>
      <c r="CI424" s="18"/>
      <c r="CJ424" s="18"/>
      <c r="CK424" s="18"/>
      <c r="CL424" s="18"/>
      <c r="CM424" s="18"/>
      <c r="CN424" s="18"/>
      <c r="CO424" s="18"/>
      <c r="CP424" s="18"/>
      <c r="CQ424" s="18"/>
      <c r="CR424" s="18"/>
      <c r="CS424" s="18"/>
      <c r="CT424" s="18"/>
      <c r="CU424" s="18"/>
      <c r="CV424" s="18"/>
      <c r="CW424" s="18"/>
      <c r="CX424" s="18"/>
      <c r="CY424" s="18"/>
      <c r="CZ424" s="18"/>
      <c r="DA424" s="18"/>
      <c r="DB424" s="18"/>
      <c r="DC424" s="18"/>
      <c r="DD424" s="18"/>
      <c r="DE424" s="18"/>
      <c r="DF424" s="18"/>
      <c r="DG424" s="18"/>
      <c r="DH424" s="18"/>
      <c r="DI424" s="18"/>
      <c r="DJ424" s="18"/>
      <c r="DK424" s="18"/>
      <c r="DL424" s="18"/>
      <c r="DM424" s="18"/>
      <c r="DN424" s="18"/>
      <c r="DO424" s="18"/>
      <c r="DP424" s="18"/>
      <c r="DQ424" s="18"/>
      <c r="DR424" s="18"/>
      <c r="DS424" s="18"/>
      <c r="DT424" s="18"/>
      <c r="DU424" s="18"/>
      <c r="DV424" s="18"/>
      <c r="DW424" s="18"/>
      <c r="DX424" s="18"/>
      <c r="DY424" s="18"/>
      <c r="DZ424" s="18"/>
    </row>
    <row r="425" spans="1:130" x14ac:dyDescent="0.3">
      <c r="A425" s="18"/>
      <c r="B425" s="18"/>
      <c r="C425" s="18"/>
      <c r="D425" s="18"/>
      <c r="E425" s="18"/>
      <c r="F425" s="18"/>
      <c r="G425" s="18"/>
      <c r="H425" s="18"/>
      <c r="I425" s="18"/>
      <c r="J425" s="18"/>
      <c r="K425" s="18"/>
      <c r="L425" s="18"/>
      <c r="M425" s="18"/>
      <c r="N425" s="17"/>
      <c r="O425" s="17"/>
      <c r="P425" s="17"/>
      <c r="Q425" s="17"/>
      <c r="R425" s="17"/>
      <c r="S425" s="17"/>
      <c r="T425" s="17"/>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7"/>
      <c r="BT425" s="17"/>
      <c r="BU425" s="17"/>
      <c r="BV425" s="17"/>
      <c r="BW425" s="17"/>
      <c r="BX425" s="18"/>
      <c r="BY425" s="18"/>
      <c r="BZ425" s="18"/>
      <c r="CA425" s="18"/>
      <c r="CB425" s="17"/>
      <c r="CC425" s="17"/>
      <c r="CD425" s="17"/>
      <c r="CE425" s="18"/>
      <c r="CF425" s="18"/>
      <c r="CG425" s="18"/>
      <c r="CH425" s="18"/>
      <c r="CI425" s="18"/>
      <c r="CJ425" s="18"/>
      <c r="CK425" s="18"/>
      <c r="CL425" s="18"/>
      <c r="CM425" s="18"/>
      <c r="CN425" s="18"/>
      <c r="CO425" s="18"/>
      <c r="CP425" s="18"/>
      <c r="CQ425" s="18"/>
      <c r="CR425" s="18"/>
      <c r="CS425" s="18"/>
      <c r="CT425" s="18"/>
      <c r="CU425" s="18"/>
      <c r="CV425" s="18"/>
      <c r="CW425" s="18"/>
      <c r="CX425" s="18"/>
      <c r="CY425" s="18"/>
      <c r="CZ425" s="18"/>
      <c r="DA425" s="18"/>
      <c r="DB425" s="18"/>
      <c r="DC425" s="18"/>
      <c r="DD425" s="18"/>
      <c r="DE425" s="18"/>
      <c r="DF425" s="18"/>
      <c r="DG425" s="18"/>
      <c r="DH425" s="18"/>
      <c r="DI425" s="18"/>
      <c r="DJ425" s="18"/>
      <c r="DK425" s="18"/>
      <c r="DL425" s="18"/>
      <c r="DM425" s="18"/>
      <c r="DN425" s="18"/>
      <c r="DO425" s="18"/>
      <c r="DP425" s="18"/>
      <c r="DQ425" s="18"/>
      <c r="DR425" s="18"/>
      <c r="DS425" s="18"/>
      <c r="DT425" s="18"/>
      <c r="DU425" s="18"/>
      <c r="DV425" s="18"/>
      <c r="DW425" s="18"/>
      <c r="DX425" s="18"/>
      <c r="DY425" s="18"/>
      <c r="DZ425" s="18"/>
    </row>
    <row r="426" spans="1:130" x14ac:dyDescent="0.3">
      <c r="A426" s="18"/>
      <c r="B426" s="18"/>
      <c r="C426" s="18"/>
      <c r="D426" s="18"/>
      <c r="E426" s="18"/>
      <c r="F426" s="18"/>
      <c r="G426" s="18"/>
      <c r="H426" s="18"/>
      <c r="I426" s="18"/>
      <c r="J426" s="18"/>
      <c r="K426" s="18"/>
      <c r="L426" s="18"/>
      <c r="M426" s="18"/>
      <c r="N426" s="17"/>
      <c r="O426" s="17"/>
      <c r="P426" s="17"/>
      <c r="Q426" s="17"/>
      <c r="R426" s="17"/>
      <c r="S426" s="17"/>
      <c r="T426" s="17"/>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7"/>
      <c r="BT426" s="17"/>
      <c r="BU426" s="17"/>
      <c r="BV426" s="17"/>
      <c r="BW426" s="17"/>
      <c r="BX426" s="18"/>
      <c r="BY426" s="18"/>
      <c r="BZ426" s="18"/>
      <c r="CA426" s="18"/>
      <c r="CB426" s="17"/>
      <c r="CC426" s="17"/>
      <c r="CD426" s="17"/>
      <c r="CE426" s="18"/>
      <c r="CF426" s="18"/>
      <c r="CG426" s="18"/>
      <c r="CH426" s="18"/>
      <c r="CI426" s="18"/>
      <c r="CJ426" s="18"/>
      <c r="CK426" s="18"/>
      <c r="CL426" s="18"/>
      <c r="CM426" s="18"/>
      <c r="CN426" s="18"/>
      <c r="CO426" s="18"/>
      <c r="CP426" s="18"/>
      <c r="CQ426" s="18"/>
      <c r="CR426" s="18"/>
      <c r="CS426" s="18"/>
      <c r="CT426" s="18"/>
      <c r="CU426" s="18"/>
      <c r="CV426" s="18"/>
      <c r="CW426" s="18"/>
      <c r="CX426" s="18"/>
      <c r="CY426" s="18"/>
      <c r="CZ426" s="18"/>
      <c r="DA426" s="18"/>
      <c r="DB426" s="18"/>
      <c r="DC426" s="18"/>
      <c r="DD426" s="18"/>
      <c r="DE426" s="18"/>
      <c r="DF426" s="18"/>
      <c r="DG426" s="18"/>
      <c r="DH426" s="18"/>
      <c r="DI426" s="18"/>
      <c r="DJ426" s="18"/>
      <c r="DK426" s="18"/>
      <c r="DL426" s="18"/>
      <c r="DM426" s="18"/>
      <c r="DN426" s="18"/>
      <c r="DO426" s="18"/>
      <c r="DP426" s="18"/>
      <c r="DQ426" s="18"/>
      <c r="DR426" s="18"/>
      <c r="DS426" s="18"/>
      <c r="DT426" s="18"/>
      <c r="DU426" s="18"/>
      <c r="DV426" s="18"/>
      <c r="DW426" s="18"/>
      <c r="DX426" s="18"/>
      <c r="DY426" s="18"/>
      <c r="DZ426" s="18"/>
    </row>
    <row r="427" spans="1:130" x14ac:dyDescent="0.3">
      <c r="A427" s="18"/>
      <c r="B427" s="18"/>
      <c r="C427" s="18"/>
      <c r="D427" s="18"/>
      <c r="E427" s="18"/>
      <c r="F427" s="18"/>
      <c r="G427" s="18"/>
      <c r="H427" s="18"/>
      <c r="I427" s="18"/>
      <c r="J427" s="18"/>
      <c r="K427" s="18"/>
      <c r="L427" s="18"/>
      <c r="M427" s="18"/>
      <c r="N427" s="17"/>
      <c r="O427" s="17"/>
      <c r="P427" s="17"/>
      <c r="Q427" s="17"/>
      <c r="R427" s="17"/>
      <c r="S427" s="17"/>
      <c r="T427" s="17"/>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7"/>
      <c r="BT427" s="17"/>
      <c r="BU427" s="17"/>
      <c r="BV427" s="17"/>
      <c r="BW427" s="17"/>
      <c r="BX427" s="18"/>
      <c r="BY427" s="18"/>
      <c r="BZ427" s="18"/>
      <c r="CA427" s="18"/>
      <c r="CB427" s="17"/>
      <c r="CC427" s="17"/>
      <c r="CD427" s="17"/>
      <c r="CE427" s="18"/>
      <c r="CF427" s="18"/>
      <c r="CG427" s="18"/>
      <c r="CH427" s="18"/>
      <c r="CI427" s="18"/>
      <c r="CJ427" s="18"/>
      <c r="CK427" s="18"/>
      <c r="CL427" s="18"/>
      <c r="CM427" s="18"/>
      <c r="CN427" s="18"/>
      <c r="CO427" s="18"/>
      <c r="CP427" s="18"/>
      <c r="CQ427" s="18"/>
      <c r="CR427" s="18"/>
      <c r="CS427" s="18"/>
      <c r="CT427" s="18"/>
      <c r="CU427" s="18"/>
      <c r="CV427" s="18"/>
      <c r="CW427" s="18"/>
      <c r="CX427" s="18"/>
      <c r="CY427" s="18"/>
      <c r="CZ427" s="18"/>
      <c r="DA427" s="18"/>
      <c r="DB427" s="18"/>
      <c r="DC427" s="18"/>
      <c r="DD427" s="18"/>
      <c r="DE427" s="18"/>
      <c r="DF427" s="18"/>
      <c r="DG427" s="18"/>
      <c r="DH427" s="18"/>
      <c r="DI427" s="18"/>
      <c r="DJ427" s="18"/>
      <c r="DK427" s="18"/>
      <c r="DL427" s="18"/>
      <c r="DM427" s="18"/>
      <c r="DN427" s="18"/>
      <c r="DO427" s="18"/>
      <c r="DP427" s="18"/>
      <c r="DQ427" s="18"/>
      <c r="DR427" s="18"/>
      <c r="DS427" s="18"/>
      <c r="DT427" s="18"/>
      <c r="DU427" s="18"/>
      <c r="DV427" s="18"/>
      <c r="DW427" s="18"/>
      <c r="DX427" s="18"/>
      <c r="DY427" s="18"/>
      <c r="DZ427" s="18"/>
    </row>
    <row r="428" spans="1:130" x14ac:dyDescent="0.3">
      <c r="A428" s="18"/>
      <c r="B428" s="18"/>
      <c r="C428" s="18"/>
      <c r="D428" s="18"/>
      <c r="E428" s="18"/>
      <c r="F428" s="18"/>
      <c r="G428" s="18"/>
      <c r="H428" s="18"/>
      <c r="I428" s="18"/>
      <c r="J428" s="18"/>
      <c r="K428" s="18"/>
      <c r="L428" s="18"/>
      <c r="M428" s="18"/>
      <c r="N428" s="17"/>
      <c r="O428" s="17"/>
      <c r="P428" s="17"/>
      <c r="Q428" s="17"/>
      <c r="R428" s="17"/>
      <c r="S428" s="17"/>
      <c r="T428" s="17"/>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7"/>
      <c r="BT428" s="17"/>
      <c r="BU428" s="17"/>
      <c r="BV428" s="17"/>
      <c r="BW428" s="17"/>
      <c r="BX428" s="18"/>
      <c r="BY428" s="18"/>
      <c r="BZ428" s="18"/>
      <c r="CA428" s="18"/>
      <c r="CB428" s="17"/>
      <c r="CC428" s="17"/>
      <c r="CD428" s="17"/>
      <c r="CE428" s="18"/>
      <c r="CF428" s="18"/>
      <c r="CG428" s="18"/>
      <c r="CH428" s="18"/>
      <c r="CI428" s="18"/>
      <c r="CJ428" s="18"/>
      <c r="CK428" s="18"/>
      <c r="CL428" s="18"/>
      <c r="CM428" s="18"/>
      <c r="CN428" s="18"/>
      <c r="CO428" s="18"/>
      <c r="CP428" s="18"/>
      <c r="CQ428" s="18"/>
      <c r="CR428" s="18"/>
      <c r="CS428" s="18"/>
      <c r="CT428" s="18"/>
      <c r="CU428" s="18"/>
      <c r="CV428" s="18"/>
      <c r="CW428" s="18"/>
      <c r="CX428" s="18"/>
      <c r="CY428" s="18"/>
      <c r="CZ428" s="18"/>
      <c r="DA428" s="18"/>
      <c r="DB428" s="18"/>
      <c r="DC428" s="18"/>
      <c r="DD428" s="18"/>
      <c r="DE428" s="18"/>
      <c r="DF428" s="18"/>
      <c r="DG428" s="18"/>
      <c r="DH428" s="18"/>
      <c r="DI428" s="18"/>
      <c r="DJ428" s="18"/>
      <c r="DK428" s="18"/>
      <c r="DL428" s="18"/>
      <c r="DM428" s="18"/>
      <c r="DN428" s="18"/>
      <c r="DO428" s="18"/>
      <c r="DP428" s="18"/>
      <c r="DQ428" s="18"/>
      <c r="DR428" s="18"/>
      <c r="DS428" s="18"/>
      <c r="DT428" s="18"/>
      <c r="DU428" s="18"/>
      <c r="DV428" s="18"/>
      <c r="DW428" s="18"/>
      <c r="DX428" s="18"/>
      <c r="DY428" s="18"/>
      <c r="DZ428" s="18"/>
    </row>
    <row r="429" spans="1:130" x14ac:dyDescent="0.3">
      <c r="A429" s="18"/>
      <c r="B429" s="18"/>
      <c r="C429" s="18"/>
      <c r="D429" s="18"/>
      <c r="E429" s="18"/>
      <c r="F429" s="18"/>
      <c r="G429" s="18"/>
      <c r="H429" s="18"/>
      <c r="I429" s="18"/>
      <c r="J429" s="18"/>
      <c r="K429" s="18"/>
      <c r="L429" s="18"/>
      <c r="M429" s="18"/>
      <c r="N429" s="17"/>
      <c r="O429" s="17"/>
      <c r="P429" s="17"/>
      <c r="Q429" s="17"/>
      <c r="R429" s="17"/>
      <c r="S429" s="17"/>
      <c r="T429" s="17"/>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7"/>
      <c r="BT429" s="17"/>
      <c r="BU429" s="17"/>
      <c r="BV429" s="17"/>
      <c r="BW429" s="17"/>
      <c r="BX429" s="18"/>
      <c r="BY429" s="18"/>
      <c r="BZ429" s="18"/>
      <c r="CA429" s="18"/>
      <c r="CB429" s="17"/>
      <c r="CC429" s="17"/>
      <c r="CD429" s="17"/>
      <c r="CE429" s="18"/>
      <c r="CF429" s="18"/>
      <c r="CG429" s="18"/>
      <c r="CH429" s="18"/>
      <c r="CI429" s="18"/>
      <c r="CJ429" s="18"/>
      <c r="CK429" s="18"/>
      <c r="CL429" s="18"/>
      <c r="CM429" s="18"/>
      <c r="CN429" s="18"/>
      <c r="CO429" s="18"/>
      <c r="CP429" s="18"/>
      <c r="CQ429" s="18"/>
      <c r="CR429" s="18"/>
      <c r="CS429" s="18"/>
      <c r="CT429" s="18"/>
      <c r="CU429" s="18"/>
      <c r="CV429" s="18"/>
      <c r="CW429" s="18"/>
      <c r="CX429" s="18"/>
      <c r="CY429" s="18"/>
      <c r="CZ429" s="18"/>
      <c r="DA429" s="18"/>
      <c r="DB429" s="18"/>
      <c r="DC429" s="18"/>
      <c r="DD429" s="18"/>
      <c r="DE429" s="18"/>
      <c r="DF429" s="18"/>
      <c r="DG429" s="18"/>
      <c r="DH429" s="18"/>
      <c r="DI429" s="18"/>
      <c r="DJ429" s="18"/>
      <c r="DK429" s="18"/>
      <c r="DL429" s="18"/>
      <c r="DM429" s="18"/>
      <c r="DN429" s="18"/>
      <c r="DO429" s="18"/>
      <c r="DP429" s="18"/>
      <c r="DQ429" s="18"/>
      <c r="DR429" s="18"/>
      <c r="DS429" s="18"/>
      <c r="DT429" s="18"/>
      <c r="DU429" s="18"/>
      <c r="DV429" s="18"/>
      <c r="DW429" s="18"/>
      <c r="DX429" s="18"/>
      <c r="DY429" s="18"/>
      <c r="DZ429" s="18"/>
    </row>
    <row r="430" spans="1:130" x14ac:dyDescent="0.3">
      <c r="A430" s="18"/>
      <c r="B430" s="18"/>
      <c r="C430" s="18"/>
      <c r="D430" s="18"/>
      <c r="E430" s="18"/>
      <c r="F430" s="18"/>
      <c r="G430" s="18"/>
      <c r="H430" s="18"/>
      <c r="I430" s="18"/>
      <c r="J430" s="18"/>
      <c r="K430" s="18"/>
      <c r="L430" s="18"/>
      <c r="M430" s="18"/>
      <c r="N430" s="17"/>
      <c r="O430" s="17"/>
      <c r="P430" s="17"/>
      <c r="Q430" s="17"/>
      <c r="R430" s="17"/>
      <c r="S430" s="17"/>
      <c r="T430" s="17"/>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7"/>
      <c r="BT430" s="17"/>
      <c r="BU430" s="17"/>
      <c r="BV430" s="17"/>
      <c r="BW430" s="17"/>
      <c r="BX430" s="18"/>
      <c r="BY430" s="18"/>
      <c r="BZ430" s="18"/>
      <c r="CA430" s="18"/>
      <c r="CB430" s="17"/>
      <c r="CC430" s="17"/>
      <c r="CD430" s="17"/>
      <c r="CE430" s="18"/>
      <c r="CF430" s="18"/>
      <c r="CG430" s="18"/>
      <c r="CH430" s="18"/>
      <c r="CI430" s="18"/>
      <c r="CJ430" s="18"/>
      <c r="CK430" s="18"/>
      <c r="CL430" s="18"/>
      <c r="CM430" s="18"/>
      <c r="CN430" s="18"/>
      <c r="CO430" s="18"/>
      <c r="CP430" s="18"/>
      <c r="CQ430" s="18"/>
      <c r="CR430" s="18"/>
      <c r="CS430" s="18"/>
      <c r="CT430" s="18"/>
      <c r="CU430" s="18"/>
      <c r="CV430" s="18"/>
      <c r="CW430" s="18"/>
      <c r="CX430" s="18"/>
      <c r="CY430" s="18"/>
      <c r="CZ430" s="18"/>
      <c r="DA430" s="18"/>
      <c r="DB430" s="18"/>
      <c r="DC430" s="18"/>
      <c r="DD430" s="18"/>
      <c r="DE430" s="18"/>
      <c r="DF430" s="18"/>
      <c r="DG430" s="18"/>
      <c r="DH430" s="18"/>
      <c r="DI430" s="18"/>
      <c r="DJ430" s="18"/>
      <c r="DK430" s="18"/>
      <c r="DL430" s="18"/>
      <c r="DM430" s="18"/>
      <c r="DN430" s="18"/>
      <c r="DO430" s="18"/>
      <c r="DP430" s="18"/>
      <c r="DQ430" s="18"/>
      <c r="DR430" s="18"/>
      <c r="DS430" s="18"/>
      <c r="DT430" s="18"/>
      <c r="DU430" s="18"/>
      <c r="DV430" s="18"/>
      <c r="DW430" s="18"/>
      <c r="DX430" s="18"/>
      <c r="DY430" s="18"/>
      <c r="DZ430" s="18"/>
    </row>
    <row r="431" spans="1:130" x14ac:dyDescent="0.3">
      <c r="A431" s="18"/>
      <c r="B431" s="18"/>
      <c r="C431" s="18"/>
      <c r="D431" s="18"/>
      <c r="E431" s="18"/>
      <c r="F431" s="18"/>
      <c r="G431" s="18"/>
      <c r="H431" s="18"/>
      <c r="I431" s="18"/>
      <c r="J431" s="18"/>
      <c r="K431" s="18"/>
      <c r="L431" s="18"/>
      <c r="M431" s="18"/>
      <c r="N431" s="17"/>
      <c r="O431" s="17"/>
      <c r="P431" s="17"/>
      <c r="Q431" s="17"/>
      <c r="R431" s="17"/>
      <c r="S431" s="17"/>
      <c r="T431" s="17"/>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7"/>
      <c r="BT431" s="17"/>
      <c r="BU431" s="17"/>
      <c r="BV431" s="17"/>
      <c r="BW431" s="17"/>
      <c r="BX431" s="18"/>
      <c r="BY431" s="18"/>
      <c r="BZ431" s="18"/>
      <c r="CA431" s="18"/>
      <c r="CB431" s="17"/>
      <c r="CC431" s="17"/>
      <c r="CD431" s="17"/>
      <c r="CE431" s="18"/>
      <c r="CF431" s="18"/>
      <c r="CG431" s="18"/>
      <c r="CH431" s="18"/>
      <c r="CI431" s="18"/>
      <c r="CJ431" s="18"/>
      <c r="CK431" s="18"/>
      <c r="CL431" s="18"/>
      <c r="CM431" s="18"/>
      <c r="CN431" s="18"/>
      <c r="CO431" s="18"/>
      <c r="CP431" s="18"/>
      <c r="CQ431" s="18"/>
      <c r="CR431" s="18"/>
      <c r="CS431" s="18"/>
      <c r="CT431" s="18"/>
      <c r="CU431" s="18"/>
      <c r="CV431" s="18"/>
      <c r="CW431" s="18"/>
      <c r="CX431" s="18"/>
      <c r="CY431" s="18"/>
      <c r="CZ431" s="18"/>
      <c r="DA431" s="18"/>
      <c r="DB431" s="18"/>
      <c r="DC431" s="18"/>
      <c r="DD431" s="18"/>
      <c r="DE431" s="18"/>
      <c r="DF431" s="18"/>
      <c r="DG431" s="18"/>
      <c r="DH431" s="18"/>
      <c r="DI431" s="18"/>
      <c r="DJ431" s="18"/>
      <c r="DK431" s="18"/>
      <c r="DL431" s="18"/>
      <c r="DM431" s="18"/>
      <c r="DN431" s="18"/>
      <c r="DO431" s="18"/>
      <c r="DP431" s="18"/>
      <c r="DQ431" s="18"/>
      <c r="DR431" s="18"/>
      <c r="DS431" s="18"/>
      <c r="DT431" s="18"/>
      <c r="DU431" s="18"/>
      <c r="DV431" s="18"/>
      <c r="DW431" s="18"/>
      <c r="DX431" s="18"/>
      <c r="DY431" s="18"/>
      <c r="DZ431" s="18"/>
    </row>
    <row r="432" spans="1:130" x14ac:dyDescent="0.3">
      <c r="A432" s="18"/>
      <c r="B432" s="18"/>
      <c r="C432" s="18"/>
      <c r="D432" s="18"/>
      <c r="E432" s="18"/>
      <c r="F432" s="18"/>
      <c r="G432" s="18"/>
      <c r="H432" s="18"/>
      <c r="I432" s="18"/>
      <c r="J432" s="18"/>
      <c r="K432" s="18"/>
      <c r="L432" s="18"/>
      <c r="M432" s="18"/>
      <c r="N432" s="17"/>
      <c r="O432" s="17"/>
      <c r="P432" s="17"/>
      <c r="Q432" s="17"/>
      <c r="R432" s="17"/>
      <c r="S432" s="17"/>
      <c r="T432" s="17"/>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7"/>
      <c r="BT432" s="17"/>
      <c r="BU432" s="17"/>
      <c r="BV432" s="17"/>
      <c r="BW432" s="17"/>
      <c r="BX432" s="18"/>
      <c r="BY432" s="18"/>
      <c r="BZ432" s="18"/>
      <c r="CA432" s="18"/>
      <c r="CB432" s="17"/>
      <c r="CC432" s="17"/>
      <c r="CD432" s="17"/>
      <c r="CE432" s="18"/>
      <c r="CF432" s="18"/>
      <c r="CG432" s="18"/>
      <c r="CH432" s="18"/>
      <c r="CI432" s="18"/>
      <c r="CJ432" s="18"/>
      <c r="CK432" s="18"/>
      <c r="CL432" s="18"/>
      <c r="CM432" s="18"/>
      <c r="CN432" s="18"/>
      <c r="CO432" s="18"/>
      <c r="CP432" s="18"/>
      <c r="CQ432" s="18"/>
      <c r="CR432" s="18"/>
      <c r="CS432" s="18"/>
      <c r="CT432" s="18"/>
      <c r="CU432" s="18"/>
      <c r="CV432" s="18"/>
      <c r="CW432" s="18"/>
      <c r="CX432" s="18"/>
      <c r="CY432" s="18"/>
      <c r="CZ432" s="18"/>
      <c r="DA432" s="18"/>
      <c r="DB432" s="18"/>
      <c r="DC432" s="18"/>
      <c r="DD432" s="18"/>
      <c r="DE432" s="18"/>
      <c r="DF432" s="18"/>
      <c r="DG432" s="18"/>
      <c r="DH432" s="18"/>
      <c r="DI432" s="18"/>
      <c r="DJ432" s="18"/>
      <c r="DK432" s="18"/>
      <c r="DL432" s="18"/>
      <c r="DM432" s="18"/>
      <c r="DN432" s="18"/>
      <c r="DO432" s="18"/>
      <c r="DP432" s="18"/>
      <c r="DQ432" s="18"/>
      <c r="DR432" s="18"/>
      <c r="DS432" s="18"/>
      <c r="DT432" s="18"/>
      <c r="DU432" s="18"/>
      <c r="DV432" s="18"/>
      <c r="DW432" s="18"/>
      <c r="DX432" s="18"/>
      <c r="DY432" s="18"/>
      <c r="DZ432" s="18"/>
    </row>
    <row r="433" spans="1:130" x14ac:dyDescent="0.3">
      <c r="A433" s="18"/>
      <c r="B433" s="18"/>
      <c r="C433" s="18"/>
      <c r="D433" s="18"/>
      <c r="E433" s="18"/>
      <c r="F433" s="18"/>
      <c r="G433" s="18"/>
      <c r="H433" s="18"/>
      <c r="I433" s="18"/>
      <c r="J433" s="18"/>
      <c r="K433" s="18"/>
      <c r="L433" s="18"/>
      <c r="M433" s="18"/>
      <c r="N433" s="17"/>
      <c r="O433" s="17"/>
      <c r="P433" s="17"/>
      <c r="Q433" s="17"/>
      <c r="R433" s="17"/>
      <c r="S433" s="17"/>
      <c r="T433" s="17"/>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7"/>
      <c r="BT433" s="17"/>
      <c r="BU433" s="17"/>
      <c r="BV433" s="17"/>
      <c r="BW433" s="17"/>
      <c r="BX433" s="18"/>
      <c r="BY433" s="18"/>
      <c r="BZ433" s="18"/>
      <c r="CA433" s="18"/>
      <c r="CB433" s="17"/>
      <c r="CC433" s="17"/>
      <c r="CD433" s="17"/>
      <c r="CE433" s="18"/>
      <c r="CF433" s="18"/>
      <c r="CG433" s="18"/>
      <c r="CH433" s="18"/>
      <c r="CI433" s="18"/>
      <c r="CJ433" s="18"/>
      <c r="CK433" s="18"/>
      <c r="CL433" s="18"/>
      <c r="CM433" s="18"/>
      <c r="CN433" s="18"/>
      <c r="CO433" s="18"/>
      <c r="CP433" s="18"/>
      <c r="CQ433" s="18"/>
      <c r="CR433" s="18"/>
      <c r="CS433" s="18"/>
      <c r="CT433" s="18"/>
      <c r="CU433" s="18"/>
      <c r="CV433" s="18"/>
      <c r="CW433" s="18"/>
      <c r="CX433" s="18"/>
      <c r="CY433" s="18"/>
      <c r="CZ433" s="18"/>
      <c r="DA433" s="18"/>
      <c r="DB433" s="18"/>
      <c r="DC433" s="18"/>
      <c r="DD433" s="18"/>
      <c r="DE433" s="18"/>
      <c r="DF433" s="18"/>
      <c r="DG433" s="18"/>
      <c r="DH433" s="18"/>
      <c r="DI433" s="18"/>
      <c r="DJ433" s="18"/>
      <c r="DK433" s="18"/>
      <c r="DL433" s="18"/>
      <c r="DM433" s="18"/>
      <c r="DN433" s="18"/>
      <c r="DO433" s="18"/>
      <c r="DP433" s="18"/>
      <c r="DQ433" s="18"/>
      <c r="DR433" s="18"/>
      <c r="DS433" s="18"/>
      <c r="DT433" s="18"/>
      <c r="DU433" s="18"/>
      <c r="DV433" s="18"/>
      <c r="DW433" s="18"/>
      <c r="DX433" s="18"/>
      <c r="DY433" s="18"/>
      <c r="DZ433" s="18"/>
    </row>
    <row r="434" spans="1:130" x14ac:dyDescent="0.3">
      <c r="A434" s="18"/>
      <c r="B434" s="18"/>
      <c r="C434" s="18"/>
      <c r="D434" s="18"/>
      <c r="E434" s="18"/>
      <c r="F434" s="18"/>
      <c r="G434" s="18"/>
      <c r="H434" s="18"/>
      <c r="I434" s="18"/>
      <c r="J434" s="18"/>
      <c r="K434" s="18"/>
      <c r="L434" s="18"/>
      <c r="M434" s="18"/>
      <c r="N434" s="17"/>
      <c r="O434" s="17"/>
      <c r="P434" s="17"/>
      <c r="Q434" s="17"/>
      <c r="R434" s="17"/>
      <c r="S434" s="17"/>
      <c r="T434" s="17"/>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7"/>
      <c r="BT434" s="17"/>
      <c r="BU434" s="17"/>
      <c r="BV434" s="17"/>
      <c r="BW434" s="17"/>
      <c r="BX434" s="18"/>
      <c r="BY434" s="18"/>
      <c r="BZ434" s="18"/>
      <c r="CA434" s="18"/>
      <c r="CB434" s="17"/>
      <c r="CC434" s="17"/>
      <c r="CD434" s="17"/>
      <c r="CE434" s="18"/>
      <c r="CF434" s="18"/>
      <c r="CG434" s="18"/>
      <c r="CH434" s="18"/>
      <c r="CI434" s="18"/>
      <c r="CJ434" s="18"/>
      <c r="CK434" s="18"/>
      <c r="CL434" s="18"/>
      <c r="CM434" s="18"/>
      <c r="CN434" s="18"/>
      <c r="CO434" s="18"/>
      <c r="CP434" s="18"/>
      <c r="CQ434" s="18"/>
      <c r="CR434" s="18"/>
      <c r="CS434" s="18"/>
      <c r="CT434" s="18"/>
      <c r="CU434" s="18"/>
      <c r="CV434" s="18"/>
      <c r="CW434" s="18"/>
      <c r="CX434" s="18"/>
      <c r="CY434" s="18"/>
      <c r="CZ434" s="18"/>
      <c r="DA434" s="18"/>
      <c r="DB434" s="18"/>
      <c r="DC434" s="18"/>
      <c r="DD434" s="18"/>
      <c r="DE434" s="18"/>
      <c r="DF434" s="18"/>
      <c r="DG434" s="18"/>
      <c r="DH434" s="18"/>
      <c r="DI434" s="18"/>
      <c r="DJ434" s="18"/>
      <c r="DK434" s="18"/>
      <c r="DL434" s="18"/>
      <c r="DM434" s="18"/>
      <c r="DN434" s="18"/>
      <c r="DO434" s="18"/>
      <c r="DP434" s="18"/>
      <c r="DQ434" s="18"/>
      <c r="DR434" s="18"/>
      <c r="DS434" s="18"/>
      <c r="DT434" s="18"/>
      <c r="DU434" s="18"/>
      <c r="DV434" s="18"/>
      <c r="DW434" s="18"/>
      <c r="DX434" s="18"/>
      <c r="DY434" s="18"/>
      <c r="DZ434" s="18"/>
    </row>
    <row r="435" spans="1:130" x14ac:dyDescent="0.3">
      <c r="A435" s="18"/>
      <c r="B435" s="18"/>
      <c r="C435" s="18"/>
      <c r="D435" s="18"/>
      <c r="E435" s="18"/>
      <c r="F435" s="18"/>
      <c r="G435" s="18"/>
      <c r="H435" s="18"/>
      <c r="I435" s="18"/>
      <c r="J435" s="18"/>
      <c r="K435" s="18"/>
      <c r="L435" s="18"/>
      <c r="M435" s="18"/>
      <c r="N435" s="17"/>
      <c r="O435" s="17"/>
      <c r="P435" s="17"/>
      <c r="Q435" s="17"/>
      <c r="R435" s="17"/>
      <c r="S435" s="17"/>
      <c r="T435" s="17"/>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7"/>
      <c r="BT435" s="17"/>
      <c r="BU435" s="17"/>
      <c r="BV435" s="17"/>
      <c r="BW435" s="17"/>
      <c r="BX435" s="18"/>
      <c r="BY435" s="18"/>
      <c r="BZ435" s="18"/>
      <c r="CA435" s="18"/>
      <c r="CB435" s="17"/>
      <c r="CC435" s="17"/>
      <c r="CD435" s="17"/>
      <c r="CE435" s="18"/>
      <c r="CF435" s="18"/>
      <c r="CG435" s="18"/>
      <c r="CH435" s="18"/>
      <c r="CI435" s="18"/>
      <c r="CJ435" s="18"/>
      <c r="CK435" s="18"/>
      <c r="CL435" s="18"/>
      <c r="CM435" s="18"/>
      <c r="CN435" s="18"/>
      <c r="CO435" s="18"/>
      <c r="CP435" s="18"/>
      <c r="CQ435" s="18"/>
      <c r="CR435" s="18"/>
      <c r="CS435" s="18"/>
      <c r="CT435" s="18"/>
      <c r="CU435" s="18"/>
      <c r="CV435" s="18"/>
      <c r="CW435" s="18"/>
      <c r="CX435" s="18"/>
      <c r="CY435" s="18"/>
      <c r="CZ435" s="18"/>
      <c r="DA435" s="18"/>
      <c r="DB435" s="18"/>
      <c r="DC435" s="18"/>
      <c r="DD435" s="18"/>
      <c r="DE435" s="18"/>
      <c r="DF435" s="18"/>
      <c r="DG435" s="18"/>
      <c r="DH435" s="18"/>
      <c r="DI435" s="18"/>
      <c r="DJ435" s="18"/>
      <c r="DK435" s="18"/>
      <c r="DL435" s="18"/>
      <c r="DM435" s="18"/>
      <c r="DN435" s="18"/>
      <c r="DO435" s="18"/>
      <c r="DP435" s="18"/>
      <c r="DQ435" s="18"/>
      <c r="DR435" s="18"/>
      <c r="DS435" s="18"/>
      <c r="DT435" s="18"/>
      <c r="DU435" s="18"/>
      <c r="DV435" s="18"/>
      <c r="DW435" s="18"/>
      <c r="DX435" s="18"/>
      <c r="DY435" s="18"/>
      <c r="DZ435" s="18"/>
    </row>
    <row r="436" spans="1:130" x14ac:dyDescent="0.3">
      <c r="A436" s="18"/>
      <c r="B436" s="18"/>
      <c r="C436" s="18"/>
      <c r="D436" s="18"/>
      <c r="E436" s="18"/>
      <c r="F436" s="18"/>
      <c r="G436" s="18"/>
      <c r="H436" s="18"/>
      <c r="I436" s="18"/>
      <c r="J436" s="18"/>
      <c r="K436" s="18"/>
      <c r="L436" s="18"/>
      <c r="M436" s="18"/>
      <c r="N436" s="17"/>
      <c r="O436" s="17"/>
      <c r="P436" s="17"/>
      <c r="Q436" s="17"/>
      <c r="R436" s="17"/>
      <c r="S436" s="17"/>
      <c r="T436" s="17"/>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7"/>
      <c r="BT436" s="17"/>
      <c r="BU436" s="17"/>
      <c r="BV436" s="17"/>
      <c r="BW436" s="17"/>
      <c r="BX436" s="18"/>
      <c r="BY436" s="18"/>
      <c r="BZ436" s="18"/>
      <c r="CA436" s="18"/>
      <c r="CB436" s="17"/>
      <c r="CC436" s="17"/>
      <c r="CD436" s="17"/>
      <c r="CE436" s="18"/>
      <c r="CF436" s="18"/>
      <c r="CG436" s="18"/>
      <c r="CH436" s="18"/>
      <c r="CI436" s="18"/>
      <c r="CJ436" s="18"/>
      <c r="CK436" s="18"/>
      <c r="CL436" s="18"/>
      <c r="CM436" s="18"/>
      <c r="CN436" s="18"/>
      <c r="CO436" s="18"/>
      <c r="CP436" s="18"/>
      <c r="CQ436" s="18"/>
      <c r="CR436" s="18"/>
      <c r="CS436" s="18"/>
      <c r="CT436" s="18"/>
      <c r="CU436" s="18"/>
      <c r="CV436" s="18"/>
      <c r="CW436" s="18"/>
      <c r="CX436" s="18"/>
      <c r="CY436" s="18"/>
      <c r="CZ436" s="18"/>
      <c r="DA436" s="18"/>
      <c r="DB436" s="18"/>
      <c r="DC436" s="18"/>
      <c r="DD436" s="18"/>
      <c r="DE436" s="18"/>
      <c r="DF436" s="18"/>
      <c r="DG436" s="18"/>
      <c r="DH436" s="18"/>
      <c r="DI436" s="18"/>
      <c r="DJ436" s="18"/>
      <c r="DK436" s="18"/>
      <c r="DL436" s="18"/>
      <c r="DM436" s="18"/>
      <c r="DN436" s="18"/>
      <c r="DO436" s="18"/>
      <c r="DP436" s="18"/>
      <c r="DQ436" s="18"/>
      <c r="DR436" s="18"/>
      <c r="DS436" s="18"/>
      <c r="DT436" s="18"/>
      <c r="DU436" s="18"/>
      <c r="DV436" s="18"/>
      <c r="DW436" s="18"/>
      <c r="DX436" s="18"/>
      <c r="DY436" s="18"/>
      <c r="DZ436" s="18"/>
    </row>
    <row r="437" spans="1:130" x14ac:dyDescent="0.3">
      <c r="A437" s="18"/>
      <c r="B437" s="18"/>
      <c r="C437" s="18"/>
      <c r="D437" s="18"/>
      <c r="E437" s="18"/>
      <c r="F437" s="18"/>
      <c r="G437" s="18"/>
      <c r="H437" s="18"/>
      <c r="I437" s="18"/>
      <c r="J437" s="18"/>
      <c r="K437" s="18"/>
      <c r="L437" s="18"/>
      <c r="M437" s="18"/>
      <c r="N437" s="17"/>
      <c r="O437" s="17"/>
      <c r="P437" s="17"/>
      <c r="Q437" s="17"/>
      <c r="R437" s="17"/>
      <c r="S437" s="17"/>
      <c r="T437" s="17"/>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7"/>
      <c r="BT437" s="17"/>
      <c r="BU437" s="17"/>
      <c r="BV437" s="17"/>
      <c r="BW437" s="17"/>
      <c r="BX437" s="18"/>
      <c r="BY437" s="18"/>
      <c r="BZ437" s="18"/>
      <c r="CA437" s="18"/>
      <c r="CB437" s="17"/>
      <c r="CC437" s="17"/>
      <c r="CD437" s="17"/>
      <c r="CE437" s="18"/>
      <c r="CF437" s="18"/>
      <c r="CG437" s="18"/>
      <c r="CH437" s="18"/>
      <c r="CI437" s="18"/>
      <c r="CJ437" s="18"/>
      <c r="CK437" s="18"/>
      <c r="CL437" s="18"/>
      <c r="CM437" s="18"/>
      <c r="CN437" s="18"/>
      <c r="CO437" s="18"/>
      <c r="CP437" s="18"/>
      <c r="CQ437" s="18"/>
      <c r="CR437" s="18"/>
      <c r="CS437" s="18"/>
      <c r="CT437" s="18"/>
      <c r="CU437" s="18"/>
      <c r="CV437" s="18"/>
      <c r="CW437" s="18"/>
      <c r="CX437" s="18"/>
      <c r="CY437" s="18"/>
      <c r="CZ437" s="18"/>
      <c r="DA437" s="18"/>
      <c r="DB437" s="18"/>
      <c r="DC437" s="18"/>
      <c r="DD437" s="18"/>
      <c r="DE437" s="18"/>
      <c r="DF437" s="18"/>
      <c r="DG437" s="18"/>
      <c r="DH437" s="18"/>
      <c r="DI437" s="18"/>
      <c r="DJ437" s="18"/>
      <c r="DK437" s="18"/>
      <c r="DL437" s="18"/>
      <c r="DM437" s="18"/>
      <c r="DN437" s="18"/>
      <c r="DO437" s="18"/>
      <c r="DP437" s="18"/>
      <c r="DQ437" s="18"/>
      <c r="DR437" s="18"/>
      <c r="DS437" s="18"/>
      <c r="DT437" s="18"/>
      <c r="DU437" s="18"/>
      <c r="DV437" s="18"/>
      <c r="DW437" s="18"/>
      <c r="DX437" s="18"/>
      <c r="DY437" s="18"/>
      <c r="DZ437" s="18"/>
    </row>
    <row r="438" spans="1:130" x14ac:dyDescent="0.3">
      <c r="A438" s="18"/>
      <c r="B438" s="18"/>
      <c r="C438" s="18"/>
      <c r="D438" s="18"/>
      <c r="E438" s="18"/>
      <c r="F438" s="18"/>
      <c r="G438" s="18"/>
      <c r="H438" s="18"/>
      <c r="I438" s="18"/>
      <c r="J438" s="18"/>
      <c r="K438" s="18"/>
      <c r="L438" s="18"/>
      <c r="M438" s="18"/>
      <c r="N438" s="17"/>
      <c r="O438" s="17"/>
      <c r="P438" s="17"/>
      <c r="Q438" s="17"/>
      <c r="R438" s="17"/>
      <c r="S438" s="17"/>
      <c r="T438" s="17"/>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7"/>
      <c r="BT438" s="17"/>
      <c r="BU438" s="17"/>
      <c r="BV438" s="17"/>
      <c r="BW438" s="17"/>
      <c r="BX438" s="18"/>
      <c r="BY438" s="18"/>
      <c r="BZ438" s="18"/>
      <c r="CA438" s="18"/>
      <c r="CB438" s="17"/>
      <c r="CC438" s="17"/>
      <c r="CD438" s="17"/>
      <c r="CE438" s="18"/>
      <c r="CF438" s="18"/>
      <c r="CG438" s="18"/>
      <c r="CH438" s="18"/>
      <c r="CI438" s="18"/>
      <c r="CJ438" s="18"/>
      <c r="CK438" s="18"/>
      <c r="CL438" s="18"/>
      <c r="CM438" s="18"/>
      <c r="CN438" s="18"/>
      <c r="CO438" s="18"/>
      <c r="CP438" s="18"/>
      <c r="CQ438" s="18"/>
      <c r="CR438" s="18"/>
      <c r="CS438" s="18"/>
      <c r="CT438" s="18"/>
      <c r="CU438" s="18"/>
      <c r="CV438" s="18"/>
      <c r="CW438" s="18"/>
      <c r="CX438" s="18"/>
      <c r="CY438" s="18"/>
      <c r="CZ438" s="18"/>
      <c r="DA438" s="18"/>
      <c r="DB438" s="18"/>
      <c r="DC438" s="18"/>
      <c r="DD438" s="18"/>
      <c r="DE438" s="18"/>
      <c r="DF438" s="18"/>
      <c r="DG438" s="18"/>
      <c r="DH438" s="18"/>
      <c r="DI438" s="18"/>
      <c r="DJ438" s="18"/>
      <c r="DK438" s="18"/>
      <c r="DL438" s="18"/>
      <c r="DM438" s="18"/>
      <c r="DN438" s="18"/>
      <c r="DO438" s="18"/>
      <c r="DP438" s="18"/>
      <c r="DQ438" s="18"/>
      <c r="DR438" s="18"/>
      <c r="DS438" s="18"/>
      <c r="DT438" s="18"/>
      <c r="DU438" s="18"/>
      <c r="DV438" s="18"/>
      <c r="DW438" s="18"/>
      <c r="DX438" s="18"/>
      <c r="DY438" s="18"/>
      <c r="DZ438" s="18"/>
    </row>
    <row r="439" spans="1:130" x14ac:dyDescent="0.3">
      <c r="A439" s="18"/>
      <c r="B439" s="18"/>
      <c r="C439" s="18"/>
      <c r="D439" s="18"/>
      <c r="E439" s="18"/>
      <c r="F439" s="18"/>
      <c r="G439" s="18"/>
      <c r="H439" s="18"/>
      <c r="I439" s="18"/>
      <c r="J439" s="18"/>
      <c r="K439" s="18"/>
      <c r="L439" s="18"/>
      <c r="M439" s="18"/>
      <c r="N439" s="17"/>
      <c r="O439" s="17"/>
      <c r="P439" s="17"/>
      <c r="Q439" s="17"/>
      <c r="R439" s="17"/>
      <c r="S439" s="17"/>
      <c r="T439" s="17"/>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7"/>
      <c r="BT439" s="17"/>
      <c r="BU439" s="17"/>
      <c r="BV439" s="17"/>
      <c r="BW439" s="17"/>
      <c r="BX439" s="18"/>
      <c r="BY439" s="18"/>
      <c r="BZ439" s="18"/>
      <c r="CA439" s="18"/>
      <c r="CB439" s="17"/>
      <c r="CC439" s="17"/>
      <c r="CD439" s="17"/>
      <c r="CE439" s="18"/>
      <c r="CF439" s="18"/>
      <c r="CG439" s="18"/>
      <c r="CH439" s="18"/>
      <c r="CI439" s="18"/>
      <c r="CJ439" s="18"/>
      <c r="CK439" s="18"/>
      <c r="CL439" s="18"/>
      <c r="CM439" s="18"/>
      <c r="CN439" s="18"/>
      <c r="CO439" s="18"/>
      <c r="CP439" s="18"/>
      <c r="CQ439" s="18"/>
      <c r="CR439" s="18"/>
      <c r="CS439" s="18"/>
      <c r="CT439" s="18"/>
      <c r="CU439" s="18"/>
      <c r="CV439" s="18"/>
      <c r="CW439" s="18"/>
      <c r="CX439" s="18"/>
      <c r="CY439" s="18"/>
      <c r="CZ439" s="18"/>
      <c r="DA439" s="18"/>
      <c r="DB439" s="18"/>
      <c r="DC439" s="18"/>
      <c r="DD439" s="18"/>
      <c r="DE439" s="18"/>
      <c r="DF439" s="18"/>
      <c r="DG439" s="18"/>
      <c r="DH439" s="18"/>
      <c r="DI439" s="18"/>
      <c r="DJ439" s="18"/>
      <c r="DK439" s="18"/>
      <c r="DL439" s="18"/>
      <c r="DM439" s="18"/>
      <c r="DN439" s="18"/>
      <c r="DO439" s="18"/>
      <c r="DP439" s="18"/>
      <c r="DQ439" s="18"/>
      <c r="DR439" s="18"/>
      <c r="DS439" s="18"/>
      <c r="DT439" s="18"/>
      <c r="DU439" s="18"/>
      <c r="DV439" s="18"/>
      <c r="DW439" s="18"/>
      <c r="DX439" s="18"/>
      <c r="DY439" s="18"/>
      <c r="DZ439" s="18"/>
    </row>
    <row r="440" spans="1:130" x14ac:dyDescent="0.3">
      <c r="A440" s="18"/>
      <c r="B440" s="18"/>
      <c r="C440" s="18"/>
      <c r="D440" s="18"/>
      <c r="E440" s="18"/>
      <c r="F440" s="18"/>
      <c r="G440" s="18"/>
      <c r="H440" s="18"/>
      <c r="I440" s="18"/>
      <c r="J440" s="18"/>
      <c r="K440" s="18"/>
      <c r="L440" s="18"/>
      <c r="M440" s="18"/>
      <c r="N440" s="17"/>
      <c r="O440" s="17"/>
      <c r="P440" s="17"/>
      <c r="Q440" s="17"/>
      <c r="R440" s="17"/>
      <c r="S440" s="17"/>
      <c r="T440" s="17"/>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7"/>
      <c r="BT440" s="17"/>
      <c r="BU440" s="17"/>
      <c r="BV440" s="17"/>
      <c r="BW440" s="17"/>
      <c r="BX440" s="18"/>
      <c r="BY440" s="18"/>
      <c r="BZ440" s="18"/>
      <c r="CA440" s="18"/>
      <c r="CB440" s="17"/>
      <c r="CC440" s="17"/>
      <c r="CD440" s="17"/>
      <c r="CE440" s="18"/>
      <c r="CF440" s="18"/>
      <c r="CG440" s="18"/>
      <c r="CH440" s="18"/>
      <c r="CI440" s="18"/>
      <c r="CJ440" s="18"/>
      <c r="CK440" s="18"/>
      <c r="CL440" s="18"/>
      <c r="CM440" s="18"/>
      <c r="CN440" s="18"/>
      <c r="CO440" s="18"/>
      <c r="CP440" s="18"/>
      <c r="CQ440" s="18"/>
      <c r="CR440" s="18"/>
      <c r="CS440" s="18"/>
      <c r="CT440" s="18"/>
      <c r="CU440" s="18"/>
      <c r="CV440" s="18"/>
      <c r="CW440" s="18"/>
      <c r="CX440" s="18"/>
      <c r="CY440" s="18"/>
      <c r="CZ440" s="18"/>
      <c r="DA440" s="18"/>
      <c r="DB440" s="18"/>
      <c r="DC440" s="18"/>
      <c r="DD440" s="18"/>
      <c r="DE440" s="18"/>
      <c r="DF440" s="18"/>
      <c r="DG440" s="18"/>
      <c r="DH440" s="18"/>
      <c r="DI440" s="18"/>
      <c r="DJ440" s="18"/>
      <c r="DK440" s="18"/>
      <c r="DL440" s="18"/>
      <c r="DM440" s="18"/>
      <c r="DN440" s="18"/>
      <c r="DO440" s="18"/>
      <c r="DP440" s="18"/>
      <c r="DQ440" s="18"/>
      <c r="DR440" s="18"/>
      <c r="DS440" s="18"/>
      <c r="DT440" s="18"/>
      <c r="DU440" s="18"/>
      <c r="DV440" s="18"/>
      <c r="DW440" s="18"/>
      <c r="DX440" s="18"/>
      <c r="DY440" s="18"/>
      <c r="DZ440" s="18"/>
    </row>
    <row r="441" spans="1:130" x14ac:dyDescent="0.3">
      <c r="A441" s="18"/>
      <c r="B441" s="18"/>
      <c r="C441" s="18"/>
      <c r="D441" s="18"/>
      <c r="E441" s="18"/>
      <c r="F441" s="18"/>
      <c r="G441" s="18"/>
      <c r="H441" s="18"/>
      <c r="I441" s="18"/>
      <c r="J441" s="18"/>
      <c r="K441" s="18"/>
      <c r="L441" s="18"/>
      <c r="M441" s="18"/>
      <c r="N441" s="17"/>
      <c r="O441" s="17"/>
      <c r="P441" s="17"/>
      <c r="Q441" s="17"/>
      <c r="R441" s="17"/>
      <c r="S441" s="17"/>
      <c r="T441" s="17"/>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7"/>
      <c r="BT441" s="17"/>
      <c r="BU441" s="17"/>
      <c r="BV441" s="17"/>
      <c r="BW441" s="17"/>
      <c r="BX441" s="18"/>
      <c r="BY441" s="18"/>
      <c r="BZ441" s="18"/>
      <c r="CA441" s="18"/>
      <c r="CB441" s="17"/>
      <c r="CC441" s="17"/>
      <c r="CD441" s="17"/>
      <c r="CE441" s="18"/>
      <c r="CF441" s="18"/>
      <c r="CG441" s="18"/>
      <c r="CH441" s="18"/>
      <c r="CI441" s="18"/>
      <c r="CJ441" s="18"/>
      <c r="CK441" s="18"/>
      <c r="CL441" s="18"/>
      <c r="CM441" s="18"/>
      <c r="CN441" s="18"/>
      <c r="CO441" s="18"/>
      <c r="CP441" s="18"/>
      <c r="CQ441" s="18"/>
      <c r="CR441" s="18"/>
      <c r="CS441" s="18"/>
      <c r="CT441" s="18"/>
      <c r="CU441" s="18"/>
      <c r="CV441" s="18"/>
      <c r="CW441" s="18"/>
      <c r="CX441" s="18"/>
      <c r="CY441" s="18"/>
      <c r="CZ441" s="18"/>
      <c r="DA441" s="18"/>
      <c r="DB441" s="18"/>
      <c r="DC441" s="18"/>
      <c r="DD441" s="18"/>
      <c r="DE441" s="18"/>
      <c r="DF441" s="18"/>
      <c r="DG441" s="18"/>
      <c r="DH441" s="18"/>
      <c r="DI441" s="18"/>
      <c r="DJ441" s="18"/>
      <c r="DK441" s="18"/>
      <c r="DL441" s="18"/>
      <c r="DM441" s="18"/>
      <c r="DN441" s="18"/>
      <c r="DO441" s="18"/>
      <c r="DP441" s="18"/>
      <c r="DQ441" s="18"/>
      <c r="DR441" s="18"/>
      <c r="DS441" s="18"/>
      <c r="DT441" s="18"/>
      <c r="DU441" s="18"/>
      <c r="DV441" s="18"/>
      <c r="DW441" s="18"/>
      <c r="DX441" s="18"/>
      <c r="DY441" s="18"/>
      <c r="DZ441" s="18"/>
    </row>
    <row r="442" spans="1:130" x14ac:dyDescent="0.3">
      <c r="A442" s="18"/>
      <c r="B442" s="18"/>
      <c r="C442" s="18"/>
      <c r="D442" s="18"/>
      <c r="E442" s="18"/>
      <c r="F442" s="18"/>
      <c r="G442" s="18"/>
      <c r="H442" s="18"/>
      <c r="I442" s="18"/>
      <c r="J442" s="18"/>
      <c r="K442" s="18"/>
      <c r="L442" s="18"/>
      <c r="M442" s="18"/>
      <c r="N442" s="17"/>
      <c r="O442" s="17"/>
      <c r="P442" s="17"/>
      <c r="Q442" s="17"/>
      <c r="R442" s="17"/>
      <c r="S442" s="17"/>
      <c r="T442" s="17"/>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7"/>
      <c r="BT442" s="17"/>
      <c r="BU442" s="17"/>
      <c r="BV442" s="17"/>
      <c r="BW442" s="17"/>
      <c r="BX442" s="18"/>
      <c r="BY442" s="18"/>
      <c r="BZ442" s="18"/>
      <c r="CA442" s="18"/>
      <c r="CB442" s="17"/>
      <c r="CC442" s="17"/>
      <c r="CD442" s="17"/>
      <c r="CE442" s="18"/>
      <c r="CF442" s="18"/>
      <c r="CG442" s="18"/>
      <c r="CH442" s="18"/>
      <c r="CI442" s="18"/>
      <c r="CJ442" s="18"/>
      <c r="CK442" s="18"/>
      <c r="CL442" s="18"/>
      <c r="CM442" s="18"/>
      <c r="CN442" s="18"/>
      <c r="CO442" s="18"/>
      <c r="CP442" s="18"/>
      <c r="CQ442" s="18"/>
      <c r="CR442" s="18"/>
      <c r="CS442" s="18"/>
      <c r="CT442" s="18"/>
      <c r="CU442" s="18"/>
      <c r="CV442" s="18"/>
      <c r="CW442" s="18"/>
      <c r="CX442" s="18"/>
      <c r="CY442" s="18"/>
      <c r="CZ442" s="18"/>
      <c r="DA442" s="18"/>
      <c r="DB442" s="18"/>
      <c r="DC442" s="18"/>
      <c r="DD442" s="18"/>
      <c r="DE442" s="18"/>
      <c r="DF442" s="18"/>
      <c r="DG442" s="18"/>
      <c r="DH442" s="18"/>
      <c r="DI442" s="18"/>
      <c r="DJ442" s="18"/>
      <c r="DK442" s="18"/>
      <c r="DL442" s="18"/>
      <c r="DM442" s="18"/>
      <c r="DN442" s="18"/>
      <c r="DO442" s="18"/>
      <c r="DP442" s="18"/>
      <c r="DQ442" s="18"/>
      <c r="DR442" s="18"/>
      <c r="DS442" s="18"/>
      <c r="DT442" s="18"/>
      <c r="DU442" s="18"/>
      <c r="DV442" s="18"/>
      <c r="DW442" s="18"/>
      <c r="DX442" s="18"/>
      <c r="DY442" s="18"/>
      <c r="DZ442" s="18"/>
    </row>
    <row r="443" spans="1:130" x14ac:dyDescent="0.3">
      <c r="A443" s="18"/>
      <c r="B443" s="18"/>
      <c r="C443" s="18"/>
      <c r="D443" s="18"/>
      <c r="E443" s="18"/>
      <c r="F443" s="18"/>
      <c r="G443" s="18"/>
      <c r="H443" s="18"/>
      <c r="I443" s="18"/>
      <c r="J443" s="18"/>
      <c r="K443" s="18"/>
      <c r="L443" s="18"/>
      <c r="M443" s="18"/>
      <c r="N443" s="17"/>
      <c r="O443" s="17"/>
      <c r="P443" s="17"/>
      <c r="Q443" s="17"/>
      <c r="R443" s="17"/>
      <c r="S443" s="17"/>
      <c r="T443" s="17"/>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7"/>
      <c r="BT443" s="17"/>
      <c r="BU443" s="17"/>
      <c r="BV443" s="17"/>
      <c r="BW443" s="17"/>
      <c r="BX443" s="18"/>
      <c r="BY443" s="18"/>
      <c r="BZ443" s="18"/>
      <c r="CA443" s="18"/>
      <c r="CB443" s="17"/>
      <c r="CC443" s="17"/>
      <c r="CD443" s="17"/>
      <c r="CE443" s="18"/>
      <c r="CF443" s="18"/>
      <c r="CG443" s="18"/>
      <c r="CH443" s="18"/>
      <c r="CI443" s="18"/>
      <c r="CJ443" s="18"/>
      <c r="CK443" s="18"/>
      <c r="CL443" s="18"/>
      <c r="CM443" s="18"/>
      <c r="CN443" s="18"/>
      <c r="CO443" s="18"/>
      <c r="CP443" s="18"/>
      <c r="CQ443" s="18"/>
      <c r="CR443" s="18"/>
      <c r="CS443" s="18"/>
      <c r="CT443" s="18"/>
      <c r="CU443" s="18"/>
      <c r="CV443" s="18"/>
      <c r="CW443" s="18"/>
      <c r="CX443" s="18"/>
      <c r="CY443" s="18"/>
      <c r="CZ443" s="18"/>
      <c r="DA443" s="18"/>
      <c r="DB443" s="18"/>
      <c r="DC443" s="18"/>
      <c r="DD443" s="18"/>
      <c r="DE443" s="18"/>
      <c r="DF443" s="18"/>
      <c r="DG443" s="18"/>
      <c r="DH443" s="18"/>
      <c r="DI443" s="18"/>
      <c r="DJ443" s="18"/>
      <c r="DK443" s="18"/>
      <c r="DL443" s="18"/>
      <c r="DM443" s="18"/>
      <c r="DN443" s="18"/>
      <c r="DO443" s="18"/>
      <c r="DP443" s="18"/>
      <c r="DQ443" s="18"/>
      <c r="DR443" s="18"/>
      <c r="DS443" s="18"/>
      <c r="DT443" s="18"/>
      <c r="DU443" s="18"/>
      <c r="DV443" s="18"/>
      <c r="DW443" s="18"/>
      <c r="DX443" s="18"/>
      <c r="DY443" s="18"/>
      <c r="DZ443" s="18"/>
    </row>
    <row r="444" spans="1:130" x14ac:dyDescent="0.3">
      <c r="A444" s="18"/>
      <c r="B444" s="18"/>
      <c r="C444" s="18"/>
      <c r="D444" s="18"/>
      <c r="E444" s="18"/>
      <c r="F444" s="18"/>
      <c r="G444" s="18"/>
      <c r="H444" s="18"/>
      <c r="I444" s="18"/>
      <c r="J444" s="18"/>
      <c r="K444" s="18"/>
      <c r="L444" s="18"/>
      <c r="M444" s="18"/>
      <c r="N444" s="17"/>
      <c r="O444" s="17"/>
      <c r="P444" s="17"/>
      <c r="Q444" s="17"/>
      <c r="R444" s="17"/>
      <c r="S444" s="17"/>
      <c r="T444" s="17"/>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7"/>
      <c r="BT444" s="17"/>
      <c r="BU444" s="17"/>
      <c r="BV444" s="17"/>
      <c r="BW444" s="17"/>
      <c r="BX444" s="18"/>
      <c r="BY444" s="18"/>
      <c r="BZ444" s="18"/>
      <c r="CA444" s="18"/>
      <c r="CB444" s="17"/>
      <c r="CC444" s="17"/>
      <c r="CD444" s="17"/>
      <c r="CE444" s="18"/>
      <c r="CF444" s="18"/>
      <c r="CG444" s="18"/>
      <c r="CH444" s="18"/>
      <c r="CI444" s="18"/>
      <c r="CJ444" s="18"/>
      <c r="CK444" s="18"/>
      <c r="CL444" s="18"/>
      <c r="CM444" s="18"/>
      <c r="CN444" s="18"/>
      <c r="CO444" s="18"/>
      <c r="CP444" s="18"/>
      <c r="CQ444" s="18"/>
      <c r="CR444" s="18"/>
      <c r="CS444" s="18"/>
      <c r="CT444" s="18"/>
      <c r="CU444" s="18"/>
      <c r="CV444" s="18"/>
      <c r="CW444" s="18"/>
      <c r="CX444" s="18"/>
      <c r="CY444" s="18"/>
      <c r="CZ444" s="18"/>
      <c r="DA444" s="18"/>
      <c r="DB444" s="18"/>
      <c r="DC444" s="18"/>
      <c r="DD444" s="18"/>
      <c r="DE444" s="18"/>
      <c r="DF444" s="18"/>
      <c r="DG444" s="18"/>
      <c r="DH444" s="18"/>
      <c r="DI444" s="18"/>
      <c r="DJ444" s="18"/>
      <c r="DK444" s="18"/>
      <c r="DL444" s="18"/>
      <c r="DM444" s="18"/>
      <c r="DN444" s="18"/>
      <c r="DO444" s="18"/>
      <c r="DP444" s="18"/>
      <c r="DQ444" s="18"/>
      <c r="DR444" s="18"/>
      <c r="DS444" s="18"/>
      <c r="DT444" s="18"/>
      <c r="DU444" s="18"/>
      <c r="DV444" s="18"/>
      <c r="DW444" s="18"/>
      <c r="DX444" s="18"/>
      <c r="DY444" s="18"/>
      <c r="DZ444" s="18"/>
    </row>
    <row r="445" spans="1:130" x14ac:dyDescent="0.3">
      <c r="A445" s="18"/>
      <c r="B445" s="18"/>
      <c r="C445" s="18"/>
      <c r="D445" s="18"/>
      <c r="E445" s="18"/>
      <c r="F445" s="18"/>
      <c r="G445" s="18"/>
      <c r="H445" s="18"/>
      <c r="I445" s="18"/>
      <c r="J445" s="18"/>
      <c r="K445" s="18"/>
      <c r="L445" s="18"/>
      <c r="M445" s="18"/>
      <c r="N445" s="17"/>
      <c r="O445" s="17"/>
      <c r="P445" s="17"/>
      <c r="Q445" s="17"/>
      <c r="R445" s="17"/>
      <c r="S445" s="17"/>
      <c r="T445" s="17"/>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7"/>
      <c r="BT445" s="17"/>
      <c r="BU445" s="17"/>
      <c r="BV445" s="17"/>
      <c r="BW445" s="17"/>
      <c r="BX445" s="18"/>
      <c r="BY445" s="18"/>
      <c r="BZ445" s="18"/>
      <c r="CA445" s="18"/>
      <c r="CB445" s="17"/>
      <c r="CC445" s="17"/>
      <c r="CD445" s="17"/>
      <c r="CE445" s="18"/>
      <c r="CF445" s="18"/>
      <c r="CG445" s="18"/>
      <c r="CH445" s="18"/>
      <c r="CI445" s="18"/>
      <c r="CJ445" s="18"/>
      <c r="CK445" s="18"/>
      <c r="CL445" s="18"/>
      <c r="CM445" s="18"/>
      <c r="CN445" s="18"/>
      <c r="CO445" s="18"/>
      <c r="CP445" s="18"/>
      <c r="CQ445" s="18"/>
      <c r="CR445" s="18"/>
      <c r="CS445" s="18"/>
      <c r="CT445" s="18"/>
      <c r="CU445" s="18"/>
      <c r="CV445" s="18"/>
      <c r="CW445" s="18"/>
      <c r="CX445" s="18"/>
      <c r="CY445" s="18"/>
      <c r="CZ445" s="18"/>
      <c r="DA445" s="18"/>
      <c r="DB445" s="18"/>
      <c r="DC445" s="18"/>
      <c r="DD445" s="18"/>
      <c r="DE445" s="18"/>
      <c r="DF445" s="18"/>
      <c r="DG445" s="18"/>
      <c r="DH445" s="18"/>
      <c r="DI445" s="18"/>
      <c r="DJ445" s="18"/>
      <c r="DK445" s="18"/>
      <c r="DL445" s="18"/>
      <c r="DM445" s="18"/>
      <c r="DN445" s="18"/>
      <c r="DO445" s="18"/>
      <c r="DP445" s="18"/>
      <c r="DQ445" s="18"/>
      <c r="DR445" s="18"/>
      <c r="DS445" s="18"/>
      <c r="DT445" s="18"/>
      <c r="DU445" s="18"/>
      <c r="DV445" s="18"/>
      <c r="DW445" s="18"/>
      <c r="DX445" s="18"/>
      <c r="DY445" s="18"/>
      <c r="DZ445" s="18"/>
    </row>
    <row r="446" spans="1:130" x14ac:dyDescent="0.3">
      <c r="A446" s="18"/>
      <c r="B446" s="18"/>
      <c r="C446" s="18"/>
      <c r="D446" s="18"/>
      <c r="E446" s="18"/>
      <c r="F446" s="18"/>
      <c r="G446" s="18"/>
      <c r="H446" s="18"/>
      <c r="I446" s="18"/>
      <c r="J446" s="18"/>
      <c r="K446" s="18"/>
      <c r="L446" s="18"/>
      <c r="M446" s="18"/>
      <c r="N446" s="17"/>
      <c r="O446" s="17"/>
      <c r="P446" s="17"/>
      <c r="Q446" s="17"/>
      <c r="R446" s="17"/>
      <c r="S446" s="17"/>
      <c r="T446" s="17"/>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7"/>
      <c r="BT446" s="17"/>
      <c r="BU446" s="17"/>
      <c r="BV446" s="17"/>
      <c r="BW446" s="17"/>
      <c r="BX446" s="18"/>
      <c r="BY446" s="18"/>
      <c r="BZ446" s="18"/>
      <c r="CA446" s="18"/>
      <c r="CB446" s="17"/>
      <c r="CC446" s="17"/>
      <c r="CD446" s="17"/>
      <c r="CE446" s="18"/>
      <c r="CF446" s="18"/>
      <c r="CG446" s="18"/>
      <c r="CH446" s="18"/>
      <c r="CI446" s="18"/>
      <c r="CJ446" s="18"/>
      <c r="CK446" s="18"/>
      <c r="CL446" s="18"/>
      <c r="CM446" s="18"/>
      <c r="CN446" s="18"/>
      <c r="CO446" s="18"/>
      <c r="CP446" s="18"/>
      <c r="CQ446" s="18"/>
      <c r="CR446" s="18"/>
      <c r="CS446" s="18"/>
      <c r="CT446" s="18"/>
      <c r="CU446" s="18"/>
      <c r="CV446" s="18"/>
      <c r="CW446" s="18"/>
      <c r="CX446" s="18"/>
      <c r="CY446" s="18"/>
      <c r="CZ446" s="18"/>
      <c r="DA446" s="18"/>
      <c r="DB446" s="18"/>
      <c r="DC446" s="18"/>
      <c r="DD446" s="18"/>
      <c r="DE446" s="18"/>
      <c r="DF446" s="18"/>
      <c r="DG446" s="18"/>
      <c r="DH446" s="18"/>
      <c r="DI446" s="18"/>
      <c r="DJ446" s="18"/>
      <c r="DK446" s="18"/>
      <c r="DL446" s="18"/>
      <c r="DM446" s="18"/>
      <c r="DN446" s="18"/>
      <c r="DO446" s="18"/>
      <c r="DP446" s="18"/>
      <c r="DQ446" s="18"/>
      <c r="DR446" s="18"/>
      <c r="DS446" s="18"/>
      <c r="DT446" s="18"/>
      <c r="DU446" s="18"/>
      <c r="DV446" s="18"/>
      <c r="DW446" s="18"/>
      <c r="DX446" s="18"/>
      <c r="DY446" s="18"/>
      <c r="DZ446" s="18"/>
    </row>
    <row r="447" spans="1:130" x14ac:dyDescent="0.3">
      <c r="A447" s="18"/>
      <c r="B447" s="18"/>
      <c r="C447" s="18"/>
      <c r="D447" s="18"/>
      <c r="E447" s="18"/>
      <c r="F447" s="18"/>
      <c r="G447" s="18"/>
      <c r="H447" s="18"/>
      <c r="I447" s="18"/>
      <c r="J447" s="18"/>
      <c r="K447" s="18"/>
      <c r="L447" s="18"/>
      <c r="M447" s="18"/>
      <c r="N447" s="17"/>
      <c r="O447" s="17"/>
      <c r="P447" s="17"/>
      <c r="Q447" s="17"/>
      <c r="R447" s="17"/>
      <c r="S447" s="17"/>
      <c r="T447" s="17"/>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7"/>
      <c r="BT447" s="17"/>
      <c r="BU447" s="17"/>
      <c r="BV447" s="17"/>
      <c r="BW447" s="17"/>
      <c r="BX447" s="18"/>
      <c r="BY447" s="18"/>
      <c r="BZ447" s="18"/>
      <c r="CA447" s="18"/>
      <c r="CB447" s="17"/>
      <c r="CC447" s="17"/>
      <c r="CD447" s="17"/>
      <c r="CE447" s="18"/>
      <c r="CF447" s="18"/>
      <c r="CG447" s="18"/>
      <c r="CH447" s="18"/>
      <c r="CI447" s="18"/>
      <c r="CJ447" s="18"/>
      <c r="CK447" s="18"/>
      <c r="CL447" s="18"/>
      <c r="CM447" s="18"/>
      <c r="CN447" s="18"/>
      <c r="CO447" s="18"/>
      <c r="CP447" s="18"/>
      <c r="CQ447" s="18"/>
      <c r="CR447" s="18"/>
      <c r="CS447" s="18"/>
      <c r="CT447" s="18"/>
      <c r="CU447" s="18"/>
      <c r="CV447" s="18"/>
      <c r="CW447" s="18"/>
      <c r="CX447" s="18"/>
      <c r="CY447" s="18"/>
      <c r="CZ447" s="18"/>
      <c r="DA447" s="18"/>
      <c r="DB447" s="18"/>
      <c r="DC447" s="18"/>
      <c r="DD447" s="18"/>
      <c r="DE447" s="18"/>
      <c r="DF447" s="18"/>
      <c r="DG447" s="18"/>
      <c r="DH447" s="18"/>
      <c r="DI447" s="18"/>
      <c r="DJ447" s="18"/>
      <c r="DK447" s="18"/>
      <c r="DL447" s="18"/>
      <c r="DM447" s="18"/>
      <c r="DN447" s="18"/>
      <c r="DO447" s="18"/>
      <c r="DP447" s="18"/>
      <c r="DQ447" s="18"/>
      <c r="DR447" s="18"/>
      <c r="DS447" s="18"/>
      <c r="DT447" s="18"/>
      <c r="DU447" s="18"/>
      <c r="DV447" s="18"/>
      <c r="DW447" s="18"/>
      <c r="DX447" s="18"/>
      <c r="DY447" s="18"/>
      <c r="DZ447" s="18"/>
    </row>
    <row r="448" spans="1:130" x14ac:dyDescent="0.3">
      <c r="A448" s="18"/>
      <c r="B448" s="18"/>
      <c r="C448" s="18"/>
      <c r="D448" s="18"/>
      <c r="E448" s="18"/>
      <c r="F448" s="18"/>
      <c r="G448" s="18"/>
      <c r="H448" s="18"/>
      <c r="I448" s="18"/>
      <c r="J448" s="18"/>
      <c r="K448" s="18"/>
      <c r="L448" s="18"/>
      <c r="M448" s="18"/>
      <c r="N448" s="17"/>
      <c r="O448" s="17"/>
      <c r="P448" s="17"/>
      <c r="Q448" s="17"/>
      <c r="R448" s="17"/>
      <c r="S448" s="17"/>
      <c r="T448" s="17"/>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7"/>
      <c r="BT448" s="17"/>
      <c r="BU448" s="17"/>
      <c r="BV448" s="17"/>
      <c r="BW448" s="17"/>
      <c r="BX448" s="18"/>
      <c r="BY448" s="18"/>
      <c r="BZ448" s="18"/>
      <c r="CA448" s="18"/>
      <c r="CB448" s="17"/>
      <c r="CC448" s="17"/>
      <c r="CD448" s="17"/>
      <c r="CE448" s="18"/>
      <c r="CF448" s="18"/>
      <c r="CG448" s="18"/>
      <c r="CH448" s="18"/>
      <c r="CI448" s="18"/>
      <c r="CJ448" s="18"/>
      <c r="CK448" s="18"/>
      <c r="CL448" s="18"/>
      <c r="CM448" s="18"/>
      <c r="CN448" s="18"/>
      <c r="CO448" s="18"/>
      <c r="CP448" s="18"/>
      <c r="CQ448" s="18"/>
      <c r="CR448" s="18"/>
      <c r="CS448" s="18"/>
      <c r="CT448" s="18"/>
      <c r="CU448" s="18"/>
      <c r="CV448" s="18"/>
      <c r="CW448" s="18"/>
      <c r="CX448" s="18"/>
      <c r="CY448" s="18"/>
      <c r="CZ448" s="18"/>
      <c r="DA448" s="18"/>
      <c r="DB448" s="18"/>
      <c r="DC448" s="18"/>
      <c r="DD448" s="18"/>
      <c r="DE448" s="18"/>
      <c r="DF448" s="18"/>
      <c r="DG448" s="18"/>
      <c r="DH448" s="18"/>
      <c r="DI448" s="18"/>
      <c r="DJ448" s="18"/>
      <c r="DK448" s="18"/>
      <c r="DL448" s="18"/>
      <c r="DM448" s="18"/>
      <c r="DN448" s="18"/>
      <c r="DO448" s="18"/>
      <c r="DP448" s="18"/>
      <c r="DQ448" s="18"/>
      <c r="DR448" s="18"/>
      <c r="DS448" s="18"/>
      <c r="DT448" s="18"/>
      <c r="DU448" s="18"/>
      <c r="DV448" s="18"/>
      <c r="DW448" s="18"/>
      <c r="DX448" s="18"/>
      <c r="DY448" s="18"/>
      <c r="DZ448" s="18"/>
    </row>
    <row r="449" spans="1:130" x14ac:dyDescent="0.3">
      <c r="A449" s="18"/>
      <c r="B449" s="18"/>
      <c r="C449" s="18"/>
      <c r="D449" s="18"/>
      <c r="E449" s="18"/>
      <c r="F449" s="18"/>
      <c r="G449" s="18"/>
      <c r="H449" s="18"/>
      <c r="I449" s="18"/>
      <c r="J449" s="18"/>
      <c r="K449" s="18"/>
      <c r="L449" s="18"/>
      <c r="M449" s="18"/>
      <c r="N449" s="17"/>
      <c r="O449" s="17"/>
      <c r="P449" s="17"/>
      <c r="Q449" s="17"/>
      <c r="R449" s="17"/>
      <c r="S449" s="17"/>
      <c r="T449" s="17"/>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7"/>
      <c r="BT449" s="17"/>
      <c r="BU449" s="17"/>
      <c r="BV449" s="17"/>
      <c r="BW449" s="17"/>
      <c r="BX449" s="18"/>
      <c r="BY449" s="18"/>
      <c r="BZ449" s="18"/>
      <c r="CA449" s="18"/>
      <c r="CB449" s="17"/>
      <c r="CC449" s="17"/>
      <c r="CD449" s="17"/>
      <c r="CE449" s="18"/>
      <c r="CF449" s="18"/>
      <c r="CG449" s="18"/>
      <c r="CH449" s="18"/>
      <c r="CI449" s="18"/>
      <c r="CJ449" s="18"/>
      <c r="CK449" s="18"/>
      <c r="CL449" s="18"/>
      <c r="CM449" s="18"/>
      <c r="CN449" s="18"/>
      <c r="CO449" s="18"/>
      <c r="CP449" s="18"/>
      <c r="CQ449" s="18"/>
      <c r="CR449" s="18"/>
      <c r="CS449" s="18"/>
      <c r="CT449" s="18"/>
      <c r="CU449" s="18"/>
      <c r="CV449" s="18"/>
      <c r="CW449" s="18"/>
      <c r="CX449" s="18"/>
      <c r="CY449" s="18"/>
      <c r="CZ449" s="18"/>
      <c r="DA449" s="18"/>
      <c r="DB449" s="18"/>
      <c r="DC449" s="18"/>
      <c r="DD449" s="18"/>
      <c r="DE449" s="18"/>
      <c r="DF449" s="18"/>
      <c r="DG449" s="18"/>
      <c r="DH449" s="18"/>
      <c r="DI449" s="18"/>
      <c r="DJ449" s="18"/>
      <c r="DK449" s="18"/>
      <c r="DL449" s="18"/>
      <c r="DM449" s="18"/>
      <c r="DN449" s="18"/>
      <c r="DO449" s="18"/>
      <c r="DP449" s="18"/>
      <c r="DQ449" s="18"/>
      <c r="DR449" s="18"/>
      <c r="DS449" s="18"/>
      <c r="DT449" s="18"/>
      <c r="DU449" s="18"/>
      <c r="DV449" s="18"/>
      <c r="DW449" s="18"/>
      <c r="DX449" s="18"/>
      <c r="DY449" s="18"/>
      <c r="DZ449" s="18"/>
    </row>
    <row r="450" spans="1:130" x14ac:dyDescent="0.3">
      <c r="A450" s="18"/>
      <c r="B450" s="18"/>
      <c r="C450" s="18"/>
      <c r="D450" s="18"/>
      <c r="E450" s="18"/>
      <c r="F450" s="18"/>
      <c r="G450" s="18"/>
      <c r="H450" s="18"/>
      <c r="I450" s="18"/>
      <c r="J450" s="18"/>
      <c r="K450" s="18"/>
      <c r="L450" s="18"/>
      <c r="M450" s="18"/>
      <c r="N450" s="17"/>
      <c r="O450" s="17"/>
      <c r="P450" s="17"/>
      <c r="Q450" s="17"/>
      <c r="R450" s="17"/>
      <c r="S450" s="17"/>
      <c r="T450" s="17"/>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7"/>
      <c r="BT450" s="17"/>
      <c r="BU450" s="17"/>
      <c r="BV450" s="17"/>
      <c r="BW450" s="17"/>
      <c r="BX450" s="18"/>
      <c r="BY450" s="18"/>
      <c r="BZ450" s="18"/>
      <c r="CA450" s="18"/>
      <c r="CB450" s="17"/>
      <c r="CC450" s="17"/>
      <c r="CD450" s="17"/>
      <c r="CE450" s="18"/>
      <c r="CF450" s="18"/>
      <c r="CG450" s="18"/>
      <c r="CH450" s="18"/>
      <c r="CI450" s="18"/>
      <c r="CJ450" s="18"/>
      <c r="CK450" s="18"/>
      <c r="CL450" s="18"/>
      <c r="CM450" s="18"/>
      <c r="CN450" s="18"/>
      <c r="CO450" s="18"/>
      <c r="CP450" s="18"/>
      <c r="CQ450" s="18"/>
      <c r="CR450" s="18"/>
      <c r="CS450" s="18"/>
      <c r="CT450" s="18"/>
      <c r="CU450" s="18"/>
      <c r="CV450" s="18"/>
      <c r="CW450" s="18"/>
      <c r="CX450" s="18"/>
      <c r="CY450" s="18"/>
      <c r="CZ450" s="18"/>
      <c r="DA450" s="18"/>
      <c r="DB450" s="18"/>
      <c r="DC450" s="18"/>
      <c r="DD450" s="18"/>
      <c r="DE450" s="18"/>
      <c r="DF450" s="18"/>
      <c r="DG450" s="18"/>
      <c r="DH450" s="18"/>
      <c r="DI450" s="18"/>
      <c r="DJ450" s="18"/>
      <c r="DK450" s="18"/>
      <c r="DL450" s="18"/>
      <c r="DM450" s="18"/>
      <c r="DN450" s="18"/>
      <c r="DO450" s="18"/>
      <c r="DP450" s="18"/>
      <c r="DQ450" s="18"/>
      <c r="DR450" s="18"/>
      <c r="DS450" s="18"/>
      <c r="DT450" s="18"/>
      <c r="DU450" s="18"/>
      <c r="DV450" s="18"/>
      <c r="DW450" s="18"/>
      <c r="DX450" s="18"/>
      <c r="DY450" s="18"/>
      <c r="DZ450" s="18"/>
    </row>
    <row r="451" spans="1:130" x14ac:dyDescent="0.3">
      <c r="A451" s="18"/>
      <c r="B451" s="18"/>
      <c r="C451" s="18"/>
      <c r="D451" s="18"/>
      <c r="E451" s="18"/>
      <c r="F451" s="18"/>
      <c r="G451" s="18"/>
      <c r="H451" s="18"/>
      <c r="I451" s="18"/>
      <c r="J451" s="18"/>
      <c r="K451" s="18"/>
      <c r="L451" s="18"/>
      <c r="M451" s="18"/>
      <c r="N451" s="17"/>
      <c r="O451" s="17"/>
      <c r="P451" s="17"/>
      <c r="Q451" s="17"/>
      <c r="R451" s="17"/>
      <c r="S451" s="17"/>
      <c r="T451" s="17"/>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7"/>
      <c r="BT451" s="17"/>
      <c r="BU451" s="17"/>
      <c r="BV451" s="17"/>
      <c r="BW451" s="17"/>
      <c r="BX451" s="18"/>
      <c r="BY451" s="18"/>
      <c r="BZ451" s="18"/>
      <c r="CA451" s="18"/>
      <c r="CB451" s="17"/>
      <c r="CC451" s="17"/>
      <c r="CD451" s="17"/>
      <c r="CE451" s="18"/>
      <c r="CF451" s="18"/>
      <c r="CG451" s="18"/>
      <c r="CH451" s="18"/>
      <c r="CI451" s="18"/>
      <c r="CJ451" s="18"/>
      <c r="CK451" s="18"/>
      <c r="CL451" s="18"/>
      <c r="CM451" s="18"/>
      <c r="CN451" s="18"/>
      <c r="CO451" s="18"/>
      <c r="CP451" s="18"/>
      <c r="CQ451" s="18"/>
      <c r="CR451" s="18"/>
      <c r="CS451" s="18"/>
      <c r="CT451" s="18"/>
      <c r="CU451" s="18"/>
      <c r="CV451" s="18"/>
      <c r="CW451" s="18"/>
      <c r="CX451" s="18"/>
      <c r="CY451" s="18"/>
      <c r="CZ451" s="18"/>
      <c r="DA451" s="18"/>
      <c r="DB451" s="18"/>
      <c r="DC451" s="18"/>
      <c r="DD451" s="18"/>
      <c r="DE451" s="18"/>
      <c r="DF451" s="18"/>
      <c r="DG451" s="18"/>
      <c r="DH451" s="18"/>
      <c r="DI451" s="18"/>
      <c r="DJ451" s="18"/>
      <c r="DK451" s="18"/>
      <c r="DL451" s="18"/>
      <c r="DM451" s="18"/>
      <c r="DN451" s="18"/>
      <c r="DO451" s="18"/>
      <c r="DP451" s="18"/>
      <c r="DQ451" s="18"/>
      <c r="DR451" s="18"/>
      <c r="DS451" s="18"/>
      <c r="DT451" s="18"/>
      <c r="DU451" s="18"/>
      <c r="DV451" s="18"/>
      <c r="DW451" s="18"/>
      <c r="DX451" s="18"/>
      <c r="DY451" s="18"/>
      <c r="DZ451" s="18"/>
    </row>
    <row r="452" spans="1:130" x14ac:dyDescent="0.3">
      <c r="A452" s="18"/>
      <c r="B452" s="18"/>
      <c r="C452" s="18"/>
      <c r="D452" s="18"/>
      <c r="E452" s="18"/>
      <c r="F452" s="18"/>
      <c r="G452" s="18"/>
      <c r="H452" s="18"/>
      <c r="I452" s="18"/>
      <c r="J452" s="18"/>
      <c r="K452" s="18"/>
      <c r="L452" s="18"/>
      <c r="M452" s="18"/>
      <c r="N452" s="17"/>
      <c r="O452" s="17"/>
      <c r="P452" s="17"/>
      <c r="Q452" s="17"/>
      <c r="R452" s="17"/>
      <c r="S452" s="17"/>
      <c r="T452" s="17"/>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7"/>
      <c r="BT452" s="17"/>
      <c r="BU452" s="17"/>
      <c r="BV452" s="17"/>
      <c r="BW452" s="17"/>
      <c r="BX452" s="18"/>
      <c r="BY452" s="18"/>
      <c r="BZ452" s="18"/>
      <c r="CA452" s="18"/>
      <c r="CB452" s="17"/>
      <c r="CC452" s="17"/>
      <c r="CD452" s="17"/>
      <c r="CE452" s="18"/>
      <c r="CF452" s="18"/>
      <c r="CG452" s="18"/>
      <c r="CH452" s="18"/>
      <c r="CI452" s="18"/>
      <c r="CJ452" s="18"/>
      <c r="CK452" s="18"/>
      <c r="CL452" s="18"/>
      <c r="CM452" s="18"/>
      <c r="CN452" s="18"/>
      <c r="CO452" s="18"/>
      <c r="CP452" s="18"/>
      <c r="CQ452" s="18"/>
      <c r="CR452" s="18"/>
      <c r="CS452" s="18"/>
      <c r="CT452" s="18"/>
      <c r="CU452" s="18"/>
      <c r="CV452" s="18"/>
      <c r="CW452" s="18"/>
      <c r="CX452" s="18"/>
      <c r="CY452" s="18"/>
      <c r="CZ452" s="18"/>
      <c r="DA452" s="18"/>
      <c r="DB452" s="18"/>
      <c r="DC452" s="18"/>
      <c r="DD452" s="18"/>
      <c r="DE452" s="18"/>
      <c r="DF452" s="18"/>
      <c r="DG452" s="18"/>
      <c r="DH452" s="18"/>
      <c r="DI452" s="18"/>
      <c r="DJ452" s="18"/>
      <c r="DK452" s="18"/>
      <c r="DL452" s="18"/>
      <c r="DM452" s="18"/>
      <c r="DN452" s="18"/>
      <c r="DO452" s="18"/>
      <c r="DP452" s="18"/>
      <c r="DQ452" s="18"/>
      <c r="DR452" s="18"/>
      <c r="DS452" s="18"/>
      <c r="DT452" s="18"/>
      <c r="DU452" s="18"/>
      <c r="DV452" s="18"/>
      <c r="DW452" s="18"/>
      <c r="DX452" s="18"/>
      <c r="DY452" s="18"/>
      <c r="DZ452" s="18"/>
    </row>
    <row r="453" spans="1:130" x14ac:dyDescent="0.3">
      <c r="A453" s="18"/>
      <c r="B453" s="18"/>
      <c r="C453" s="18"/>
      <c r="D453" s="18"/>
      <c r="E453" s="18"/>
      <c r="F453" s="18"/>
      <c r="G453" s="18"/>
      <c r="H453" s="18"/>
      <c r="I453" s="18"/>
      <c r="J453" s="18"/>
      <c r="K453" s="18"/>
      <c r="L453" s="18"/>
      <c r="M453" s="18"/>
      <c r="N453" s="17"/>
      <c r="O453" s="17"/>
      <c r="P453" s="17"/>
      <c r="Q453" s="17"/>
      <c r="R453" s="17"/>
      <c r="S453" s="17"/>
      <c r="T453" s="17"/>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7"/>
      <c r="BT453" s="17"/>
      <c r="BU453" s="17"/>
      <c r="BV453" s="17"/>
      <c r="BW453" s="17"/>
      <c r="BX453" s="18"/>
      <c r="BY453" s="18"/>
      <c r="BZ453" s="18"/>
      <c r="CA453" s="18"/>
      <c r="CB453" s="17"/>
      <c r="CC453" s="17"/>
      <c r="CD453" s="17"/>
      <c r="CE453" s="18"/>
      <c r="CF453" s="18"/>
      <c r="CG453" s="18"/>
      <c r="CH453" s="18"/>
      <c r="CI453" s="18"/>
      <c r="CJ453" s="18"/>
      <c r="CK453" s="18"/>
      <c r="CL453" s="18"/>
      <c r="CM453" s="18"/>
      <c r="CN453" s="18"/>
      <c r="CO453" s="18"/>
      <c r="CP453" s="18"/>
      <c r="CQ453" s="18"/>
      <c r="CR453" s="18"/>
      <c r="CS453" s="18"/>
      <c r="CT453" s="18"/>
      <c r="CU453" s="18"/>
      <c r="CV453" s="18"/>
      <c r="CW453" s="18"/>
      <c r="CX453" s="18"/>
      <c r="CY453" s="18"/>
      <c r="CZ453" s="18"/>
      <c r="DA453" s="18"/>
      <c r="DB453" s="18"/>
      <c r="DC453" s="18"/>
      <c r="DD453" s="18"/>
      <c r="DE453" s="18"/>
      <c r="DF453" s="18"/>
      <c r="DG453" s="18"/>
      <c r="DH453" s="18"/>
      <c r="DI453" s="18"/>
      <c r="DJ453" s="18"/>
      <c r="DK453" s="18"/>
      <c r="DL453" s="18"/>
      <c r="DM453" s="18"/>
      <c r="DN453" s="18"/>
      <c r="DO453" s="18"/>
      <c r="DP453" s="18"/>
      <c r="DQ453" s="18"/>
      <c r="DR453" s="18"/>
      <c r="DS453" s="18"/>
      <c r="DT453" s="18"/>
      <c r="DU453" s="18"/>
      <c r="DV453" s="18"/>
      <c r="DW453" s="18"/>
      <c r="DX453" s="18"/>
      <c r="DY453" s="18"/>
      <c r="DZ453" s="18"/>
    </row>
    <row r="454" spans="1:130" x14ac:dyDescent="0.3">
      <c r="A454" s="18"/>
      <c r="B454" s="18"/>
      <c r="C454" s="18"/>
      <c r="D454" s="18"/>
      <c r="E454" s="18"/>
      <c r="F454" s="18"/>
      <c r="G454" s="18"/>
      <c r="H454" s="18"/>
      <c r="I454" s="18"/>
      <c r="J454" s="18"/>
      <c r="K454" s="18"/>
      <c r="L454" s="18"/>
      <c r="M454" s="18"/>
      <c r="N454" s="17"/>
      <c r="O454" s="17"/>
      <c r="P454" s="17"/>
      <c r="Q454" s="17"/>
      <c r="R454" s="17"/>
      <c r="S454" s="17"/>
      <c r="T454" s="17"/>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7"/>
      <c r="BT454" s="17"/>
      <c r="BU454" s="17"/>
      <c r="BV454" s="17"/>
      <c r="BW454" s="17"/>
      <c r="BX454" s="18"/>
      <c r="BY454" s="18"/>
      <c r="BZ454" s="18"/>
      <c r="CA454" s="18"/>
      <c r="CB454" s="17"/>
      <c r="CC454" s="17"/>
      <c r="CD454" s="17"/>
      <c r="CE454" s="18"/>
      <c r="CF454" s="18"/>
      <c r="CG454" s="18"/>
      <c r="CH454" s="18"/>
      <c r="CI454" s="18"/>
      <c r="CJ454" s="18"/>
      <c r="CK454" s="18"/>
      <c r="CL454" s="18"/>
      <c r="CM454" s="18"/>
      <c r="CN454" s="18"/>
      <c r="CO454" s="18"/>
      <c r="CP454" s="18"/>
      <c r="CQ454" s="18"/>
      <c r="CR454" s="18"/>
      <c r="CS454" s="18"/>
      <c r="CT454" s="18"/>
      <c r="CU454" s="18"/>
      <c r="CV454" s="18"/>
      <c r="CW454" s="18"/>
      <c r="CX454" s="18"/>
      <c r="CY454" s="18"/>
      <c r="CZ454" s="18"/>
      <c r="DA454" s="18"/>
      <c r="DB454" s="18"/>
      <c r="DC454" s="18"/>
      <c r="DD454" s="18"/>
      <c r="DE454" s="18"/>
      <c r="DF454" s="18"/>
      <c r="DG454" s="18"/>
      <c r="DH454" s="18"/>
      <c r="DI454" s="18"/>
      <c r="DJ454" s="18"/>
      <c r="DK454" s="18"/>
      <c r="DL454" s="18"/>
      <c r="DM454" s="18"/>
      <c r="DN454" s="18"/>
      <c r="DO454" s="18"/>
      <c r="DP454" s="18"/>
      <c r="DQ454" s="18"/>
      <c r="DR454" s="18"/>
      <c r="DS454" s="18"/>
      <c r="DT454" s="18"/>
      <c r="DU454" s="18"/>
      <c r="DV454" s="18"/>
      <c r="DW454" s="18"/>
      <c r="DX454" s="18"/>
      <c r="DY454" s="18"/>
      <c r="DZ454" s="18"/>
    </row>
    <row r="455" spans="1:130" x14ac:dyDescent="0.3">
      <c r="A455" s="18"/>
      <c r="B455" s="18"/>
      <c r="C455" s="18"/>
      <c r="D455" s="18"/>
      <c r="E455" s="18"/>
      <c r="F455" s="18"/>
      <c r="G455" s="18"/>
      <c r="H455" s="18"/>
      <c r="I455" s="18"/>
      <c r="J455" s="18"/>
      <c r="K455" s="18"/>
      <c r="L455" s="18"/>
      <c r="M455" s="18"/>
      <c r="N455" s="17"/>
      <c r="O455" s="17"/>
      <c r="P455" s="17"/>
      <c r="Q455" s="17"/>
      <c r="R455" s="17"/>
      <c r="S455" s="17"/>
      <c r="T455" s="17"/>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7"/>
      <c r="BT455" s="17"/>
      <c r="BU455" s="17"/>
      <c r="BV455" s="17"/>
      <c r="BW455" s="17"/>
      <c r="BX455" s="18"/>
      <c r="BY455" s="18"/>
      <c r="BZ455" s="18"/>
      <c r="CA455" s="18"/>
      <c r="CB455" s="17"/>
      <c r="CC455" s="17"/>
      <c r="CD455" s="17"/>
      <c r="CE455" s="18"/>
      <c r="CF455" s="18"/>
      <c r="CG455" s="18"/>
      <c r="CH455" s="18"/>
      <c r="CI455" s="18"/>
      <c r="CJ455" s="18"/>
      <c r="CK455" s="18"/>
      <c r="CL455" s="18"/>
      <c r="CM455" s="18"/>
      <c r="CN455" s="18"/>
      <c r="CO455" s="18"/>
      <c r="CP455" s="18"/>
      <c r="CQ455" s="18"/>
      <c r="CR455" s="18"/>
      <c r="CS455" s="18"/>
      <c r="CT455" s="18"/>
      <c r="CU455" s="18"/>
      <c r="CV455" s="18"/>
      <c r="CW455" s="18"/>
      <c r="CX455" s="18"/>
      <c r="CY455" s="18"/>
      <c r="CZ455" s="18"/>
      <c r="DA455" s="18"/>
      <c r="DB455" s="18"/>
      <c r="DC455" s="18"/>
      <c r="DD455" s="18"/>
      <c r="DE455" s="18"/>
      <c r="DF455" s="18"/>
      <c r="DG455" s="18"/>
      <c r="DH455" s="18"/>
      <c r="DI455" s="18"/>
      <c r="DJ455" s="18"/>
      <c r="DK455" s="18"/>
      <c r="DL455" s="18"/>
      <c r="DM455" s="18"/>
      <c r="DN455" s="18"/>
      <c r="DO455" s="18"/>
      <c r="DP455" s="18"/>
      <c r="DQ455" s="18"/>
      <c r="DR455" s="18"/>
      <c r="DS455" s="18"/>
      <c r="DT455" s="18"/>
      <c r="DU455" s="18"/>
      <c r="DV455" s="18"/>
      <c r="DW455" s="18"/>
      <c r="DX455" s="18"/>
      <c r="DY455" s="18"/>
      <c r="DZ455" s="18"/>
    </row>
    <row r="456" spans="1:130" x14ac:dyDescent="0.3">
      <c r="A456" s="18"/>
      <c r="B456" s="18"/>
      <c r="C456" s="18"/>
      <c r="D456" s="18"/>
      <c r="E456" s="18"/>
      <c r="F456" s="18"/>
      <c r="G456" s="18"/>
      <c r="H456" s="18"/>
      <c r="I456" s="18"/>
      <c r="J456" s="18"/>
      <c r="K456" s="18"/>
      <c r="L456" s="18"/>
      <c r="M456" s="18"/>
      <c r="N456" s="17"/>
      <c r="O456" s="17"/>
      <c r="P456" s="17"/>
      <c r="Q456" s="17"/>
      <c r="R456" s="17"/>
      <c r="S456" s="17"/>
      <c r="T456" s="17"/>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7"/>
      <c r="BT456" s="17"/>
      <c r="BU456" s="17"/>
      <c r="BV456" s="17"/>
      <c r="BW456" s="17"/>
      <c r="BX456" s="18"/>
      <c r="BY456" s="18"/>
      <c r="BZ456" s="18"/>
      <c r="CA456" s="18"/>
      <c r="CB456" s="17"/>
      <c r="CC456" s="17"/>
      <c r="CD456" s="17"/>
      <c r="CE456" s="18"/>
      <c r="CF456" s="18"/>
      <c r="CG456" s="18"/>
      <c r="CH456" s="18"/>
      <c r="CI456" s="18"/>
      <c r="CJ456" s="18"/>
      <c r="CK456" s="18"/>
      <c r="CL456" s="18"/>
      <c r="CM456" s="18"/>
      <c r="CN456" s="18"/>
      <c r="CO456" s="18"/>
      <c r="CP456" s="18"/>
      <c r="CQ456" s="18"/>
      <c r="CR456" s="18"/>
      <c r="CS456" s="18"/>
      <c r="CT456" s="18"/>
      <c r="CU456" s="18"/>
      <c r="CV456" s="18"/>
      <c r="CW456" s="18"/>
      <c r="CX456" s="18"/>
      <c r="CY456" s="18"/>
      <c r="CZ456" s="18"/>
      <c r="DA456" s="18"/>
      <c r="DB456" s="18"/>
      <c r="DC456" s="18"/>
      <c r="DD456" s="18"/>
      <c r="DE456" s="18"/>
      <c r="DF456" s="18"/>
      <c r="DG456" s="18"/>
      <c r="DH456" s="18"/>
      <c r="DI456" s="18"/>
      <c r="DJ456" s="18"/>
      <c r="DK456" s="18"/>
      <c r="DL456" s="18"/>
      <c r="DM456" s="18"/>
      <c r="DN456" s="18"/>
      <c r="DO456" s="18"/>
      <c r="DP456" s="18"/>
      <c r="DQ456" s="18"/>
      <c r="DR456" s="18"/>
      <c r="DS456" s="18"/>
      <c r="DT456" s="18"/>
      <c r="DU456" s="18"/>
      <c r="DV456" s="18"/>
      <c r="DW456" s="18"/>
      <c r="DX456" s="18"/>
      <c r="DY456" s="18"/>
      <c r="DZ456" s="18"/>
    </row>
    <row r="457" spans="1:130" x14ac:dyDescent="0.3">
      <c r="A457" s="18"/>
      <c r="B457" s="18"/>
      <c r="C457" s="18"/>
      <c r="D457" s="18"/>
      <c r="E457" s="18"/>
      <c r="F457" s="18"/>
      <c r="G457" s="18"/>
      <c r="H457" s="18"/>
      <c r="I457" s="18"/>
      <c r="J457" s="18"/>
      <c r="K457" s="18"/>
      <c r="L457" s="18"/>
      <c r="M457" s="18"/>
      <c r="N457" s="17"/>
      <c r="O457" s="17"/>
      <c r="P457" s="17"/>
      <c r="Q457" s="17"/>
      <c r="R457" s="17"/>
      <c r="S457" s="17"/>
      <c r="T457" s="17"/>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7"/>
      <c r="BT457" s="17"/>
      <c r="BU457" s="17"/>
      <c r="BV457" s="17"/>
      <c r="BW457" s="17"/>
      <c r="BX457" s="18"/>
      <c r="BY457" s="18"/>
      <c r="BZ457" s="18"/>
      <c r="CA457" s="18"/>
      <c r="CB457" s="17"/>
      <c r="CC457" s="17"/>
      <c r="CD457" s="17"/>
      <c r="CE457" s="18"/>
      <c r="CF457" s="18"/>
      <c r="CG457" s="18"/>
      <c r="CH457" s="18"/>
      <c r="CI457" s="18"/>
      <c r="CJ457" s="18"/>
      <c r="CK457" s="18"/>
      <c r="CL457" s="18"/>
      <c r="CM457" s="18"/>
      <c r="CN457" s="18"/>
      <c r="CO457" s="18"/>
      <c r="CP457" s="18"/>
      <c r="CQ457" s="18"/>
      <c r="CR457" s="18"/>
      <c r="CS457" s="18"/>
      <c r="CT457" s="18"/>
      <c r="CU457" s="18"/>
      <c r="CV457" s="18"/>
      <c r="CW457" s="18"/>
      <c r="CX457" s="18"/>
      <c r="CY457" s="18"/>
      <c r="CZ457" s="18"/>
      <c r="DA457" s="18"/>
      <c r="DB457" s="18"/>
      <c r="DC457" s="18"/>
      <c r="DD457" s="18"/>
      <c r="DE457" s="18"/>
      <c r="DF457" s="18"/>
      <c r="DG457" s="18"/>
      <c r="DH457" s="18"/>
      <c r="DI457" s="18"/>
      <c r="DJ457" s="18"/>
      <c r="DK457" s="18"/>
      <c r="DL457" s="18"/>
      <c r="DM457" s="18"/>
      <c r="DN457" s="18"/>
      <c r="DO457" s="18"/>
      <c r="DP457" s="18"/>
      <c r="DQ457" s="18"/>
      <c r="DR457" s="18"/>
      <c r="DS457" s="18"/>
      <c r="DT457" s="18"/>
      <c r="DU457" s="18"/>
      <c r="DV457" s="18"/>
      <c r="DW457" s="18"/>
      <c r="DX457" s="18"/>
      <c r="DY457" s="18"/>
      <c r="DZ457" s="18"/>
    </row>
    <row r="458" spans="1:130" x14ac:dyDescent="0.3">
      <c r="A458" s="18"/>
      <c r="B458" s="18"/>
      <c r="C458" s="18"/>
      <c r="D458" s="18"/>
      <c r="E458" s="18"/>
      <c r="F458" s="18"/>
      <c r="G458" s="18"/>
      <c r="H458" s="18"/>
      <c r="I458" s="18"/>
      <c r="J458" s="18"/>
      <c r="K458" s="18"/>
      <c r="L458" s="18"/>
      <c r="M458" s="18"/>
      <c r="N458" s="17"/>
      <c r="O458" s="17"/>
      <c r="P458" s="17"/>
      <c r="Q458" s="17"/>
      <c r="R458" s="17"/>
      <c r="S458" s="17"/>
      <c r="T458" s="17"/>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7"/>
      <c r="BT458" s="17"/>
      <c r="BU458" s="17"/>
      <c r="BV458" s="17"/>
      <c r="BW458" s="17"/>
      <c r="BX458" s="18"/>
      <c r="BY458" s="18"/>
      <c r="BZ458" s="18"/>
      <c r="CA458" s="18"/>
      <c r="CB458" s="17"/>
      <c r="CC458" s="17"/>
      <c r="CD458" s="17"/>
      <c r="CE458" s="18"/>
      <c r="CF458" s="18"/>
      <c r="CG458" s="18"/>
      <c r="CH458" s="18"/>
      <c r="CI458" s="18"/>
      <c r="CJ458" s="18"/>
      <c r="CK458" s="18"/>
      <c r="CL458" s="18"/>
      <c r="CM458" s="18"/>
      <c r="CN458" s="18"/>
      <c r="CO458" s="18"/>
      <c r="CP458" s="18"/>
      <c r="CQ458" s="18"/>
      <c r="CR458" s="18"/>
      <c r="CS458" s="18"/>
      <c r="CT458" s="18"/>
      <c r="CU458" s="18"/>
      <c r="CV458" s="18"/>
      <c r="CW458" s="18"/>
      <c r="CX458" s="18"/>
      <c r="CY458" s="18"/>
      <c r="CZ458" s="18"/>
      <c r="DA458" s="18"/>
      <c r="DB458" s="18"/>
      <c r="DC458" s="18"/>
      <c r="DD458" s="18"/>
      <c r="DE458" s="18"/>
      <c r="DF458" s="18"/>
      <c r="DG458" s="18"/>
      <c r="DH458" s="18"/>
      <c r="DI458" s="18"/>
      <c r="DJ458" s="18"/>
      <c r="DK458" s="18"/>
      <c r="DL458" s="18"/>
      <c r="DM458" s="18"/>
      <c r="DN458" s="18"/>
      <c r="DO458" s="18"/>
      <c r="DP458" s="18"/>
      <c r="DQ458" s="18"/>
      <c r="DR458" s="18"/>
      <c r="DS458" s="18"/>
      <c r="DT458" s="18"/>
      <c r="DU458" s="18"/>
      <c r="DV458" s="18"/>
      <c r="DW458" s="18"/>
      <c r="DX458" s="18"/>
      <c r="DY458" s="18"/>
      <c r="DZ458" s="18"/>
    </row>
    <row r="459" spans="1:130" x14ac:dyDescent="0.3">
      <c r="A459" s="18"/>
      <c r="B459" s="18"/>
      <c r="C459" s="18"/>
      <c r="D459" s="18"/>
      <c r="E459" s="18"/>
      <c r="F459" s="18"/>
      <c r="G459" s="18"/>
      <c r="H459" s="18"/>
      <c r="I459" s="18"/>
      <c r="J459" s="18"/>
      <c r="K459" s="18"/>
      <c r="L459" s="18"/>
      <c r="M459" s="18"/>
      <c r="N459" s="17"/>
      <c r="O459" s="17"/>
      <c r="P459" s="17"/>
      <c r="Q459" s="17"/>
      <c r="R459" s="17"/>
      <c r="S459" s="17"/>
      <c r="T459" s="17"/>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7"/>
      <c r="BT459" s="17"/>
      <c r="BU459" s="17"/>
      <c r="BV459" s="17"/>
      <c r="BW459" s="17"/>
      <c r="BX459" s="18"/>
      <c r="BY459" s="18"/>
      <c r="BZ459" s="18"/>
      <c r="CA459" s="18"/>
      <c r="CB459" s="17"/>
      <c r="CC459" s="17"/>
      <c r="CD459" s="17"/>
      <c r="CE459" s="18"/>
      <c r="CF459" s="18"/>
      <c r="CG459" s="18"/>
      <c r="CH459" s="18"/>
      <c r="CI459" s="18"/>
      <c r="CJ459" s="18"/>
      <c r="CK459" s="18"/>
      <c r="CL459" s="18"/>
      <c r="CM459" s="18"/>
      <c r="CN459" s="18"/>
      <c r="CO459" s="18"/>
      <c r="CP459" s="18"/>
      <c r="CQ459" s="18"/>
      <c r="CR459" s="18"/>
      <c r="CS459" s="18"/>
      <c r="CT459" s="18"/>
      <c r="CU459" s="18"/>
      <c r="CV459" s="18"/>
      <c r="CW459" s="18"/>
      <c r="CX459" s="18"/>
      <c r="CY459" s="18"/>
      <c r="CZ459" s="18"/>
      <c r="DA459" s="18"/>
      <c r="DB459" s="18"/>
      <c r="DC459" s="18"/>
      <c r="DD459" s="18"/>
      <c r="DE459" s="18"/>
      <c r="DF459" s="18"/>
      <c r="DG459" s="18"/>
      <c r="DH459" s="18"/>
      <c r="DI459" s="18"/>
      <c r="DJ459" s="18"/>
      <c r="DK459" s="18"/>
      <c r="DL459" s="18"/>
      <c r="DM459" s="18"/>
      <c r="DN459" s="18"/>
      <c r="DO459" s="18"/>
      <c r="DP459" s="18"/>
      <c r="DQ459" s="18"/>
      <c r="DR459" s="18"/>
      <c r="DS459" s="18"/>
      <c r="DT459" s="18"/>
      <c r="DU459" s="18"/>
      <c r="DV459" s="18"/>
      <c r="DW459" s="18"/>
      <c r="DX459" s="18"/>
      <c r="DY459" s="18"/>
      <c r="DZ459" s="18"/>
    </row>
    <row r="460" spans="1:130" x14ac:dyDescent="0.3">
      <c r="A460" s="18"/>
      <c r="B460" s="18"/>
      <c r="C460" s="18"/>
      <c r="D460" s="18"/>
      <c r="E460" s="18"/>
      <c r="F460" s="18"/>
      <c r="G460" s="18"/>
      <c r="H460" s="18"/>
      <c r="I460" s="18"/>
      <c r="J460" s="18"/>
      <c r="K460" s="18"/>
      <c r="L460" s="18"/>
      <c r="M460" s="18"/>
      <c r="N460" s="17"/>
      <c r="O460" s="17"/>
      <c r="P460" s="17"/>
      <c r="Q460" s="17"/>
      <c r="R460" s="17"/>
      <c r="S460" s="17"/>
      <c r="T460" s="17"/>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7"/>
      <c r="BT460" s="17"/>
      <c r="BU460" s="17"/>
      <c r="BV460" s="17"/>
      <c r="BW460" s="17"/>
      <c r="BX460" s="18"/>
      <c r="BY460" s="18"/>
      <c r="BZ460" s="18"/>
      <c r="CA460" s="18"/>
      <c r="CB460" s="17"/>
      <c r="CC460" s="17"/>
      <c r="CD460" s="17"/>
      <c r="CE460" s="18"/>
      <c r="CF460" s="18"/>
      <c r="CG460" s="18"/>
      <c r="CH460" s="18"/>
      <c r="CI460" s="18"/>
      <c r="CJ460" s="18"/>
      <c r="CK460" s="18"/>
      <c r="CL460" s="18"/>
      <c r="CM460" s="18"/>
      <c r="CN460" s="18"/>
      <c r="CO460" s="18"/>
      <c r="CP460" s="18"/>
      <c r="CQ460" s="18"/>
      <c r="CR460" s="18"/>
      <c r="CS460" s="18"/>
      <c r="CT460" s="18"/>
      <c r="CU460" s="18"/>
      <c r="CV460" s="18"/>
      <c r="CW460" s="18"/>
      <c r="CX460" s="18"/>
      <c r="CY460" s="18"/>
      <c r="CZ460" s="18"/>
      <c r="DA460" s="18"/>
      <c r="DB460" s="18"/>
      <c r="DC460" s="18"/>
      <c r="DD460" s="18"/>
      <c r="DE460" s="18"/>
      <c r="DF460" s="18"/>
      <c r="DG460" s="18"/>
      <c r="DH460" s="18"/>
      <c r="DI460" s="18"/>
      <c r="DJ460" s="18"/>
      <c r="DK460" s="18"/>
      <c r="DL460" s="18"/>
      <c r="DM460" s="18"/>
      <c r="DN460" s="18"/>
      <c r="DO460" s="18"/>
      <c r="DP460" s="18"/>
      <c r="DQ460" s="18"/>
      <c r="DR460" s="18"/>
      <c r="DS460" s="18"/>
      <c r="DT460" s="18"/>
      <c r="DU460" s="18"/>
      <c r="DV460" s="18"/>
      <c r="DW460" s="18"/>
      <c r="DX460" s="18"/>
      <c r="DY460" s="18"/>
      <c r="DZ460" s="18"/>
    </row>
    <row r="461" spans="1:130" x14ac:dyDescent="0.3">
      <c r="A461" s="18"/>
      <c r="B461" s="18"/>
      <c r="C461" s="18"/>
      <c r="D461" s="18"/>
      <c r="E461" s="18"/>
      <c r="F461" s="18"/>
      <c r="G461" s="18"/>
      <c r="H461" s="18"/>
      <c r="I461" s="18"/>
      <c r="J461" s="18"/>
      <c r="K461" s="18"/>
      <c r="L461" s="18"/>
      <c r="M461" s="18"/>
      <c r="N461" s="17"/>
      <c r="O461" s="17"/>
      <c r="P461" s="17"/>
      <c r="Q461" s="17"/>
      <c r="R461" s="17"/>
      <c r="S461" s="17"/>
      <c r="T461" s="17"/>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7"/>
      <c r="BT461" s="17"/>
      <c r="BU461" s="17"/>
      <c r="BV461" s="17"/>
      <c r="BW461" s="17"/>
      <c r="BX461" s="18"/>
      <c r="BY461" s="18"/>
      <c r="BZ461" s="18"/>
      <c r="CA461" s="18"/>
      <c r="CB461" s="17"/>
      <c r="CC461" s="17"/>
      <c r="CD461" s="17"/>
      <c r="CE461" s="18"/>
      <c r="CF461" s="18"/>
      <c r="CG461" s="18"/>
      <c r="CH461" s="18"/>
      <c r="CI461" s="18"/>
      <c r="CJ461" s="18"/>
      <c r="CK461" s="18"/>
      <c r="CL461" s="18"/>
      <c r="CM461" s="18"/>
      <c r="CN461" s="18"/>
      <c r="CO461" s="18"/>
      <c r="CP461" s="18"/>
      <c r="CQ461" s="18"/>
      <c r="CR461" s="18"/>
      <c r="CS461" s="18"/>
      <c r="CT461" s="18"/>
      <c r="CU461" s="18"/>
      <c r="CV461" s="18"/>
      <c r="CW461" s="18"/>
      <c r="CX461" s="18"/>
      <c r="CY461" s="18"/>
      <c r="CZ461" s="18"/>
      <c r="DA461" s="18"/>
      <c r="DB461" s="18"/>
      <c r="DC461" s="18"/>
      <c r="DD461" s="18"/>
      <c r="DE461" s="18"/>
      <c r="DF461" s="18"/>
      <c r="DG461" s="18"/>
      <c r="DH461" s="18"/>
      <c r="DI461" s="18"/>
      <c r="DJ461" s="18"/>
      <c r="DK461" s="18"/>
      <c r="DL461" s="18"/>
      <c r="DM461" s="18"/>
      <c r="DN461" s="18"/>
      <c r="DO461" s="18"/>
      <c r="DP461" s="18"/>
      <c r="DQ461" s="18"/>
      <c r="DR461" s="18"/>
      <c r="DS461" s="18"/>
      <c r="DT461" s="18"/>
      <c r="DU461" s="18"/>
      <c r="DV461" s="18"/>
      <c r="DW461" s="18"/>
      <c r="DX461" s="18"/>
      <c r="DY461" s="18"/>
      <c r="DZ461" s="18"/>
    </row>
    <row r="462" spans="1:130" x14ac:dyDescent="0.3">
      <c r="A462" s="18"/>
      <c r="B462" s="18"/>
      <c r="C462" s="18"/>
      <c r="D462" s="18"/>
      <c r="E462" s="18"/>
      <c r="F462" s="18"/>
      <c r="G462" s="18"/>
      <c r="H462" s="18"/>
      <c r="I462" s="18"/>
      <c r="J462" s="18"/>
      <c r="K462" s="18"/>
      <c r="L462" s="18"/>
      <c r="M462" s="18"/>
      <c r="N462" s="17"/>
      <c r="O462" s="17"/>
      <c r="P462" s="17"/>
      <c r="Q462" s="17"/>
      <c r="R462" s="17"/>
      <c r="S462" s="17"/>
      <c r="T462" s="17"/>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7"/>
      <c r="BT462" s="17"/>
      <c r="BU462" s="17"/>
      <c r="BV462" s="17"/>
      <c r="BW462" s="17"/>
      <c r="BX462" s="18"/>
      <c r="BY462" s="18"/>
      <c r="BZ462" s="18"/>
      <c r="CA462" s="18"/>
      <c r="CB462" s="17"/>
      <c r="CC462" s="17"/>
      <c r="CD462" s="17"/>
      <c r="CE462" s="18"/>
      <c r="CF462" s="18"/>
      <c r="CG462" s="18"/>
      <c r="CH462" s="18"/>
      <c r="CI462" s="18"/>
      <c r="CJ462" s="18"/>
      <c r="CK462" s="18"/>
      <c r="CL462" s="18"/>
      <c r="CM462" s="18"/>
      <c r="CN462" s="18"/>
      <c r="CO462" s="18"/>
      <c r="CP462" s="18"/>
      <c r="CQ462" s="18"/>
      <c r="CR462" s="18"/>
      <c r="CS462" s="18"/>
      <c r="CT462" s="18"/>
      <c r="CU462" s="18"/>
      <c r="CV462" s="18"/>
      <c r="CW462" s="18"/>
      <c r="CX462" s="18"/>
      <c r="CY462" s="18"/>
      <c r="CZ462" s="18"/>
      <c r="DA462" s="18"/>
      <c r="DB462" s="18"/>
      <c r="DC462" s="18"/>
      <c r="DD462" s="18"/>
      <c r="DE462" s="18"/>
      <c r="DF462" s="18"/>
      <c r="DG462" s="18"/>
      <c r="DH462" s="18"/>
      <c r="DI462" s="18"/>
      <c r="DJ462" s="18"/>
      <c r="DK462" s="18"/>
      <c r="DL462" s="18"/>
      <c r="DM462" s="18"/>
      <c r="DN462" s="18"/>
      <c r="DO462" s="18"/>
      <c r="DP462" s="18"/>
      <c r="DQ462" s="18"/>
      <c r="DR462" s="18"/>
      <c r="DS462" s="18"/>
      <c r="DT462" s="18"/>
      <c r="DU462" s="18"/>
      <c r="DV462" s="18"/>
      <c r="DW462" s="18"/>
      <c r="DX462" s="18"/>
      <c r="DY462" s="18"/>
      <c r="DZ462" s="18"/>
    </row>
    <row r="463" spans="1:130" x14ac:dyDescent="0.3">
      <c r="A463" s="18"/>
      <c r="B463" s="18"/>
      <c r="C463" s="18"/>
      <c r="D463" s="18"/>
      <c r="E463" s="18"/>
      <c r="F463" s="18"/>
      <c r="G463" s="18"/>
      <c r="H463" s="18"/>
      <c r="I463" s="18"/>
      <c r="J463" s="18"/>
      <c r="K463" s="18"/>
      <c r="L463" s="18"/>
      <c r="M463" s="18"/>
      <c r="N463" s="17"/>
      <c r="O463" s="17"/>
      <c r="P463" s="17"/>
      <c r="Q463" s="17"/>
      <c r="R463" s="17"/>
      <c r="S463" s="17"/>
      <c r="T463" s="17"/>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7"/>
      <c r="BT463" s="17"/>
      <c r="BU463" s="17"/>
      <c r="BV463" s="17"/>
      <c r="BW463" s="17"/>
      <c r="BX463" s="18"/>
      <c r="BY463" s="18"/>
      <c r="BZ463" s="18"/>
      <c r="CA463" s="18"/>
      <c r="CB463" s="17"/>
      <c r="CC463" s="17"/>
      <c r="CD463" s="17"/>
      <c r="CE463" s="18"/>
      <c r="CF463" s="18"/>
      <c r="CG463" s="18"/>
      <c r="CH463" s="18"/>
      <c r="CI463" s="18"/>
      <c r="CJ463" s="18"/>
      <c r="CK463" s="18"/>
      <c r="CL463" s="18"/>
      <c r="CM463" s="18"/>
      <c r="CN463" s="18"/>
      <c r="CO463" s="18"/>
      <c r="CP463" s="18"/>
      <c r="CQ463" s="18"/>
      <c r="CR463" s="18"/>
      <c r="CS463" s="18"/>
      <c r="CT463" s="18"/>
      <c r="CU463" s="18"/>
      <c r="CV463" s="18"/>
      <c r="CW463" s="18"/>
      <c r="CX463" s="18"/>
      <c r="CY463" s="18"/>
      <c r="CZ463" s="18"/>
      <c r="DA463" s="18"/>
      <c r="DB463" s="18"/>
      <c r="DC463" s="18"/>
      <c r="DD463" s="18"/>
      <c r="DE463" s="18"/>
      <c r="DF463" s="18"/>
      <c r="DG463" s="18"/>
      <c r="DH463" s="18"/>
      <c r="DI463" s="18"/>
      <c r="DJ463" s="18"/>
      <c r="DK463" s="18"/>
      <c r="DL463" s="18"/>
      <c r="DM463" s="18"/>
      <c r="DN463" s="18"/>
      <c r="DO463" s="18"/>
      <c r="DP463" s="18"/>
      <c r="DQ463" s="18"/>
      <c r="DR463" s="18"/>
      <c r="DS463" s="18"/>
      <c r="DT463" s="18"/>
      <c r="DU463" s="18"/>
      <c r="DV463" s="18"/>
      <c r="DW463" s="18"/>
      <c r="DX463" s="18"/>
      <c r="DY463" s="18"/>
      <c r="DZ463" s="18"/>
    </row>
    <row r="464" spans="1:130" x14ac:dyDescent="0.3">
      <c r="A464" s="18"/>
      <c r="B464" s="18"/>
      <c r="C464" s="18"/>
      <c r="D464" s="18"/>
      <c r="E464" s="18"/>
      <c r="F464" s="18"/>
      <c r="G464" s="18"/>
      <c r="H464" s="18"/>
      <c r="I464" s="18"/>
      <c r="J464" s="18"/>
      <c r="K464" s="18"/>
      <c r="L464" s="18"/>
      <c r="M464" s="18"/>
      <c r="N464" s="17"/>
      <c r="O464" s="17"/>
      <c r="P464" s="17"/>
      <c r="Q464" s="17"/>
      <c r="R464" s="17"/>
      <c r="S464" s="17"/>
      <c r="T464" s="17"/>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7"/>
      <c r="BT464" s="17"/>
      <c r="BU464" s="17"/>
      <c r="BV464" s="17"/>
      <c r="BW464" s="17"/>
      <c r="BX464" s="18"/>
      <c r="BY464" s="18"/>
      <c r="BZ464" s="18"/>
      <c r="CA464" s="18"/>
      <c r="CB464" s="17"/>
      <c r="CC464" s="17"/>
      <c r="CD464" s="17"/>
      <c r="CE464" s="18"/>
      <c r="CF464" s="18"/>
      <c r="CG464" s="18"/>
      <c r="CH464" s="18"/>
      <c r="CI464" s="18"/>
      <c r="CJ464" s="18"/>
      <c r="CK464" s="18"/>
      <c r="CL464" s="18"/>
      <c r="CM464" s="18"/>
      <c r="CN464" s="18"/>
      <c r="CO464" s="18"/>
      <c r="CP464" s="18"/>
      <c r="CQ464" s="18"/>
      <c r="CR464" s="18"/>
      <c r="CS464" s="18"/>
      <c r="CT464" s="18"/>
      <c r="CU464" s="18"/>
      <c r="CV464" s="18"/>
      <c r="CW464" s="18"/>
      <c r="CX464" s="18"/>
      <c r="CY464" s="18"/>
      <c r="CZ464" s="18"/>
      <c r="DA464" s="18"/>
      <c r="DB464" s="18"/>
      <c r="DC464" s="18"/>
      <c r="DD464" s="18"/>
      <c r="DE464" s="18"/>
      <c r="DF464" s="18"/>
      <c r="DG464" s="18"/>
      <c r="DH464" s="18"/>
      <c r="DI464" s="18"/>
      <c r="DJ464" s="18"/>
      <c r="DK464" s="18"/>
      <c r="DL464" s="18"/>
      <c r="DM464" s="18"/>
      <c r="DN464" s="18"/>
      <c r="DO464" s="18"/>
      <c r="DP464" s="18"/>
      <c r="DQ464" s="18"/>
      <c r="DR464" s="18"/>
      <c r="DS464" s="18"/>
      <c r="DT464" s="18"/>
      <c r="DU464" s="18"/>
      <c r="DV464" s="18"/>
      <c r="DW464" s="18"/>
      <c r="DX464" s="18"/>
      <c r="DY464" s="18"/>
      <c r="DZ464" s="18"/>
    </row>
    <row r="465" spans="1:130" x14ac:dyDescent="0.3">
      <c r="A465" s="18"/>
      <c r="B465" s="18"/>
      <c r="C465" s="18"/>
      <c r="D465" s="18"/>
      <c r="E465" s="18"/>
      <c r="F465" s="18"/>
      <c r="G465" s="18"/>
      <c r="H465" s="18"/>
      <c r="I465" s="18"/>
      <c r="J465" s="18"/>
      <c r="K465" s="18"/>
      <c r="L465" s="18"/>
      <c r="M465" s="18"/>
      <c r="N465" s="17"/>
      <c r="O465" s="17"/>
      <c r="P465" s="17"/>
      <c r="Q465" s="17"/>
      <c r="R465" s="17"/>
      <c r="S465" s="17"/>
      <c r="T465" s="17"/>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7"/>
      <c r="BT465" s="17"/>
      <c r="BU465" s="17"/>
      <c r="BV465" s="17"/>
      <c r="BW465" s="17"/>
      <c r="BX465" s="18"/>
      <c r="BY465" s="18"/>
      <c r="BZ465" s="18"/>
      <c r="CA465" s="18"/>
      <c r="CB465" s="17"/>
      <c r="CC465" s="17"/>
      <c r="CD465" s="17"/>
      <c r="CE465" s="18"/>
      <c r="CF465" s="18"/>
      <c r="CG465" s="18"/>
      <c r="CH465" s="18"/>
      <c r="CI465" s="18"/>
      <c r="CJ465" s="18"/>
      <c r="CK465" s="18"/>
      <c r="CL465" s="18"/>
      <c r="CM465" s="18"/>
      <c r="CN465" s="18"/>
      <c r="CO465" s="18"/>
      <c r="CP465" s="18"/>
      <c r="CQ465" s="18"/>
      <c r="CR465" s="18"/>
      <c r="CS465" s="18"/>
      <c r="CT465" s="18"/>
      <c r="CU465" s="18"/>
      <c r="CV465" s="18"/>
      <c r="CW465" s="18"/>
      <c r="CX465" s="18"/>
      <c r="CY465" s="18"/>
      <c r="CZ465" s="18"/>
      <c r="DA465" s="18"/>
      <c r="DB465" s="18"/>
      <c r="DC465" s="18"/>
      <c r="DD465" s="18"/>
      <c r="DE465" s="18"/>
      <c r="DF465" s="18"/>
      <c r="DG465" s="18"/>
      <c r="DH465" s="18"/>
      <c r="DI465" s="18"/>
      <c r="DJ465" s="18"/>
      <c r="DK465" s="18"/>
      <c r="DL465" s="18"/>
      <c r="DM465" s="18"/>
      <c r="DN465" s="18"/>
      <c r="DO465" s="18"/>
      <c r="DP465" s="18"/>
      <c r="DQ465" s="18"/>
      <c r="DR465" s="18"/>
      <c r="DS465" s="18"/>
      <c r="DT465" s="18"/>
      <c r="DU465" s="18"/>
      <c r="DV465" s="18"/>
      <c r="DW465" s="18"/>
      <c r="DX465" s="18"/>
      <c r="DY465" s="18"/>
      <c r="DZ465" s="18"/>
    </row>
    <row r="466" spans="1:130" x14ac:dyDescent="0.3">
      <c r="A466" s="18"/>
      <c r="B466" s="18"/>
      <c r="C466" s="18"/>
      <c r="D466" s="18"/>
      <c r="E466" s="18"/>
      <c r="F466" s="18"/>
      <c r="G466" s="18"/>
      <c r="H466" s="18"/>
      <c r="I466" s="18"/>
      <c r="J466" s="18"/>
      <c r="K466" s="18"/>
      <c r="L466" s="18"/>
      <c r="M466" s="18"/>
      <c r="N466" s="17"/>
      <c r="O466" s="17"/>
      <c r="P466" s="17"/>
      <c r="Q466" s="17"/>
      <c r="R466" s="17"/>
      <c r="S466" s="17"/>
      <c r="T466" s="17"/>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7"/>
      <c r="BT466" s="17"/>
      <c r="BU466" s="17"/>
      <c r="BV466" s="17"/>
      <c r="BW466" s="17"/>
      <c r="BX466" s="18"/>
      <c r="BY466" s="18"/>
      <c r="BZ466" s="18"/>
      <c r="CA466" s="18"/>
      <c r="CB466" s="17"/>
      <c r="CC466" s="17"/>
      <c r="CD466" s="17"/>
      <c r="CE466" s="18"/>
      <c r="CF466" s="18"/>
      <c r="CG466" s="18"/>
      <c r="CH466" s="18"/>
      <c r="CI466" s="18"/>
      <c r="CJ466" s="18"/>
      <c r="CK466" s="18"/>
      <c r="CL466" s="18"/>
      <c r="CM466" s="18"/>
      <c r="CN466" s="18"/>
      <c r="CO466" s="18"/>
      <c r="CP466" s="18"/>
      <c r="CQ466" s="18"/>
      <c r="CR466" s="18"/>
      <c r="CS466" s="18"/>
      <c r="CT466" s="18"/>
      <c r="CU466" s="18"/>
      <c r="CV466" s="18"/>
      <c r="CW466" s="18"/>
      <c r="CX466" s="18"/>
      <c r="CY466" s="18"/>
      <c r="CZ466" s="18"/>
      <c r="DA466" s="18"/>
      <c r="DB466" s="18"/>
      <c r="DC466" s="18"/>
      <c r="DD466" s="18"/>
      <c r="DE466" s="18"/>
      <c r="DF466" s="18"/>
      <c r="DG466" s="18"/>
      <c r="DH466" s="18"/>
      <c r="DI466" s="18"/>
      <c r="DJ466" s="18"/>
      <c r="DK466" s="18"/>
      <c r="DL466" s="18"/>
      <c r="DM466" s="18"/>
      <c r="DN466" s="18"/>
      <c r="DO466" s="18"/>
      <c r="DP466" s="18"/>
      <c r="DQ466" s="18"/>
      <c r="DR466" s="18"/>
      <c r="DS466" s="18"/>
      <c r="DT466" s="18"/>
      <c r="DU466" s="18"/>
      <c r="DV466" s="18"/>
      <c r="DW466" s="18"/>
      <c r="DX466" s="18"/>
      <c r="DY466" s="18"/>
      <c r="DZ466" s="18"/>
    </row>
    <row r="467" spans="1:130" x14ac:dyDescent="0.3">
      <c r="A467" s="18"/>
      <c r="B467" s="18"/>
      <c r="C467" s="18"/>
      <c r="D467" s="18"/>
      <c r="E467" s="18"/>
      <c r="F467" s="18"/>
      <c r="G467" s="18"/>
      <c r="H467" s="18"/>
      <c r="I467" s="18"/>
      <c r="J467" s="18"/>
      <c r="K467" s="18"/>
      <c r="L467" s="18"/>
      <c r="M467" s="18"/>
      <c r="N467" s="17"/>
      <c r="O467" s="17"/>
      <c r="P467" s="17"/>
      <c r="Q467" s="17"/>
      <c r="R467" s="17"/>
      <c r="S467" s="17"/>
      <c r="T467" s="17"/>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7"/>
      <c r="BT467" s="17"/>
      <c r="BU467" s="17"/>
      <c r="BV467" s="17"/>
      <c r="BW467" s="17"/>
      <c r="BX467" s="18"/>
      <c r="BY467" s="18"/>
      <c r="BZ467" s="18"/>
      <c r="CA467" s="18"/>
      <c r="CB467" s="17"/>
      <c r="CC467" s="17"/>
      <c r="CD467" s="17"/>
      <c r="CE467" s="18"/>
      <c r="CF467" s="18"/>
      <c r="CG467" s="18"/>
      <c r="CH467" s="18"/>
      <c r="CI467" s="18"/>
      <c r="CJ467" s="18"/>
      <c r="CK467" s="18"/>
      <c r="CL467" s="18"/>
      <c r="CM467" s="18"/>
      <c r="CN467" s="18"/>
      <c r="CO467" s="18"/>
      <c r="CP467" s="18"/>
      <c r="CQ467" s="18"/>
      <c r="CR467" s="18"/>
      <c r="CS467" s="18"/>
      <c r="CT467" s="18"/>
      <c r="CU467" s="18"/>
      <c r="CV467" s="18"/>
      <c r="CW467" s="18"/>
      <c r="CX467" s="18"/>
      <c r="CY467" s="18"/>
      <c r="CZ467" s="18"/>
      <c r="DA467" s="18"/>
      <c r="DB467" s="18"/>
      <c r="DC467" s="18"/>
      <c r="DD467" s="18"/>
      <c r="DE467" s="18"/>
      <c r="DF467" s="18"/>
      <c r="DG467" s="18"/>
      <c r="DH467" s="18"/>
      <c r="DI467" s="18"/>
      <c r="DJ467" s="18"/>
      <c r="DK467" s="18"/>
      <c r="DL467" s="18"/>
      <c r="DM467" s="18"/>
      <c r="DN467" s="18"/>
      <c r="DO467" s="18"/>
      <c r="DP467" s="18"/>
      <c r="DQ467" s="18"/>
      <c r="DR467" s="18"/>
      <c r="DS467" s="18"/>
      <c r="DT467" s="18"/>
      <c r="DU467" s="18"/>
      <c r="DV467" s="18"/>
      <c r="DW467" s="18"/>
      <c r="DX467" s="18"/>
      <c r="DY467" s="18"/>
      <c r="DZ467" s="18"/>
    </row>
    <row r="468" spans="1:130" x14ac:dyDescent="0.3">
      <c r="A468" s="18"/>
      <c r="B468" s="18"/>
      <c r="C468" s="18"/>
      <c r="D468" s="18"/>
      <c r="E468" s="18"/>
      <c r="F468" s="18"/>
      <c r="G468" s="18"/>
      <c r="H468" s="18"/>
      <c r="I468" s="18"/>
      <c r="J468" s="18"/>
      <c r="K468" s="18"/>
      <c r="L468" s="18"/>
      <c r="M468" s="18"/>
      <c r="N468" s="17"/>
      <c r="O468" s="17"/>
      <c r="P468" s="17"/>
      <c r="Q468" s="17"/>
      <c r="R468" s="17"/>
      <c r="S468" s="17"/>
      <c r="T468" s="17"/>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7"/>
      <c r="BT468" s="17"/>
      <c r="BU468" s="17"/>
      <c r="BV468" s="17"/>
      <c r="BW468" s="17"/>
      <c r="BX468" s="18"/>
      <c r="BY468" s="18"/>
      <c r="BZ468" s="18"/>
      <c r="CA468" s="18"/>
      <c r="CB468" s="17"/>
      <c r="CC468" s="17"/>
      <c r="CD468" s="17"/>
      <c r="CE468" s="18"/>
      <c r="CF468" s="18"/>
      <c r="CG468" s="18"/>
      <c r="CH468" s="18"/>
      <c r="CI468" s="18"/>
      <c r="CJ468" s="18"/>
      <c r="CK468" s="18"/>
      <c r="CL468" s="18"/>
      <c r="CM468" s="18"/>
      <c r="CN468" s="18"/>
      <c r="CO468" s="18"/>
      <c r="CP468" s="18"/>
      <c r="CQ468" s="18"/>
      <c r="CR468" s="18"/>
      <c r="CS468" s="18"/>
      <c r="CT468" s="18"/>
      <c r="CU468" s="18"/>
      <c r="CV468" s="18"/>
      <c r="CW468" s="18"/>
      <c r="CX468" s="18"/>
      <c r="CY468" s="18"/>
      <c r="CZ468" s="18"/>
      <c r="DA468" s="18"/>
      <c r="DB468" s="18"/>
      <c r="DC468" s="18"/>
      <c r="DD468" s="18"/>
      <c r="DE468" s="18"/>
      <c r="DF468" s="18"/>
      <c r="DG468" s="18"/>
      <c r="DH468" s="18"/>
      <c r="DI468" s="18"/>
      <c r="DJ468" s="18"/>
      <c r="DK468" s="18"/>
      <c r="DL468" s="18"/>
      <c r="DM468" s="18"/>
      <c r="DN468" s="18"/>
      <c r="DO468" s="18"/>
      <c r="DP468" s="18"/>
      <c r="DQ468" s="18"/>
      <c r="DR468" s="18"/>
      <c r="DS468" s="18"/>
      <c r="DT468" s="18"/>
      <c r="DU468" s="18"/>
      <c r="DV468" s="18"/>
      <c r="DW468" s="18"/>
      <c r="DX468" s="18"/>
      <c r="DY468" s="18"/>
      <c r="DZ468" s="18"/>
    </row>
    <row r="469" spans="1:130" x14ac:dyDescent="0.3">
      <c r="A469" s="18"/>
      <c r="B469" s="18"/>
      <c r="C469" s="18"/>
      <c r="D469" s="18"/>
      <c r="E469" s="18"/>
      <c r="F469" s="18"/>
      <c r="G469" s="18"/>
      <c r="H469" s="18"/>
      <c r="I469" s="18"/>
      <c r="J469" s="18"/>
      <c r="K469" s="18"/>
      <c r="L469" s="18"/>
      <c r="M469" s="18"/>
      <c r="N469" s="17"/>
      <c r="O469" s="17"/>
      <c r="P469" s="17"/>
      <c r="Q469" s="17"/>
      <c r="R469" s="17"/>
      <c r="S469" s="17"/>
      <c r="T469" s="17"/>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7"/>
      <c r="BT469" s="17"/>
      <c r="BU469" s="17"/>
      <c r="BV469" s="17"/>
      <c r="BW469" s="17"/>
      <c r="BX469" s="18"/>
      <c r="BY469" s="18"/>
      <c r="BZ469" s="18"/>
      <c r="CA469" s="18"/>
      <c r="CB469" s="17"/>
      <c r="CC469" s="17"/>
      <c r="CD469" s="17"/>
      <c r="CE469" s="18"/>
      <c r="CF469" s="18"/>
      <c r="CG469" s="18"/>
      <c r="CH469" s="18"/>
      <c r="CI469" s="18"/>
      <c r="CJ469" s="18"/>
      <c r="CK469" s="18"/>
      <c r="CL469" s="18"/>
      <c r="CM469" s="18"/>
      <c r="CN469" s="18"/>
      <c r="CO469" s="18"/>
      <c r="CP469" s="18"/>
      <c r="CQ469" s="18"/>
      <c r="CR469" s="18"/>
      <c r="CS469" s="18"/>
      <c r="CT469" s="18"/>
      <c r="CU469" s="18"/>
      <c r="CV469" s="18"/>
      <c r="CW469" s="18"/>
      <c r="CX469" s="18"/>
      <c r="CY469" s="18"/>
      <c r="CZ469" s="18"/>
      <c r="DA469" s="18"/>
      <c r="DB469" s="18"/>
      <c r="DC469" s="18"/>
      <c r="DD469" s="18"/>
      <c r="DE469" s="18"/>
      <c r="DF469" s="18"/>
      <c r="DG469" s="18"/>
      <c r="DH469" s="18"/>
      <c r="DI469" s="18"/>
      <c r="DJ469" s="18"/>
      <c r="DK469" s="18"/>
      <c r="DL469" s="18"/>
      <c r="DM469" s="18"/>
      <c r="DN469" s="18"/>
      <c r="DO469" s="18"/>
      <c r="DP469" s="18"/>
      <c r="DQ469" s="18"/>
      <c r="DR469" s="18"/>
      <c r="DS469" s="18"/>
      <c r="DT469" s="18"/>
      <c r="DU469" s="18"/>
      <c r="DV469" s="18"/>
      <c r="DW469" s="18"/>
      <c r="DX469" s="18"/>
      <c r="DY469" s="18"/>
      <c r="DZ469" s="18"/>
    </row>
    <row r="470" spans="1:130" x14ac:dyDescent="0.3">
      <c r="A470" s="18"/>
      <c r="B470" s="18"/>
      <c r="C470" s="18"/>
      <c r="D470" s="18"/>
      <c r="E470" s="18"/>
      <c r="F470" s="18"/>
      <c r="G470" s="18"/>
      <c r="H470" s="18"/>
      <c r="I470" s="18"/>
      <c r="J470" s="18"/>
      <c r="K470" s="18"/>
      <c r="L470" s="18"/>
      <c r="M470" s="18"/>
      <c r="N470" s="17"/>
      <c r="O470" s="17"/>
      <c r="P470" s="17"/>
      <c r="Q470" s="17"/>
      <c r="R470" s="17"/>
      <c r="S470" s="17"/>
      <c r="T470" s="17"/>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7"/>
      <c r="BT470" s="17"/>
      <c r="BU470" s="17"/>
      <c r="BV470" s="17"/>
      <c r="BW470" s="17"/>
      <c r="BX470" s="18"/>
      <c r="BY470" s="18"/>
      <c r="BZ470" s="18"/>
      <c r="CA470" s="18"/>
      <c r="CB470" s="17"/>
      <c r="CC470" s="17"/>
      <c r="CD470" s="17"/>
      <c r="CE470" s="18"/>
      <c r="CF470" s="18"/>
      <c r="CG470" s="18"/>
      <c r="CH470" s="18"/>
      <c r="CI470" s="18"/>
      <c r="CJ470" s="18"/>
      <c r="CK470" s="18"/>
      <c r="CL470" s="18"/>
      <c r="CM470" s="18"/>
      <c r="CN470" s="18"/>
      <c r="CO470" s="18"/>
      <c r="CP470" s="18"/>
      <c r="CQ470" s="18"/>
      <c r="CR470" s="18"/>
      <c r="CS470" s="18"/>
      <c r="CT470" s="18"/>
      <c r="CU470" s="18"/>
      <c r="CV470" s="18"/>
      <c r="CW470" s="18"/>
      <c r="CX470" s="18"/>
      <c r="CY470" s="18"/>
      <c r="CZ470" s="18"/>
      <c r="DA470" s="18"/>
      <c r="DB470" s="18"/>
      <c r="DC470" s="18"/>
      <c r="DD470" s="18"/>
      <c r="DE470" s="18"/>
      <c r="DF470" s="18"/>
      <c r="DG470" s="18"/>
      <c r="DH470" s="18"/>
      <c r="DI470" s="18"/>
      <c r="DJ470" s="18"/>
      <c r="DK470" s="18"/>
      <c r="DL470" s="18"/>
      <c r="DM470" s="18"/>
      <c r="DN470" s="18"/>
      <c r="DO470" s="18"/>
      <c r="DP470" s="18"/>
      <c r="DQ470" s="18"/>
      <c r="DR470" s="18"/>
      <c r="DS470" s="18"/>
      <c r="DT470" s="18"/>
      <c r="DU470" s="18"/>
      <c r="DV470" s="18"/>
      <c r="DW470" s="18"/>
      <c r="DX470" s="18"/>
      <c r="DY470" s="18"/>
      <c r="DZ470" s="18"/>
    </row>
    <row r="471" spans="1:130" x14ac:dyDescent="0.3">
      <c r="A471" s="18"/>
      <c r="B471" s="18"/>
      <c r="C471" s="18"/>
      <c r="D471" s="18"/>
      <c r="E471" s="18"/>
      <c r="F471" s="18"/>
      <c r="G471" s="18"/>
      <c r="H471" s="18"/>
      <c r="I471" s="18"/>
      <c r="J471" s="18"/>
      <c r="K471" s="18"/>
      <c r="L471" s="18"/>
      <c r="M471" s="18"/>
      <c r="N471" s="17"/>
      <c r="O471" s="17"/>
      <c r="P471" s="17"/>
      <c r="Q471" s="17"/>
      <c r="R471" s="17"/>
      <c r="S471" s="17"/>
      <c r="T471" s="17"/>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7"/>
      <c r="BT471" s="17"/>
      <c r="BU471" s="17"/>
      <c r="BV471" s="17"/>
      <c r="BW471" s="17"/>
      <c r="BX471" s="18"/>
      <c r="BY471" s="18"/>
      <c r="BZ471" s="18"/>
      <c r="CA471" s="18"/>
      <c r="CB471" s="17"/>
      <c r="CC471" s="17"/>
      <c r="CD471" s="17"/>
      <c r="CE471" s="18"/>
      <c r="CF471" s="18"/>
      <c r="CG471" s="18"/>
      <c r="CH471" s="18"/>
      <c r="CI471" s="18"/>
      <c r="CJ471" s="18"/>
      <c r="CK471" s="18"/>
      <c r="CL471" s="18"/>
      <c r="CM471" s="18"/>
      <c r="CN471" s="18"/>
      <c r="CO471" s="18"/>
      <c r="CP471" s="18"/>
      <c r="CQ471" s="18"/>
      <c r="CR471" s="18"/>
      <c r="CS471" s="18"/>
      <c r="CT471" s="18"/>
      <c r="CU471" s="18"/>
      <c r="CV471" s="18"/>
      <c r="CW471" s="18"/>
      <c r="CX471" s="18"/>
      <c r="CY471" s="18"/>
      <c r="CZ471" s="18"/>
      <c r="DA471" s="18"/>
      <c r="DB471" s="18"/>
      <c r="DC471" s="18"/>
      <c r="DD471" s="18"/>
      <c r="DE471" s="18"/>
      <c r="DF471" s="18"/>
      <c r="DG471" s="18"/>
      <c r="DH471" s="18"/>
      <c r="DI471" s="18"/>
      <c r="DJ471" s="18"/>
      <c r="DK471" s="18"/>
      <c r="DL471" s="18"/>
      <c r="DM471" s="18"/>
      <c r="DN471" s="18"/>
      <c r="DO471" s="18"/>
      <c r="DP471" s="18"/>
      <c r="DQ471" s="18"/>
      <c r="DR471" s="18"/>
      <c r="DS471" s="18"/>
      <c r="DT471" s="18"/>
      <c r="DU471" s="18"/>
      <c r="DV471" s="18"/>
      <c r="DW471" s="18"/>
      <c r="DX471" s="18"/>
      <c r="DY471" s="18"/>
      <c r="DZ471" s="18"/>
    </row>
    <row r="472" spans="1:130" x14ac:dyDescent="0.3">
      <c r="A472" s="18"/>
      <c r="B472" s="18"/>
      <c r="C472" s="18"/>
      <c r="D472" s="18"/>
      <c r="E472" s="18"/>
      <c r="F472" s="18"/>
      <c r="G472" s="18"/>
      <c r="H472" s="18"/>
      <c r="I472" s="18"/>
      <c r="J472" s="18"/>
      <c r="K472" s="18"/>
      <c r="L472" s="18"/>
      <c r="M472" s="18"/>
      <c r="N472" s="17"/>
      <c r="O472" s="17"/>
      <c r="P472" s="17"/>
      <c r="Q472" s="17"/>
      <c r="R472" s="17"/>
      <c r="S472" s="17"/>
      <c r="T472" s="17"/>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7"/>
      <c r="BT472" s="17"/>
      <c r="BU472" s="17"/>
      <c r="BV472" s="17"/>
      <c r="BW472" s="17"/>
      <c r="BX472" s="18"/>
      <c r="BY472" s="18"/>
      <c r="BZ472" s="18"/>
      <c r="CA472" s="18"/>
      <c r="CB472" s="17"/>
      <c r="CC472" s="17"/>
      <c r="CD472" s="17"/>
      <c r="CE472" s="18"/>
      <c r="CF472" s="18"/>
      <c r="CG472" s="18"/>
      <c r="CH472" s="18"/>
      <c r="CI472" s="18"/>
      <c r="CJ472" s="18"/>
      <c r="CK472" s="18"/>
      <c r="CL472" s="18"/>
      <c r="CM472" s="18"/>
      <c r="CN472" s="18"/>
      <c r="CO472" s="18"/>
      <c r="CP472" s="18"/>
      <c r="CQ472" s="18"/>
      <c r="CR472" s="18"/>
      <c r="CS472" s="18"/>
      <c r="CT472" s="18"/>
      <c r="CU472" s="18"/>
      <c r="CV472" s="18"/>
      <c r="CW472" s="18"/>
      <c r="CX472" s="18"/>
      <c r="CY472" s="18"/>
      <c r="CZ472" s="18"/>
      <c r="DA472" s="18"/>
      <c r="DB472" s="18"/>
      <c r="DC472" s="18"/>
      <c r="DD472" s="18"/>
      <c r="DE472" s="18"/>
      <c r="DF472" s="18"/>
      <c r="DG472" s="18"/>
      <c r="DH472" s="18"/>
      <c r="DI472" s="18"/>
      <c r="DJ472" s="18"/>
      <c r="DK472" s="18"/>
      <c r="DL472" s="18"/>
      <c r="DM472" s="18"/>
      <c r="DN472" s="18"/>
      <c r="DO472" s="18"/>
      <c r="DP472" s="18"/>
      <c r="DQ472" s="18"/>
      <c r="DR472" s="18"/>
      <c r="DS472" s="18"/>
      <c r="DT472" s="18"/>
      <c r="DU472" s="18"/>
      <c r="DV472" s="18"/>
      <c r="DW472" s="18"/>
      <c r="DX472" s="18"/>
      <c r="DY472" s="18"/>
      <c r="DZ472" s="18"/>
    </row>
    <row r="473" spans="1:130" x14ac:dyDescent="0.3">
      <c r="A473" s="18"/>
      <c r="B473" s="18"/>
      <c r="C473" s="18"/>
      <c r="D473" s="18"/>
      <c r="E473" s="18"/>
      <c r="F473" s="18"/>
      <c r="G473" s="18"/>
      <c r="H473" s="18"/>
      <c r="I473" s="18"/>
      <c r="J473" s="18"/>
      <c r="K473" s="18"/>
      <c r="L473" s="18"/>
      <c r="M473" s="18"/>
      <c r="N473" s="17"/>
      <c r="O473" s="17"/>
      <c r="P473" s="17"/>
      <c r="Q473" s="17"/>
      <c r="R473" s="17"/>
      <c r="S473" s="17"/>
      <c r="T473" s="17"/>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7"/>
      <c r="BT473" s="17"/>
      <c r="BU473" s="17"/>
      <c r="BV473" s="17"/>
      <c r="BW473" s="17"/>
      <c r="BX473" s="18"/>
      <c r="BY473" s="18"/>
      <c r="BZ473" s="18"/>
      <c r="CA473" s="18"/>
      <c r="CB473" s="17"/>
      <c r="CC473" s="17"/>
      <c r="CD473" s="17"/>
      <c r="CE473" s="18"/>
      <c r="CF473" s="18"/>
      <c r="CG473" s="18"/>
      <c r="CH473" s="18"/>
      <c r="CI473" s="18"/>
      <c r="CJ473" s="18"/>
      <c r="CK473" s="18"/>
      <c r="CL473" s="18"/>
      <c r="CM473" s="18"/>
      <c r="CN473" s="18"/>
      <c r="CO473" s="18"/>
      <c r="CP473" s="18"/>
      <c r="CQ473" s="18"/>
      <c r="CR473" s="18"/>
      <c r="CS473" s="18"/>
      <c r="CT473" s="18"/>
      <c r="CU473" s="18"/>
      <c r="CV473" s="18"/>
      <c r="CW473" s="18"/>
      <c r="CX473" s="18"/>
      <c r="CY473" s="18"/>
      <c r="CZ473" s="18"/>
      <c r="DA473" s="18"/>
      <c r="DB473" s="18"/>
      <c r="DC473" s="18"/>
      <c r="DD473" s="18"/>
      <c r="DE473" s="18"/>
      <c r="DF473" s="18"/>
      <c r="DG473" s="18"/>
      <c r="DH473" s="18"/>
      <c r="DI473" s="18"/>
      <c r="DJ473" s="18"/>
      <c r="DK473" s="18"/>
      <c r="DL473" s="18"/>
      <c r="DM473" s="18"/>
      <c r="DN473" s="18"/>
      <c r="DO473" s="18"/>
      <c r="DP473" s="18"/>
      <c r="DQ473" s="18"/>
      <c r="DR473" s="18"/>
      <c r="DS473" s="18"/>
      <c r="DT473" s="18"/>
      <c r="DU473" s="18"/>
      <c r="DV473" s="18"/>
      <c r="DW473" s="18"/>
      <c r="DX473" s="18"/>
      <c r="DY473" s="18"/>
      <c r="DZ473" s="18"/>
    </row>
    <row r="474" spans="1:130" x14ac:dyDescent="0.3">
      <c r="A474" s="18"/>
      <c r="B474" s="18"/>
      <c r="C474" s="18"/>
      <c r="D474" s="18"/>
      <c r="E474" s="18"/>
      <c r="F474" s="18"/>
      <c r="G474" s="18"/>
      <c r="H474" s="18"/>
      <c r="I474" s="18"/>
      <c r="J474" s="18"/>
      <c r="K474" s="18"/>
      <c r="L474" s="18"/>
      <c r="M474" s="18"/>
      <c r="N474" s="17"/>
      <c r="O474" s="17"/>
      <c r="P474" s="17"/>
      <c r="Q474" s="17"/>
      <c r="R474" s="17"/>
      <c r="S474" s="17"/>
      <c r="T474" s="17"/>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7"/>
      <c r="BT474" s="17"/>
      <c r="BU474" s="17"/>
      <c r="BV474" s="17"/>
      <c r="BW474" s="17"/>
      <c r="BX474" s="18"/>
      <c r="BY474" s="18"/>
      <c r="BZ474" s="18"/>
      <c r="CA474" s="18"/>
      <c r="CB474" s="17"/>
      <c r="CC474" s="17"/>
      <c r="CD474" s="17"/>
      <c r="CE474" s="18"/>
      <c r="CF474" s="18"/>
      <c r="CG474" s="18"/>
      <c r="CH474" s="18"/>
      <c r="CI474" s="18"/>
      <c r="CJ474" s="18"/>
      <c r="CK474" s="18"/>
      <c r="CL474" s="18"/>
      <c r="CM474" s="18"/>
      <c r="CN474" s="18"/>
      <c r="CO474" s="18"/>
      <c r="CP474" s="18"/>
      <c r="CQ474" s="18"/>
      <c r="CR474" s="18"/>
      <c r="CS474" s="18"/>
      <c r="CT474" s="18"/>
      <c r="CU474" s="18"/>
      <c r="CV474" s="18"/>
      <c r="CW474" s="18"/>
      <c r="CX474" s="18"/>
      <c r="CY474" s="18"/>
      <c r="CZ474" s="18"/>
      <c r="DA474" s="18"/>
      <c r="DB474" s="18"/>
      <c r="DC474" s="18"/>
      <c r="DD474" s="18"/>
      <c r="DE474" s="18"/>
      <c r="DF474" s="18"/>
      <c r="DG474" s="18"/>
      <c r="DH474" s="18"/>
      <c r="DI474" s="18"/>
      <c r="DJ474" s="18"/>
      <c r="DK474" s="18"/>
      <c r="DL474" s="18"/>
      <c r="DM474" s="18"/>
      <c r="DN474" s="18"/>
      <c r="DO474" s="18"/>
      <c r="DP474" s="18"/>
      <c r="DQ474" s="18"/>
      <c r="DR474" s="18"/>
      <c r="DS474" s="18"/>
      <c r="DT474" s="18"/>
      <c r="DU474" s="18"/>
      <c r="DV474" s="18"/>
      <c r="DW474" s="18"/>
      <c r="DX474" s="18"/>
      <c r="DY474" s="18"/>
      <c r="DZ474" s="18"/>
    </row>
    <row r="475" spans="1:130" x14ac:dyDescent="0.3">
      <c r="A475" s="18"/>
      <c r="B475" s="18"/>
      <c r="C475" s="18"/>
      <c r="D475" s="18"/>
      <c r="E475" s="18"/>
      <c r="F475" s="18"/>
      <c r="G475" s="18"/>
      <c r="H475" s="18"/>
      <c r="I475" s="18"/>
      <c r="J475" s="18"/>
      <c r="K475" s="18"/>
      <c r="L475" s="18"/>
      <c r="M475" s="18"/>
      <c r="N475" s="17"/>
      <c r="O475" s="17"/>
      <c r="P475" s="17"/>
      <c r="Q475" s="17"/>
      <c r="R475" s="17"/>
      <c r="S475" s="17"/>
      <c r="T475" s="17"/>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7"/>
      <c r="BT475" s="17"/>
      <c r="BU475" s="17"/>
      <c r="BV475" s="17"/>
      <c r="BW475" s="17"/>
      <c r="BX475" s="18"/>
      <c r="BY475" s="18"/>
      <c r="BZ475" s="18"/>
      <c r="CA475" s="18"/>
      <c r="CB475" s="17"/>
      <c r="CC475" s="17"/>
      <c r="CD475" s="17"/>
      <c r="CE475" s="18"/>
      <c r="CF475" s="18"/>
      <c r="CG475" s="18"/>
      <c r="CH475" s="18"/>
      <c r="CI475" s="18"/>
      <c r="CJ475" s="18"/>
      <c r="CK475" s="18"/>
      <c r="CL475" s="18"/>
      <c r="CM475" s="18"/>
      <c r="CN475" s="18"/>
      <c r="CO475" s="18"/>
      <c r="CP475" s="18"/>
      <c r="CQ475" s="18"/>
      <c r="CR475" s="18"/>
      <c r="CS475" s="18"/>
      <c r="CT475" s="18"/>
      <c r="CU475" s="18"/>
      <c r="CV475" s="18"/>
      <c r="CW475" s="18"/>
      <c r="CX475" s="18"/>
      <c r="CY475" s="18"/>
      <c r="CZ475" s="18"/>
      <c r="DA475" s="18"/>
      <c r="DB475" s="18"/>
      <c r="DC475" s="18"/>
      <c r="DD475" s="18"/>
      <c r="DE475" s="18"/>
      <c r="DF475" s="18"/>
      <c r="DG475" s="18"/>
      <c r="DH475" s="18"/>
      <c r="DI475" s="18"/>
      <c r="DJ475" s="18"/>
      <c r="DK475" s="18"/>
      <c r="DL475" s="18"/>
      <c r="DM475" s="18"/>
      <c r="DN475" s="18"/>
      <c r="DO475" s="18"/>
      <c r="DP475" s="18"/>
      <c r="DQ475" s="18"/>
      <c r="DR475" s="18"/>
      <c r="DS475" s="18"/>
      <c r="DT475" s="18"/>
      <c r="DU475" s="18"/>
      <c r="DV475" s="18"/>
      <c r="DW475" s="18"/>
      <c r="DX475" s="18"/>
      <c r="DY475" s="18"/>
      <c r="DZ475" s="18"/>
    </row>
    <row r="476" spans="1:130" x14ac:dyDescent="0.3">
      <c r="A476" s="18"/>
      <c r="B476" s="18"/>
      <c r="C476" s="18"/>
      <c r="D476" s="18"/>
      <c r="E476" s="18"/>
      <c r="F476" s="18"/>
      <c r="G476" s="18"/>
      <c r="H476" s="18"/>
      <c r="I476" s="18"/>
      <c r="J476" s="18"/>
      <c r="K476" s="18"/>
      <c r="L476" s="18"/>
      <c r="M476" s="18"/>
      <c r="N476" s="17"/>
      <c r="O476" s="17"/>
      <c r="P476" s="17"/>
      <c r="Q476" s="17"/>
      <c r="R476" s="17"/>
      <c r="S476" s="17"/>
      <c r="T476" s="17"/>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7"/>
      <c r="BT476" s="17"/>
      <c r="BU476" s="17"/>
      <c r="BV476" s="17"/>
      <c r="BW476" s="17"/>
      <c r="BX476" s="18"/>
      <c r="BY476" s="18"/>
      <c r="BZ476" s="18"/>
      <c r="CA476" s="18"/>
      <c r="CB476" s="17"/>
      <c r="CC476" s="17"/>
      <c r="CD476" s="17"/>
      <c r="CE476" s="18"/>
      <c r="CF476" s="18"/>
      <c r="CG476" s="18"/>
      <c r="CH476" s="18"/>
      <c r="CI476" s="18"/>
      <c r="CJ476" s="18"/>
      <c r="CK476" s="18"/>
      <c r="CL476" s="18"/>
      <c r="CM476" s="18"/>
      <c r="CN476" s="18"/>
      <c r="CO476" s="18"/>
      <c r="CP476" s="18"/>
      <c r="CQ476" s="18"/>
      <c r="CR476" s="18"/>
      <c r="CS476" s="18"/>
      <c r="CT476" s="18"/>
      <c r="CU476" s="18"/>
      <c r="CV476" s="18"/>
      <c r="CW476" s="18"/>
      <c r="CX476" s="18"/>
      <c r="CY476" s="18"/>
      <c r="CZ476" s="18"/>
      <c r="DA476" s="18"/>
      <c r="DB476" s="18"/>
      <c r="DC476" s="18"/>
      <c r="DD476" s="18"/>
      <c r="DE476" s="18"/>
      <c r="DF476" s="18"/>
      <c r="DG476" s="18"/>
      <c r="DH476" s="18"/>
      <c r="DI476" s="18"/>
      <c r="DJ476" s="18"/>
      <c r="DK476" s="18"/>
      <c r="DL476" s="18"/>
      <c r="DM476" s="18"/>
      <c r="DN476" s="18"/>
      <c r="DO476" s="18"/>
      <c r="DP476" s="18"/>
      <c r="DQ476" s="18"/>
      <c r="DR476" s="18"/>
      <c r="DS476" s="18"/>
      <c r="DT476" s="18"/>
      <c r="DU476" s="18"/>
      <c r="DV476" s="18"/>
      <c r="DW476" s="18"/>
      <c r="DX476" s="18"/>
      <c r="DY476" s="18"/>
      <c r="DZ476" s="18"/>
    </row>
    <row r="477" spans="1:130" x14ac:dyDescent="0.3">
      <c r="A477" s="18"/>
      <c r="B477" s="18"/>
      <c r="C477" s="18"/>
      <c r="D477" s="18"/>
      <c r="E477" s="18"/>
      <c r="F477" s="18"/>
      <c r="G477" s="18"/>
      <c r="H477" s="18"/>
      <c r="I477" s="18"/>
      <c r="J477" s="18"/>
      <c r="K477" s="18"/>
      <c r="L477" s="18"/>
      <c r="M477" s="18"/>
      <c r="N477" s="17"/>
      <c r="O477" s="17"/>
      <c r="P477" s="17"/>
      <c r="Q477" s="17"/>
      <c r="R477" s="17"/>
      <c r="S477" s="17"/>
      <c r="T477" s="17"/>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7"/>
      <c r="BT477" s="17"/>
      <c r="BU477" s="17"/>
      <c r="BV477" s="17"/>
      <c r="BW477" s="17"/>
      <c r="BX477" s="18"/>
      <c r="BY477" s="18"/>
      <c r="BZ477" s="18"/>
      <c r="CA477" s="18"/>
      <c r="CB477" s="17"/>
      <c r="CC477" s="17"/>
      <c r="CD477" s="17"/>
      <c r="CE477" s="18"/>
      <c r="CF477" s="18"/>
      <c r="CG477" s="18"/>
      <c r="CH477" s="18"/>
      <c r="CI477" s="18"/>
      <c r="CJ477" s="18"/>
      <c r="CK477" s="18"/>
      <c r="CL477" s="18"/>
      <c r="CM477" s="18"/>
      <c r="CN477" s="18"/>
      <c r="CO477" s="18"/>
      <c r="CP477" s="18"/>
      <c r="CQ477" s="18"/>
      <c r="CR477" s="18"/>
      <c r="CS477" s="18"/>
      <c r="CT477" s="18"/>
      <c r="CU477" s="18"/>
      <c r="CV477" s="18"/>
      <c r="CW477" s="18"/>
      <c r="CX477" s="18"/>
      <c r="CY477" s="18"/>
      <c r="CZ477" s="18"/>
      <c r="DA477" s="18"/>
      <c r="DB477" s="18"/>
      <c r="DC477" s="18"/>
      <c r="DD477" s="18"/>
      <c r="DE477" s="18"/>
      <c r="DF477" s="18"/>
      <c r="DG477" s="18"/>
      <c r="DH477" s="18"/>
      <c r="DI477" s="18"/>
      <c r="DJ477" s="18"/>
      <c r="DK477" s="18"/>
      <c r="DL477" s="18"/>
      <c r="DM477" s="18"/>
      <c r="DN477" s="18"/>
      <c r="DO477" s="18"/>
      <c r="DP477" s="18"/>
      <c r="DQ477" s="18"/>
      <c r="DR477" s="18"/>
      <c r="DS477" s="18"/>
      <c r="DT477" s="18"/>
      <c r="DU477" s="18"/>
      <c r="DV477" s="18"/>
      <c r="DW477" s="18"/>
      <c r="DX477" s="18"/>
      <c r="DY477" s="18"/>
      <c r="DZ477" s="18"/>
    </row>
    <row r="478" spans="1:130" x14ac:dyDescent="0.3">
      <c r="A478" s="18"/>
      <c r="B478" s="18"/>
      <c r="C478" s="18"/>
      <c r="D478" s="18"/>
      <c r="E478" s="18"/>
      <c r="F478" s="18"/>
      <c r="G478" s="18"/>
      <c r="H478" s="18"/>
      <c r="I478" s="18"/>
      <c r="J478" s="18"/>
      <c r="K478" s="18"/>
      <c r="L478" s="18"/>
      <c r="M478" s="18"/>
      <c r="N478" s="17"/>
      <c r="O478" s="17"/>
      <c r="P478" s="17"/>
      <c r="Q478" s="17"/>
      <c r="R478" s="17"/>
      <c r="S478" s="17"/>
      <c r="T478" s="17"/>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7"/>
      <c r="BT478" s="17"/>
      <c r="BU478" s="17"/>
      <c r="BV478" s="17"/>
      <c r="BW478" s="17"/>
      <c r="BX478" s="18"/>
      <c r="BY478" s="18"/>
      <c r="BZ478" s="18"/>
      <c r="CA478" s="18"/>
      <c r="CB478" s="17"/>
      <c r="CC478" s="17"/>
      <c r="CD478" s="17"/>
      <c r="CE478" s="18"/>
      <c r="CF478" s="18"/>
      <c r="CG478" s="18"/>
      <c r="CH478" s="18"/>
      <c r="CI478" s="18"/>
      <c r="CJ478" s="18"/>
      <c r="CK478" s="18"/>
      <c r="CL478" s="18"/>
      <c r="CM478" s="18"/>
      <c r="CN478" s="18"/>
      <c r="CO478" s="18"/>
      <c r="CP478" s="18"/>
      <c r="CQ478" s="18"/>
      <c r="CR478" s="18"/>
      <c r="CS478" s="18"/>
      <c r="CT478" s="18"/>
      <c r="CU478" s="18"/>
      <c r="CV478" s="18"/>
      <c r="CW478" s="18"/>
      <c r="CX478" s="18"/>
      <c r="CY478" s="18"/>
      <c r="CZ478" s="18"/>
      <c r="DA478" s="18"/>
      <c r="DB478" s="18"/>
      <c r="DC478" s="18"/>
      <c r="DD478" s="18"/>
      <c r="DE478" s="18"/>
      <c r="DF478" s="18"/>
      <c r="DG478" s="18"/>
      <c r="DH478" s="18"/>
      <c r="DI478" s="18"/>
      <c r="DJ478" s="18"/>
      <c r="DK478" s="18"/>
      <c r="DL478" s="18"/>
      <c r="DM478" s="18"/>
      <c r="DN478" s="18"/>
      <c r="DO478" s="18"/>
      <c r="DP478" s="18"/>
      <c r="DQ478" s="18"/>
      <c r="DR478" s="18"/>
      <c r="DS478" s="18"/>
      <c r="DT478" s="18"/>
      <c r="DU478" s="18"/>
      <c r="DV478" s="18"/>
      <c r="DW478" s="18"/>
      <c r="DX478" s="18"/>
      <c r="DY478" s="18"/>
      <c r="DZ478" s="18"/>
    </row>
    <row r="479" spans="1:130" x14ac:dyDescent="0.3">
      <c r="A479" s="18"/>
      <c r="B479" s="18"/>
      <c r="C479" s="18"/>
      <c r="D479" s="18"/>
      <c r="E479" s="18"/>
      <c r="F479" s="18"/>
      <c r="G479" s="18"/>
      <c r="H479" s="18"/>
      <c r="I479" s="18"/>
      <c r="J479" s="18"/>
      <c r="K479" s="18"/>
      <c r="L479" s="18"/>
      <c r="M479" s="18"/>
      <c r="N479" s="17"/>
      <c r="O479" s="17"/>
      <c r="P479" s="17"/>
      <c r="Q479" s="17"/>
      <c r="R479" s="17"/>
      <c r="S479" s="17"/>
      <c r="T479" s="17"/>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7"/>
      <c r="BT479" s="17"/>
      <c r="BU479" s="17"/>
      <c r="BV479" s="17"/>
      <c r="BW479" s="17"/>
      <c r="BX479" s="18"/>
      <c r="BY479" s="18"/>
      <c r="BZ479" s="18"/>
      <c r="CA479" s="18"/>
      <c r="CB479" s="17"/>
      <c r="CC479" s="17"/>
      <c r="CD479" s="17"/>
      <c r="CE479" s="18"/>
      <c r="CF479" s="18"/>
      <c r="CG479" s="18"/>
      <c r="CH479" s="18"/>
      <c r="CI479" s="18"/>
      <c r="CJ479" s="18"/>
      <c r="CK479" s="18"/>
      <c r="CL479" s="18"/>
      <c r="CM479" s="18"/>
      <c r="CN479" s="18"/>
      <c r="CO479" s="18"/>
      <c r="CP479" s="18"/>
      <c r="CQ479" s="18"/>
      <c r="CR479" s="18"/>
      <c r="CS479" s="18"/>
      <c r="CT479" s="18"/>
      <c r="CU479" s="18"/>
      <c r="CV479" s="18"/>
      <c r="CW479" s="18"/>
      <c r="CX479" s="18"/>
      <c r="CY479" s="18"/>
      <c r="CZ479" s="18"/>
      <c r="DA479" s="18"/>
      <c r="DB479" s="18"/>
      <c r="DC479" s="18"/>
      <c r="DD479" s="18"/>
      <c r="DE479" s="18"/>
      <c r="DF479" s="18"/>
      <c r="DG479" s="18"/>
      <c r="DH479" s="18"/>
      <c r="DI479" s="18"/>
      <c r="DJ479" s="18"/>
      <c r="DK479" s="18"/>
      <c r="DL479" s="18"/>
      <c r="DM479" s="18"/>
      <c r="DN479" s="18"/>
      <c r="DO479" s="18"/>
      <c r="DP479" s="18"/>
      <c r="DQ479" s="18"/>
      <c r="DR479" s="18"/>
      <c r="DS479" s="18"/>
      <c r="DT479" s="18"/>
      <c r="DU479" s="18"/>
      <c r="DV479" s="18"/>
      <c r="DW479" s="18"/>
      <c r="DX479" s="18"/>
      <c r="DY479" s="18"/>
      <c r="DZ479" s="18"/>
    </row>
    <row r="480" spans="1:130" x14ac:dyDescent="0.3">
      <c r="A480" s="18"/>
      <c r="B480" s="18"/>
      <c r="C480" s="18"/>
      <c r="D480" s="18"/>
      <c r="E480" s="18"/>
      <c r="F480" s="18"/>
      <c r="G480" s="18"/>
      <c r="H480" s="18"/>
      <c r="I480" s="18"/>
      <c r="J480" s="18"/>
      <c r="K480" s="18"/>
      <c r="L480" s="18"/>
      <c r="M480" s="18"/>
      <c r="N480" s="17"/>
      <c r="O480" s="17"/>
      <c r="P480" s="17"/>
      <c r="Q480" s="17"/>
      <c r="R480" s="17"/>
      <c r="S480" s="17"/>
      <c r="T480" s="17"/>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7"/>
      <c r="BT480" s="17"/>
      <c r="BU480" s="17"/>
      <c r="BV480" s="17"/>
      <c r="BW480" s="17"/>
      <c r="BX480" s="18"/>
      <c r="BY480" s="18"/>
      <c r="BZ480" s="18"/>
      <c r="CA480" s="18"/>
      <c r="CB480" s="17"/>
      <c r="CC480" s="17"/>
      <c r="CD480" s="17"/>
      <c r="CE480" s="18"/>
      <c r="CF480" s="18"/>
      <c r="CG480" s="18"/>
      <c r="CH480" s="18"/>
      <c r="CI480" s="18"/>
      <c r="CJ480" s="18"/>
      <c r="CK480" s="18"/>
      <c r="CL480" s="18"/>
      <c r="CM480" s="18"/>
      <c r="CN480" s="18"/>
      <c r="CO480" s="18"/>
      <c r="CP480" s="18"/>
      <c r="CQ480" s="18"/>
      <c r="CR480" s="18"/>
      <c r="CS480" s="18"/>
      <c r="CT480" s="18"/>
      <c r="CU480" s="18"/>
      <c r="CV480" s="18"/>
      <c r="CW480" s="18"/>
      <c r="CX480" s="18"/>
      <c r="CY480" s="18"/>
      <c r="CZ480" s="18"/>
      <c r="DA480" s="18"/>
      <c r="DB480" s="18"/>
      <c r="DC480" s="18"/>
      <c r="DD480" s="18"/>
      <c r="DE480" s="18"/>
      <c r="DF480" s="18"/>
      <c r="DG480" s="18"/>
      <c r="DH480" s="18"/>
      <c r="DI480" s="18"/>
      <c r="DJ480" s="18"/>
      <c r="DK480" s="18"/>
      <c r="DL480" s="18"/>
      <c r="DM480" s="18"/>
      <c r="DN480" s="18"/>
      <c r="DO480" s="18"/>
      <c r="DP480" s="18"/>
      <c r="DQ480" s="18"/>
      <c r="DR480" s="18"/>
      <c r="DS480" s="18"/>
      <c r="DT480" s="18"/>
      <c r="DU480" s="18"/>
      <c r="DV480" s="18"/>
      <c r="DW480" s="18"/>
      <c r="DX480" s="18"/>
      <c r="DY480" s="18"/>
      <c r="DZ480" s="18"/>
    </row>
    <row r="481" spans="1:130" x14ac:dyDescent="0.3">
      <c r="A481" s="18"/>
      <c r="B481" s="18"/>
      <c r="C481" s="18"/>
      <c r="D481" s="18"/>
      <c r="E481" s="18"/>
      <c r="F481" s="18"/>
      <c r="G481" s="18"/>
      <c r="H481" s="18"/>
      <c r="I481" s="18"/>
      <c r="J481" s="18"/>
      <c r="K481" s="18"/>
      <c r="L481" s="18"/>
      <c r="M481" s="18"/>
      <c r="N481" s="17"/>
      <c r="O481" s="17"/>
      <c r="P481" s="17"/>
      <c r="Q481" s="17"/>
      <c r="R481" s="17"/>
      <c r="S481" s="17"/>
      <c r="T481" s="17"/>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7"/>
      <c r="BT481" s="17"/>
      <c r="BU481" s="17"/>
      <c r="BV481" s="17"/>
      <c r="BW481" s="17"/>
      <c r="BX481" s="18"/>
      <c r="BY481" s="18"/>
      <c r="BZ481" s="18"/>
      <c r="CA481" s="18"/>
      <c r="CB481" s="17"/>
      <c r="CC481" s="17"/>
      <c r="CD481" s="17"/>
      <c r="CE481" s="18"/>
      <c r="CF481" s="18"/>
      <c r="CG481" s="18"/>
      <c r="CH481" s="18"/>
      <c r="CI481" s="18"/>
      <c r="CJ481" s="18"/>
      <c r="CK481" s="18"/>
      <c r="CL481" s="18"/>
      <c r="CM481" s="18"/>
      <c r="CN481" s="18"/>
      <c r="CO481" s="18"/>
      <c r="CP481" s="18"/>
      <c r="CQ481" s="18"/>
      <c r="CR481" s="18"/>
      <c r="CS481" s="18"/>
      <c r="CT481" s="18"/>
      <c r="CU481" s="18"/>
      <c r="CV481" s="18"/>
      <c r="CW481" s="18"/>
      <c r="CX481" s="18"/>
      <c r="CY481" s="18"/>
      <c r="CZ481" s="18"/>
      <c r="DA481" s="18"/>
      <c r="DB481" s="18"/>
      <c r="DC481" s="18"/>
      <c r="DD481" s="18"/>
      <c r="DE481" s="18"/>
      <c r="DF481" s="18"/>
      <c r="DG481" s="18"/>
      <c r="DH481" s="18"/>
      <c r="DI481" s="18"/>
      <c r="DJ481" s="18"/>
      <c r="DK481" s="18"/>
      <c r="DL481" s="18"/>
      <c r="DM481" s="18"/>
      <c r="DN481" s="18"/>
      <c r="DO481" s="18"/>
      <c r="DP481" s="18"/>
      <c r="DQ481" s="18"/>
      <c r="DR481" s="18"/>
      <c r="DS481" s="18"/>
      <c r="DT481" s="18"/>
      <c r="DU481" s="18"/>
      <c r="DV481" s="18"/>
      <c r="DW481" s="18"/>
      <c r="DX481" s="18"/>
      <c r="DY481" s="18"/>
      <c r="DZ481" s="18"/>
    </row>
    <row r="482" spans="1:130" x14ac:dyDescent="0.3">
      <c r="A482" s="18"/>
      <c r="B482" s="18"/>
      <c r="C482" s="18"/>
      <c r="D482" s="18"/>
      <c r="E482" s="18"/>
      <c r="F482" s="18"/>
      <c r="G482" s="18"/>
      <c r="H482" s="18"/>
      <c r="I482" s="18"/>
      <c r="J482" s="18"/>
      <c r="K482" s="18"/>
      <c r="L482" s="18"/>
      <c r="M482" s="18"/>
      <c r="N482" s="17"/>
      <c r="O482" s="17"/>
      <c r="P482" s="17"/>
      <c r="Q482" s="17"/>
      <c r="R482" s="17"/>
      <c r="S482" s="17"/>
      <c r="T482" s="17"/>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7"/>
      <c r="BT482" s="17"/>
      <c r="BU482" s="17"/>
      <c r="BV482" s="17"/>
      <c r="BW482" s="17"/>
      <c r="BX482" s="18"/>
      <c r="BY482" s="18"/>
      <c r="BZ482" s="18"/>
      <c r="CA482" s="18"/>
      <c r="CB482" s="17"/>
      <c r="CC482" s="17"/>
      <c r="CD482" s="17"/>
      <c r="CE482" s="18"/>
      <c r="CF482" s="18"/>
      <c r="CG482" s="18"/>
      <c r="CH482" s="18"/>
      <c r="CI482" s="18"/>
      <c r="CJ482" s="18"/>
      <c r="CK482" s="18"/>
      <c r="CL482" s="18"/>
      <c r="CM482" s="18"/>
      <c r="CN482" s="18"/>
      <c r="CO482" s="18"/>
      <c r="CP482" s="18"/>
      <c r="CQ482" s="18"/>
      <c r="CR482" s="18"/>
      <c r="CS482" s="18"/>
      <c r="CT482" s="18"/>
      <c r="CU482" s="18"/>
      <c r="CV482" s="18"/>
      <c r="CW482" s="18"/>
      <c r="CX482" s="18"/>
      <c r="CY482" s="18"/>
      <c r="CZ482" s="18"/>
      <c r="DA482" s="18"/>
      <c r="DB482" s="18"/>
      <c r="DC482" s="18"/>
      <c r="DD482" s="18"/>
      <c r="DE482" s="18"/>
      <c r="DF482" s="18"/>
      <c r="DG482" s="18"/>
      <c r="DH482" s="18"/>
      <c r="DI482" s="18"/>
      <c r="DJ482" s="18"/>
      <c r="DK482" s="18"/>
      <c r="DL482" s="18"/>
      <c r="DM482" s="18"/>
      <c r="DN482" s="18"/>
      <c r="DO482" s="18"/>
      <c r="DP482" s="18"/>
      <c r="DQ482" s="18"/>
      <c r="DR482" s="18"/>
      <c r="DS482" s="18"/>
      <c r="DT482" s="18"/>
      <c r="DU482" s="18"/>
      <c r="DV482" s="18"/>
      <c r="DW482" s="18"/>
      <c r="DX482" s="18"/>
      <c r="DY482" s="18"/>
      <c r="DZ482" s="18"/>
    </row>
    <row r="483" spans="1:130" x14ac:dyDescent="0.3">
      <c r="A483" s="18"/>
      <c r="B483" s="18"/>
      <c r="C483" s="18"/>
      <c r="D483" s="18"/>
      <c r="E483" s="18"/>
      <c r="F483" s="18"/>
      <c r="G483" s="18"/>
      <c r="H483" s="18"/>
      <c r="I483" s="18"/>
      <c r="J483" s="18"/>
      <c r="K483" s="18"/>
      <c r="L483" s="18"/>
      <c r="M483" s="18"/>
      <c r="N483" s="17"/>
      <c r="O483" s="17"/>
      <c r="P483" s="17"/>
      <c r="Q483" s="17"/>
      <c r="R483" s="17"/>
      <c r="S483" s="17"/>
      <c r="T483" s="17"/>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7"/>
      <c r="BT483" s="17"/>
      <c r="BU483" s="17"/>
      <c r="BV483" s="17"/>
      <c r="BW483" s="17"/>
      <c r="BX483" s="18"/>
      <c r="BY483" s="18"/>
      <c r="BZ483" s="18"/>
      <c r="CA483" s="18"/>
      <c r="CB483" s="17"/>
      <c r="CC483" s="17"/>
      <c r="CD483" s="17"/>
      <c r="CE483" s="18"/>
      <c r="CF483" s="18"/>
      <c r="CG483" s="18"/>
      <c r="CH483" s="18"/>
      <c r="CI483" s="18"/>
      <c r="CJ483" s="18"/>
      <c r="CK483" s="18"/>
      <c r="CL483" s="18"/>
      <c r="CM483" s="18"/>
      <c r="CN483" s="18"/>
      <c r="CO483" s="18"/>
      <c r="CP483" s="18"/>
      <c r="CQ483" s="18"/>
      <c r="CR483" s="18"/>
      <c r="CS483" s="18"/>
      <c r="CT483" s="18"/>
      <c r="CU483" s="18"/>
      <c r="CV483" s="18"/>
      <c r="CW483" s="18"/>
      <c r="CX483" s="18"/>
      <c r="CY483" s="18"/>
      <c r="CZ483" s="18"/>
      <c r="DA483" s="18"/>
      <c r="DB483" s="18"/>
      <c r="DC483" s="18"/>
      <c r="DD483" s="18"/>
      <c r="DE483" s="18"/>
      <c r="DF483" s="18"/>
      <c r="DG483" s="18"/>
      <c r="DH483" s="18"/>
      <c r="DI483" s="18"/>
      <c r="DJ483" s="18"/>
      <c r="DK483" s="18"/>
      <c r="DL483" s="18"/>
      <c r="DM483" s="18"/>
      <c r="DN483" s="18"/>
      <c r="DO483" s="18"/>
      <c r="DP483" s="18"/>
      <c r="DQ483" s="18"/>
      <c r="DR483" s="18"/>
      <c r="DS483" s="18"/>
      <c r="DT483" s="18"/>
      <c r="DU483" s="18"/>
      <c r="DV483" s="18"/>
      <c r="DW483" s="18"/>
      <c r="DX483" s="18"/>
      <c r="DY483" s="18"/>
      <c r="DZ483" s="18"/>
    </row>
    <row r="484" spans="1:130" x14ac:dyDescent="0.3">
      <c r="A484" s="18"/>
      <c r="B484" s="18"/>
      <c r="C484" s="18"/>
      <c r="D484" s="18"/>
      <c r="E484" s="18"/>
      <c r="F484" s="18"/>
      <c r="G484" s="18"/>
      <c r="H484" s="18"/>
      <c r="I484" s="18"/>
      <c r="J484" s="18"/>
      <c r="K484" s="18"/>
      <c r="L484" s="18"/>
      <c r="M484" s="18"/>
      <c r="N484" s="17"/>
      <c r="O484" s="17"/>
      <c r="P484" s="17"/>
      <c r="Q484" s="17"/>
      <c r="R484" s="17"/>
      <c r="S484" s="17"/>
      <c r="T484" s="17"/>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7"/>
      <c r="BT484" s="17"/>
      <c r="BU484" s="17"/>
      <c r="BV484" s="17"/>
      <c r="BW484" s="17"/>
      <c r="BX484" s="18"/>
      <c r="BY484" s="18"/>
      <c r="BZ484" s="18"/>
      <c r="CA484" s="18"/>
      <c r="CB484" s="17"/>
      <c r="CC484" s="17"/>
      <c r="CD484" s="17"/>
      <c r="CE484" s="18"/>
      <c r="CF484" s="18"/>
      <c r="CG484" s="18"/>
      <c r="CH484" s="18"/>
      <c r="CI484" s="18"/>
      <c r="CJ484" s="18"/>
      <c r="CK484" s="18"/>
      <c r="CL484" s="18"/>
      <c r="CM484" s="18"/>
      <c r="CN484" s="18"/>
      <c r="CO484" s="18"/>
      <c r="CP484" s="18"/>
      <c r="CQ484" s="18"/>
      <c r="CR484" s="18"/>
      <c r="CS484" s="18"/>
      <c r="CT484" s="18"/>
      <c r="CU484" s="18"/>
      <c r="CV484" s="18"/>
      <c r="CW484" s="18"/>
      <c r="CX484" s="18"/>
      <c r="CY484" s="18"/>
      <c r="CZ484" s="18"/>
      <c r="DA484" s="18"/>
      <c r="DB484" s="18"/>
      <c r="DC484" s="18"/>
      <c r="DD484" s="18"/>
      <c r="DE484" s="18"/>
      <c r="DF484" s="18"/>
      <c r="DG484" s="18"/>
      <c r="DH484" s="18"/>
      <c r="DI484" s="18"/>
      <c r="DJ484" s="18"/>
      <c r="DK484" s="18"/>
      <c r="DL484" s="18"/>
      <c r="DM484" s="18"/>
      <c r="DN484" s="18"/>
      <c r="DO484" s="18"/>
      <c r="DP484" s="18"/>
      <c r="DQ484" s="18"/>
      <c r="DR484" s="18"/>
      <c r="DS484" s="18"/>
      <c r="DT484" s="18"/>
      <c r="DU484" s="18"/>
      <c r="DV484" s="18"/>
      <c r="DW484" s="18"/>
      <c r="DX484" s="18"/>
      <c r="DY484" s="18"/>
      <c r="DZ484" s="18"/>
    </row>
    <row r="485" spans="1:130" x14ac:dyDescent="0.3">
      <c r="A485" s="18"/>
      <c r="B485" s="18"/>
      <c r="C485" s="18"/>
      <c r="D485" s="18"/>
      <c r="E485" s="18"/>
      <c r="F485" s="18"/>
      <c r="G485" s="18"/>
      <c r="H485" s="18"/>
      <c r="I485" s="18"/>
      <c r="J485" s="18"/>
      <c r="K485" s="18"/>
      <c r="L485" s="18"/>
      <c r="M485" s="18"/>
      <c r="N485" s="17"/>
      <c r="O485" s="17"/>
      <c r="P485" s="17"/>
      <c r="Q485" s="17"/>
      <c r="R485" s="17"/>
      <c r="S485" s="17"/>
      <c r="T485" s="17"/>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7"/>
      <c r="BT485" s="17"/>
      <c r="BU485" s="17"/>
      <c r="BV485" s="17"/>
      <c r="BW485" s="17"/>
      <c r="BX485" s="18"/>
      <c r="BY485" s="18"/>
      <c r="BZ485" s="18"/>
      <c r="CA485" s="18"/>
      <c r="CB485" s="17"/>
      <c r="CC485" s="17"/>
      <c r="CD485" s="17"/>
      <c r="CE485" s="18"/>
      <c r="CF485" s="18"/>
      <c r="CG485" s="18"/>
      <c r="CH485" s="18"/>
      <c r="CI485" s="18"/>
      <c r="CJ485" s="18"/>
      <c r="CK485" s="18"/>
      <c r="CL485" s="18"/>
      <c r="CM485" s="18"/>
      <c r="CN485" s="18"/>
      <c r="CO485" s="18"/>
      <c r="CP485" s="18"/>
      <c r="CQ485" s="18"/>
      <c r="CR485" s="18"/>
      <c r="CS485" s="18"/>
      <c r="CT485" s="18"/>
      <c r="CU485" s="18"/>
      <c r="CV485" s="18"/>
      <c r="CW485" s="18"/>
      <c r="CX485" s="18"/>
      <c r="CY485" s="18"/>
      <c r="CZ485" s="18"/>
      <c r="DA485" s="18"/>
      <c r="DB485" s="18"/>
      <c r="DC485" s="18"/>
      <c r="DD485" s="18"/>
      <c r="DE485" s="18"/>
      <c r="DF485" s="18"/>
      <c r="DG485" s="18"/>
      <c r="DH485" s="18"/>
      <c r="DI485" s="18"/>
      <c r="DJ485" s="18"/>
      <c r="DK485" s="18"/>
      <c r="DL485" s="18"/>
      <c r="DM485" s="18"/>
      <c r="DN485" s="18"/>
      <c r="DO485" s="18"/>
      <c r="DP485" s="18"/>
      <c r="DQ485" s="18"/>
      <c r="DR485" s="18"/>
      <c r="DS485" s="18"/>
      <c r="DT485" s="18"/>
      <c r="DU485" s="18"/>
      <c r="DV485" s="18"/>
      <c r="DW485" s="18"/>
      <c r="DX485" s="18"/>
      <c r="DY485" s="18"/>
      <c r="DZ485" s="18"/>
    </row>
    <row r="486" spans="1:130" x14ac:dyDescent="0.3">
      <c r="A486" s="18"/>
      <c r="B486" s="18"/>
      <c r="C486" s="18"/>
      <c r="D486" s="18"/>
      <c r="E486" s="18"/>
      <c r="F486" s="18"/>
      <c r="G486" s="18"/>
      <c r="H486" s="18"/>
      <c r="I486" s="18"/>
      <c r="J486" s="18"/>
      <c r="K486" s="18"/>
      <c r="L486" s="18"/>
      <c r="M486" s="18"/>
      <c r="N486" s="17"/>
      <c r="O486" s="17"/>
      <c r="P486" s="17"/>
      <c r="Q486" s="17"/>
      <c r="R486" s="17"/>
      <c r="S486" s="17"/>
      <c r="T486" s="17"/>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7"/>
      <c r="BT486" s="17"/>
      <c r="BU486" s="17"/>
      <c r="BV486" s="17"/>
      <c r="BW486" s="17"/>
      <c r="BX486" s="18"/>
      <c r="BY486" s="18"/>
      <c r="BZ486" s="18"/>
      <c r="CA486" s="18"/>
      <c r="CB486" s="17"/>
      <c r="CC486" s="17"/>
      <c r="CD486" s="17"/>
      <c r="CE486" s="18"/>
      <c r="CF486" s="18"/>
      <c r="CG486" s="18"/>
      <c r="CH486" s="18"/>
      <c r="CI486" s="18"/>
      <c r="CJ486" s="18"/>
      <c r="CK486" s="18"/>
      <c r="CL486" s="18"/>
      <c r="CM486" s="18"/>
      <c r="CN486" s="18"/>
      <c r="CO486" s="18"/>
      <c r="CP486" s="18"/>
      <c r="CQ486" s="18"/>
      <c r="CR486" s="18"/>
      <c r="CS486" s="18"/>
      <c r="CT486" s="18"/>
      <c r="CU486" s="18"/>
      <c r="CV486" s="18"/>
      <c r="CW486" s="18"/>
      <c r="CX486" s="18"/>
      <c r="CY486" s="18"/>
      <c r="CZ486" s="18"/>
      <c r="DA486" s="18"/>
      <c r="DB486" s="18"/>
      <c r="DC486" s="18"/>
      <c r="DD486" s="18"/>
      <c r="DE486" s="18"/>
      <c r="DF486" s="18"/>
      <c r="DG486" s="18"/>
      <c r="DH486" s="18"/>
      <c r="DI486" s="18"/>
      <c r="DJ486" s="18"/>
      <c r="DK486" s="18"/>
      <c r="DL486" s="18"/>
      <c r="DM486" s="18"/>
      <c r="DN486" s="18"/>
      <c r="DO486" s="18"/>
      <c r="DP486" s="18"/>
      <c r="DQ486" s="18"/>
      <c r="DR486" s="18"/>
      <c r="DS486" s="18"/>
      <c r="DT486" s="18"/>
      <c r="DU486" s="18"/>
      <c r="DV486" s="18"/>
      <c r="DW486" s="18"/>
      <c r="DX486" s="18"/>
      <c r="DY486" s="18"/>
      <c r="DZ486" s="18"/>
    </row>
    <row r="487" spans="1:130" x14ac:dyDescent="0.3">
      <c r="A487" s="18"/>
      <c r="B487" s="18"/>
      <c r="C487" s="18"/>
      <c r="D487" s="18"/>
      <c r="E487" s="18"/>
      <c r="F487" s="18"/>
      <c r="G487" s="18"/>
      <c r="H487" s="18"/>
      <c r="I487" s="18"/>
      <c r="J487" s="18"/>
      <c r="K487" s="18"/>
      <c r="L487" s="18"/>
      <c r="M487" s="18"/>
      <c r="N487" s="17"/>
      <c r="O487" s="17"/>
      <c r="P487" s="17"/>
      <c r="Q487" s="17"/>
      <c r="R487" s="17"/>
      <c r="S487" s="17"/>
      <c r="T487" s="17"/>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7"/>
      <c r="BT487" s="17"/>
      <c r="BU487" s="17"/>
      <c r="BV487" s="17"/>
      <c r="BW487" s="17"/>
      <c r="BX487" s="18"/>
      <c r="BY487" s="18"/>
      <c r="BZ487" s="18"/>
      <c r="CA487" s="18"/>
      <c r="CB487" s="17"/>
      <c r="CC487" s="17"/>
      <c r="CD487" s="17"/>
      <c r="CE487" s="18"/>
      <c r="CF487" s="18"/>
      <c r="CG487" s="18"/>
      <c r="CH487" s="18"/>
      <c r="CI487" s="18"/>
      <c r="CJ487" s="18"/>
      <c r="CK487" s="18"/>
      <c r="CL487" s="18"/>
      <c r="CM487" s="18"/>
      <c r="CN487" s="18"/>
      <c r="CO487" s="18"/>
      <c r="CP487" s="18"/>
      <c r="CQ487" s="18"/>
      <c r="CR487" s="18"/>
      <c r="CS487" s="18"/>
      <c r="CT487" s="18"/>
      <c r="CU487" s="18"/>
      <c r="CV487" s="18"/>
      <c r="CW487" s="18"/>
      <c r="CX487" s="18"/>
      <c r="CY487" s="18"/>
      <c r="CZ487" s="18"/>
      <c r="DA487" s="18"/>
      <c r="DB487" s="18"/>
      <c r="DC487" s="18"/>
      <c r="DD487" s="18"/>
      <c r="DE487" s="18"/>
      <c r="DF487" s="18"/>
      <c r="DG487" s="18"/>
      <c r="DH487" s="18"/>
      <c r="DI487" s="18"/>
      <c r="DJ487" s="18"/>
      <c r="DK487" s="18"/>
      <c r="DL487" s="18"/>
      <c r="DM487" s="18"/>
      <c r="DN487" s="18"/>
      <c r="DO487" s="18"/>
      <c r="DP487" s="18"/>
      <c r="DQ487" s="18"/>
      <c r="DR487" s="18"/>
      <c r="DS487" s="18"/>
      <c r="DT487" s="18"/>
      <c r="DU487" s="18"/>
      <c r="DV487" s="18"/>
      <c r="DW487" s="18"/>
      <c r="DX487" s="18"/>
      <c r="DY487" s="18"/>
      <c r="DZ487" s="18"/>
    </row>
    <row r="488" spans="1:130" x14ac:dyDescent="0.3">
      <c r="A488" s="18"/>
      <c r="B488" s="18"/>
      <c r="C488" s="18"/>
      <c r="D488" s="18"/>
      <c r="E488" s="18"/>
      <c r="F488" s="18"/>
      <c r="G488" s="18"/>
      <c r="H488" s="18"/>
      <c r="I488" s="18"/>
      <c r="J488" s="18"/>
      <c r="K488" s="18"/>
      <c r="L488" s="18"/>
      <c r="M488" s="18"/>
      <c r="N488" s="17"/>
      <c r="O488" s="17"/>
      <c r="P488" s="17"/>
      <c r="Q488" s="17"/>
      <c r="R488" s="17"/>
      <c r="S488" s="17"/>
      <c r="T488" s="17"/>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7"/>
      <c r="BT488" s="17"/>
      <c r="BU488" s="17"/>
      <c r="BV488" s="17"/>
      <c r="BW488" s="17"/>
      <c r="BX488" s="18"/>
      <c r="BY488" s="18"/>
      <c r="BZ488" s="18"/>
      <c r="CA488" s="18"/>
      <c r="CB488" s="17"/>
      <c r="CC488" s="17"/>
      <c r="CD488" s="17"/>
      <c r="CE488" s="18"/>
      <c r="CF488" s="18"/>
      <c r="CG488" s="18"/>
      <c r="CH488" s="18"/>
      <c r="CI488" s="18"/>
      <c r="CJ488" s="18"/>
      <c r="CK488" s="18"/>
      <c r="CL488" s="18"/>
      <c r="CM488" s="18"/>
      <c r="CN488" s="18"/>
      <c r="CO488" s="18"/>
      <c r="CP488" s="18"/>
      <c r="CQ488" s="18"/>
      <c r="CR488" s="18"/>
      <c r="CS488" s="18"/>
      <c r="CT488" s="18"/>
      <c r="CU488" s="18"/>
      <c r="CV488" s="18"/>
      <c r="CW488" s="18"/>
      <c r="CX488" s="18"/>
      <c r="CY488" s="18"/>
      <c r="CZ488" s="18"/>
      <c r="DA488" s="18"/>
      <c r="DB488" s="18"/>
      <c r="DC488" s="18"/>
      <c r="DD488" s="18"/>
      <c r="DE488" s="18"/>
      <c r="DF488" s="18"/>
      <c r="DG488" s="18"/>
      <c r="DH488" s="18"/>
      <c r="DI488" s="18"/>
      <c r="DJ488" s="18"/>
      <c r="DK488" s="18"/>
      <c r="DL488" s="18"/>
      <c r="DM488" s="18"/>
      <c r="DN488" s="18"/>
      <c r="DO488" s="18"/>
      <c r="DP488" s="18"/>
      <c r="DQ488" s="18"/>
      <c r="DR488" s="18"/>
      <c r="DS488" s="18"/>
      <c r="DT488" s="18"/>
      <c r="DU488" s="18"/>
      <c r="DV488" s="18"/>
      <c r="DW488" s="18"/>
      <c r="DX488" s="18"/>
      <c r="DY488" s="18"/>
      <c r="DZ488" s="18"/>
    </row>
    <row r="489" spans="1:130" x14ac:dyDescent="0.3">
      <c r="A489" s="18"/>
      <c r="B489" s="18"/>
      <c r="C489" s="18"/>
      <c r="D489" s="18"/>
      <c r="E489" s="18"/>
      <c r="F489" s="18"/>
      <c r="G489" s="18"/>
      <c r="H489" s="18"/>
      <c r="I489" s="18"/>
      <c r="J489" s="18"/>
      <c r="K489" s="18"/>
      <c r="L489" s="18"/>
      <c r="M489" s="18"/>
      <c r="N489" s="17"/>
      <c r="O489" s="17"/>
      <c r="P489" s="17"/>
      <c r="Q489" s="17"/>
      <c r="R489" s="17"/>
      <c r="S489" s="17"/>
      <c r="T489" s="17"/>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7"/>
      <c r="BT489" s="17"/>
      <c r="BU489" s="17"/>
      <c r="BV489" s="17"/>
      <c r="BW489" s="17"/>
      <c r="BX489" s="18"/>
      <c r="BY489" s="18"/>
      <c r="BZ489" s="18"/>
      <c r="CA489" s="18"/>
      <c r="CB489" s="17"/>
      <c r="CC489" s="17"/>
      <c r="CD489" s="17"/>
      <c r="CE489" s="18"/>
      <c r="CF489" s="18"/>
      <c r="CG489" s="18"/>
      <c r="CH489" s="18"/>
      <c r="CI489" s="18"/>
      <c r="CJ489" s="18"/>
      <c r="CK489" s="18"/>
      <c r="CL489" s="18"/>
      <c r="CM489" s="18"/>
      <c r="CN489" s="18"/>
      <c r="CO489" s="18"/>
      <c r="CP489" s="18"/>
      <c r="CQ489" s="18"/>
      <c r="CR489" s="18"/>
      <c r="CS489" s="18"/>
      <c r="CT489" s="18"/>
      <c r="CU489" s="18"/>
      <c r="CV489" s="18"/>
      <c r="CW489" s="18"/>
      <c r="CX489" s="18"/>
      <c r="CY489" s="18"/>
      <c r="CZ489" s="18"/>
      <c r="DA489" s="18"/>
      <c r="DB489" s="18"/>
      <c r="DC489" s="18"/>
      <c r="DD489" s="18"/>
      <c r="DE489" s="18"/>
      <c r="DF489" s="18"/>
      <c r="DG489" s="18"/>
      <c r="DH489" s="18"/>
      <c r="DI489" s="18"/>
      <c r="DJ489" s="18"/>
      <c r="DK489" s="18"/>
      <c r="DL489" s="18"/>
      <c r="DM489" s="18"/>
      <c r="DN489" s="18"/>
      <c r="DO489" s="18"/>
      <c r="DP489" s="18"/>
      <c r="DQ489" s="18"/>
      <c r="DR489" s="18"/>
      <c r="DS489" s="18"/>
      <c r="DT489" s="18"/>
      <c r="DU489" s="18"/>
      <c r="DV489" s="18"/>
      <c r="DW489" s="18"/>
      <c r="DX489" s="18"/>
      <c r="DY489" s="18"/>
      <c r="DZ489" s="18"/>
    </row>
    <row r="490" spans="1:130" x14ac:dyDescent="0.3">
      <c r="A490" s="18"/>
      <c r="B490" s="18"/>
      <c r="C490" s="18"/>
      <c r="D490" s="18"/>
      <c r="E490" s="18"/>
      <c r="F490" s="18"/>
      <c r="G490" s="18"/>
      <c r="H490" s="18"/>
      <c r="I490" s="18"/>
      <c r="J490" s="18"/>
      <c r="K490" s="18"/>
      <c r="L490" s="18"/>
      <c r="M490" s="18"/>
      <c r="N490" s="17"/>
      <c r="O490" s="17"/>
      <c r="P490" s="17"/>
      <c r="Q490" s="17"/>
      <c r="R490" s="17"/>
      <c r="S490" s="17"/>
      <c r="T490" s="17"/>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7"/>
      <c r="BT490" s="17"/>
      <c r="BU490" s="17"/>
      <c r="BV490" s="17"/>
      <c r="BW490" s="17"/>
      <c r="BX490" s="18"/>
      <c r="BY490" s="18"/>
      <c r="BZ490" s="18"/>
      <c r="CA490" s="18"/>
      <c r="CB490" s="17"/>
      <c r="CC490" s="17"/>
      <c r="CD490" s="17"/>
      <c r="CE490" s="18"/>
      <c r="CF490" s="18"/>
      <c r="CG490" s="18"/>
      <c r="CH490" s="18"/>
      <c r="CI490" s="18"/>
      <c r="CJ490" s="18"/>
      <c r="CK490" s="18"/>
      <c r="CL490" s="18"/>
      <c r="CM490" s="18"/>
      <c r="CN490" s="18"/>
      <c r="CO490" s="18"/>
      <c r="CP490" s="18"/>
      <c r="CQ490" s="18"/>
      <c r="CR490" s="18"/>
      <c r="CS490" s="18"/>
      <c r="CT490" s="18"/>
      <c r="CU490" s="18"/>
      <c r="CV490" s="18"/>
      <c r="CW490" s="18"/>
      <c r="CX490" s="18"/>
      <c r="CY490" s="18"/>
      <c r="CZ490" s="18"/>
      <c r="DA490" s="18"/>
      <c r="DB490" s="18"/>
      <c r="DC490" s="18"/>
      <c r="DD490" s="18"/>
      <c r="DE490" s="18"/>
      <c r="DF490" s="18"/>
      <c r="DG490" s="18"/>
      <c r="DH490" s="18"/>
      <c r="DI490" s="18"/>
      <c r="DJ490" s="18"/>
      <c r="DK490" s="18"/>
      <c r="DL490" s="18"/>
      <c r="DM490" s="18"/>
      <c r="DN490" s="18"/>
      <c r="DO490" s="18"/>
      <c r="DP490" s="18"/>
      <c r="DQ490" s="18"/>
      <c r="DR490" s="18"/>
      <c r="DS490" s="18"/>
      <c r="DT490" s="18"/>
      <c r="DU490" s="18"/>
      <c r="DV490" s="18"/>
      <c r="DW490" s="18"/>
      <c r="DX490" s="18"/>
      <c r="DY490" s="18"/>
      <c r="DZ490" s="18"/>
    </row>
    <row r="491" spans="1:130" x14ac:dyDescent="0.3">
      <c r="A491" s="18"/>
      <c r="B491" s="18"/>
      <c r="C491" s="18"/>
      <c r="D491" s="18"/>
      <c r="E491" s="18"/>
      <c r="F491" s="18"/>
      <c r="G491" s="18"/>
      <c r="H491" s="18"/>
      <c r="I491" s="18"/>
      <c r="J491" s="18"/>
      <c r="K491" s="18"/>
      <c r="L491" s="18"/>
      <c r="M491" s="18"/>
      <c r="N491" s="17"/>
      <c r="O491" s="17"/>
      <c r="P491" s="17"/>
      <c r="Q491" s="17"/>
      <c r="R491" s="17"/>
      <c r="S491" s="17"/>
      <c r="T491" s="17"/>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7"/>
      <c r="BT491" s="17"/>
      <c r="BU491" s="17"/>
      <c r="BV491" s="17"/>
      <c r="BW491" s="17"/>
      <c r="BX491" s="18"/>
      <c r="BY491" s="18"/>
      <c r="BZ491" s="18"/>
      <c r="CA491" s="18"/>
      <c r="CB491" s="17"/>
      <c r="CC491" s="17"/>
      <c r="CD491" s="17"/>
      <c r="CE491" s="18"/>
      <c r="CF491" s="18"/>
      <c r="CG491" s="18"/>
      <c r="CH491" s="18"/>
      <c r="CI491" s="18"/>
      <c r="CJ491" s="18"/>
      <c r="CK491" s="18"/>
      <c r="CL491" s="18"/>
      <c r="CM491" s="18"/>
      <c r="CN491" s="18"/>
      <c r="CO491" s="18"/>
      <c r="CP491" s="18"/>
      <c r="CQ491" s="18"/>
      <c r="CR491" s="18"/>
      <c r="CS491" s="18"/>
      <c r="CT491" s="18"/>
      <c r="CU491" s="18"/>
      <c r="CV491" s="18"/>
      <c r="CW491" s="18"/>
      <c r="CX491" s="18"/>
      <c r="CY491" s="18"/>
      <c r="CZ491" s="18"/>
      <c r="DA491" s="18"/>
      <c r="DB491" s="18"/>
      <c r="DC491" s="18"/>
      <c r="DD491" s="18"/>
      <c r="DE491" s="18"/>
      <c r="DF491" s="18"/>
      <c r="DG491" s="18"/>
      <c r="DH491" s="18"/>
      <c r="DI491" s="18"/>
      <c r="DJ491" s="18"/>
      <c r="DK491" s="18"/>
      <c r="DL491" s="18"/>
      <c r="DM491" s="18"/>
      <c r="DN491" s="18"/>
      <c r="DO491" s="18"/>
      <c r="DP491" s="18"/>
      <c r="DQ491" s="18"/>
      <c r="DR491" s="18"/>
      <c r="DS491" s="18"/>
      <c r="DT491" s="18"/>
      <c r="DU491" s="18"/>
      <c r="DV491" s="18"/>
      <c r="DW491" s="18"/>
      <c r="DX491" s="18"/>
      <c r="DY491" s="18"/>
      <c r="DZ491" s="18"/>
    </row>
    <row r="492" spans="1:130" x14ac:dyDescent="0.3">
      <c r="A492" s="18"/>
      <c r="B492" s="18"/>
      <c r="C492" s="18"/>
      <c r="D492" s="18"/>
      <c r="E492" s="18"/>
      <c r="F492" s="18"/>
      <c r="G492" s="18"/>
      <c r="H492" s="18"/>
      <c r="I492" s="18"/>
      <c r="J492" s="18"/>
      <c r="K492" s="18"/>
      <c r="L492" s="18"/>
      <c r="M492" s="18"/>
      <c r="N492" s="17"/>
      <c r="O492" s="17"/>
      <c r="P492" s="17"/>
      <c r="Q492" s="17"/>
      <c r="R492" s="17"/>
      <c r="S492" s="17"/>
      <c r="T492" s="17"/>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7"/>
      <c r="BT492" s="17"/>
      <c r="BU492" s="17"/>
      <c r="BV492" s="17"/>
      <c r="BW492" s="17"/>
      <c r="BX492" s="18"/>
      <c r="BY492" s="18"/>
      <c r="BZ492" s="18"/>
      <c r="CA492" s="18"/>
      <c r="CB492" s="17"/>
      <c r="CC492" s="17"/>
      <c r="CD492" s="17"/>
      <c r="CE492" s="18"/>
      <c r="CF492" s="18"/>
      <c r="CG492" s="18"/>
      <c r="CH492" s="18"/>
      <c r="CI492" s="18"/>
      <c r="CJ492" s="18"/>
      <c r="CK492" s="18"/>
      <c r="CL492" s="18"/>
      <c r="CM492" s="18"/>
      <c r="CN492" s="18"/>
      <c r="CO492" s="18"/>
      <c r="CP492" s="18"/>
      <c r="CQ492" s="18"/>
      <c r="CR492" s="18"/>
      <c r="CS492" s="18"/>
      <c r="CT492" s="18"/>
      <c r="CU492" s="18"/>
      <c r="CV492" s="18"/>
      <c r="CW492" s="18"/>
      <c r="CX492" s="18"/>
      <c r="CY492" s="18"/>
      <c r="CZ492" s="18"/>
      <c r="DA492" s="18"/>
      <c r="DB492" s="18"/>
      <c r="DC492" s="18"/>
      <c r="DD492" s="18"/>
      <c r="DE492" s="18"/>
      <c r="DF492" s="18"/>
      <c r="DG492" s="18"/>
      <c r="DH492" s="18"/>
      <c r="DI492" s="18"/>
      <c r="DJ492" s="18"/>
      <c r="DK492" s="18"/>
      <c r="DL492" s="18"/>
      <c r="DM492" s="18"/>
      <c r="DN492" s="18"/>
      <c r="DO492" s="18"/>
      <c r="DP492" s="18"/>
      <c r="DQ492" s="18"/>
      <c r="DR492" s="18"/>
      <c r="DS492" s="18"/>
      <c r="DT492" s="18"/>
      <c r="DU492" s="18"/>
      <c r="DV492" s="18"/>
      <c r="DW492" s="18"/>
      <c r="DX492" s="18"/>
      <c r="DY492" s="18"/>
      <c r="DZ492" s="18"/>
    </row>
    <row r="493" spans="1:130" x14ac:dyDescent="0.3">
      <c r="A493" s="18"/>
      <c r="B493" s="18"/>
      <c r="C493" s="18"/>
      <c r="D493" s="18"/>
      <c r="E493" s="18"/>
      <c r="F493" s="18"/>
      <c r="G493" s="18"/>
      <c r="H493" s="18"/>
      <c r="I493" s="18"/>
      <c r="J493" s="18"/>
      <c r="K493" s="18"/>
      <c r="L493" s="18"/>
      <c r="M493" s="18"/>
      <c r="N493" s="17"/>
      <c r="O493" s="17"/>
      <c r="P493" s="17"/>
      <c r="Q493" s="17"/>
      <c r="R493" s="17"/>
      <c r="S493" s="17"/>
      <c r="T493" s="17"/>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7"/>
      <c r="BT493" s="17"/>
      <c r="BU493" s="17"/>
      <c r="BV493" s="17"/>
      <c r="BW493" s="17"/>
      <c r="BX493" s="18"/>
      <c r="BY493" s="18"/>
      <c r="BZ493" s="18"/>
      <c r="CA493" s="18"/>
      <c r="CB493" s="17"/>
      <c r="CC493" s="17"/>
      <c r="CD493" s="17"/>
      <c r="CE493" s="18"/>
      <c r="CF493" s="18"/>
      <c r="CG493" s="18"/>
      <c r="CH493" s="18"/>
      <c r="CI493" s="18"/>
      <c r="CJ493" s="18"/>
      <c r="CK493" s="18"/>
      <c r="CL493" s="18"/>
      <c r="CM493" s="18"/>
      <c r="CN493" s="18"/>
      <c r="CO493" s="18"/>
      <c r="CP493" s="18"/>
      <c r="CQ493" s="18"/>
      <c r="CR493" s="18"/>
      <c r="CS493" s="18"/>
      <c r="CT493" s="18"/>
      <c r="CU493" s="18"/>
      <c r="CV493" s="18"/>
      <c r="CW493" s="18"/>
      <c r="CX493" s="18"/>
      <c r="CY493" s="18"/>
      <c r="CZ493" s="18"/>
      <c r="DA493" s="18"/>
      <c r="DB493" s="18"/>
      <c r="DC493" s="18"/>
      <c r="DD493" s="18"/>
      <c r="DE493" s="18"/>
      <c r="DF493" s="18"/>
      <c r="DG493" s="18"/>
      <c r="DH493" s="18"/>
      <c r="DI493" s="18"/>
      <c r="DJ493" s="18"/>
      <c r="DK493" s="18"/>
      <c r="DL493" s="18"/>
      <c r="DM493" s="18"/>
      <c r="DN493" s="18"/>
      <c r="DO493" s="18"/>
      <c r="DP493" s="18"/>
      <c r="DQ493" s="18"/>
      <c r="DR493" s="18"/>
      <c r="DS493" s="18"/>
      <c r="DT493" s="18"/>
      <c r="DU493" s="18"/>
      <c r="DV493" s="18"/>
      <c r="DW493" s="18"/>
      <c r="DX493" s="18"/>
      <c r="DY493" s="18"/>
      <c r="DZ493" s="18"/>
    </row>
    <row r="494" spans="1:130" x14ac:dyDescent="0.3">
      <c r="A494" s="18"/>
      <c r="B494" s="18"/>
      <c r="C494" s="18"/>
      <c r="D494" s="18"/>
      <c r="E494" s="18"/>
      <c r="F494" s="18"/>
      <c r="G494" s="18"/>
      <c r="H494" s="18"/>
      <c r="I494" s="18"/>
      <c r="J494" s="18"/>
      <c r="K494" s="18"/>
      <c r="L494" s="18"/>
      <c r="M494" s="18"/>
      <c r="N494" s="17"/>
      <c r="O494" s="17"/>
      <c r="P494" s="17"/>
      <c r="Q494" s="17"/>
      <c r="R494" s="17"/>
      <c r="S494" s="17"/>
      <c r="T494" s="17"/>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7"/>
      <c r="BT494" s="17"/>
      <c r="BU494" s="17"/>
      <c r="BV494" s="17"/>
      <c r="BW494" s="17"/>
      <c r="BX494" s="18"/>
      <c r="BY494" s="18"/>
      <c r="BZ494" s="18"/>
      <c r="CA494" s="18"/>
      <c r="CB494" s="17"/>
      <c r="CC494" s="17"/>
      <c r="CD494" s="17"/>
      <c r="CE494" s="18"/>
      <c r="CF494" s="18"/>
      <c r="CG494" s="18"/>
      <c r="CH494" s="18"/>
      <c r="CI494" s="18"/>
      <c r="CJ494" s="18"/>
      <c r="CK494" s="18"/>
      <c r="CL494" s="18"/>
      <c r="CM494" s="18"/>
      <c r="CN494" s="18"/>
      <c r="CO494" s="18"/>
      <c r="CP494" s="18"/>
      <c r="CQ494" s="18"/>
      <c r="CR494" s="18"/>
      <c r="CS494" s="18"/>
      <c r="CT494" s="18"/>
      <c r="CU494" s="18"/>
      <c r="CV494" s="18"/>
      <c r="CW494" s="18"/>
      <c r="CX494" s="18"/>
      <c r="CY494" s="18"/>
      <c r="CZ494" s="18"/>
      <c r="DA494" s="18"/>
      <c r="DB494" s="18"/>
      <c r="DC494" s="18"/>
      <c r="DD494" s="18"/>
      <c r="DE494" s="18"/>
      <c r="DF494" s="18"/>
      <c r="DG494" s="18"/>
      <c r="DH494" s="18"/>
      <c r="DI494" s="18"/>
      <c r="DJ494" s="18"/>
      <c r="DK494" s="18"/>
      <c r="DL494" s="18"/>
      <c r="DM494" s="18"/>
      <c r="DN494" s="18"/>
      <c r="DO494" s="18"/>
      <c r="DP494" s="18"/>
      <c r="DQ494" s="18"/>
      <c r="DR494" s="18"/>
      <c r="DS494" s="18"/>
      <c r="DT494" s="18"/>
      <c r="DU494" s="18"/>
      <c r="DV494" s="18"/>
      <c r="DW494" s="18"/>
      <c r="DX494" s="18"/>
      <c r="DY494" s="18"/>
      <c r="DZ494" s="18"/>
    </row>
    <row r="495" spans="1:130" x14ac:dyDescent="0.3">
      <c r="A495" s="18"/>
      <c r="B495" s="18"/>
      <c r="C495" s="18"/>
      <c r="D495" s="18"/>
      <c r="E495" s="18"/>
      <c r="F495" s="18"/>
      <c r="G495" s="18"/>
      <c r="H495" s="18"/>
      <c r="I495" s="18"/>
      <c r="J495" s="18"/>
      <c r="K495" s="18"/>
      <c r="L495" s="18"/>
      <c r="M495" s="18"/>
      <c r="N495" s="17"/>
      <c r="O495" s="17"/>
      <c r="P495" s="17"/>
      <c r="Q495" s="17"/>
      <c r="R495" s="17"/>
      <c r="S495" s="17"/>
      <c r="T495" s="17"/>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7"/>
      <c r="BT495" s="17"/>
      <c r="BU495" s="17"/>
      <c r="BV495" s="17"/>
      <c r="BW495" s="17"/>
      <c r="BX495" s="18"/>
      <c r="BY495" s="18"/>
      <c r="BZ495" s="18"/>
      <c r="CA495" s="18"/>
      <c r="CB495" s="17"/>
      <c r="CC495" s="17"/>
      <c r="CD495" s="17"/>
      <c r="CE495" s="18"/>
      <c r="CF495" s="18"/>
      <c r="CG495" s="18"/>
      <c r="CH495" s="18"/>
      <c r="CI495" s="18"/>
      <c r="CJ495" s="18"/>
      <c r="CK495" s="18"/>
      <c r="CL495" s="18"/>
      <c r="CM495" s="18"/>
      <c r="CN495" s="18"/>
      <c r="CO495" s="18"/>
      <c r="CP495" s="18"/>
      <c r="CQ495" s="18"/>
      <c r="CR495" s="18"/>
      <c r="CS495" s="18"/>
      <c r="CT495" s="18"/>
      <c r="CU495" s="18"/>
      <c r="CV495" s="18"/>
      <c r="CW495" s="18"/>
      <c r="CX495" s="18"/>
      <c r="CY495" s="18"/>
      <c r="CZ495" s="18"/>
      <c r="DA495" s="18"/>
      <c r="DB495" s="18"/>
      <c r="DC495" s="18"/>
      <c r="DD495" s="18"/>
      <c r="DE495" s="18"/>
      <c r="DF495" s="18"/>
      <c r="DG495" s="18"/>
      <c r="DH495" s="18"/>
      <c r="DI495" s="18"/>
      <c r="DJ495" s="18"/>
      <c r="DK495" s="18"/>
      <c r="DL495" s="18"/>
      <c r="DM495" s="18"/>
      <c r="DN495" s="18"/>
      <c r="DO495" s="18"/>
      <c r="DP495" s="18"/>
      <c r="DQ495" s="18"/>
      <c r="DR495" s="18"/>
      <c r="DS495" s="18"/>
      <c r="DT495" s="18"/>
      <c r="DU495" s="18"/>
      <c r="DV495" s="18"/>
      <c r="DW495" s="18"/>
      <c r="DX495" s="18"/>
      <c r="DY495" s="18"/>
      <c r="DZ495" s="18"/>
    </row>
    <row r="496" spans="1:130" x14ac:dyDescent="0.3">
      <c r="A496" s="18"/>
      <c r="B496" s="18"/>
      <c r="C496" s="18"/>
      <c r="D496" s="18"/>
      <c r="E496" s="18"/>
      <c r="F496" s="18"/>
      <c r="G496" s="18"/>
      <c r="H496" s="18"/>
      <c r="I496" s="18"/>
      <c r="J496" s="18"/>
      <c r="K496" s="18"/>
      <c r="L496" s="18"/>
      <c r="M496" s="18"/>
      <c r="N496" s="17"/>
      <c r="O496" s="17"/>
      <c r="P496" s="17"/>
      <c r="Q496" s="17"/>
      <c r="R496" s="17"/>
      <c r="S496" s="17"/>
      <c r="T496" s="17"/>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7"/>
      <c r="BT496" s="17"/>
      <c r="BU496" s="17"/>
      <c r="BV496" s="17"/>
      <c r="BW496" s="17"/>
      <c r="BX496" s="18"/>
      <c r="BY496" s="18"/>
      <c r="BZ496" s="18"/>
      <c r="CA496" s="18"/>
      <c r="CB496" s="17"/>
      <c r="CC496" s="17"/>
      <c r="CD496" s="17"/>
      <c r="CE496" s="18"/>
      <c r="CF496" s="18"/>
      <c r="CG496" s="18"/>
      <c r="CH496" s="18"/>
      <c r="CI496" s="18"/>
      <c r="CJ496" s="18"/>
      <c r="CK496" s="18"/>
      <c r="CL496" s="18"/>
      <c r="CM496" s="18"/>
      <c r="CN496" s="18"/>
      <c r="CO496" s="18"/>
      <c r="CP496" s="18"/>
      <c r="CQ496" s="18"/>
      <c r="CR496" s="18"/>
      <c r="CS496" s="18"/>
      <c r="CT496" s="18"/>
      <c r="CU496" s="18"/>
      <c r="CV496" s="18"/>
      <c r="CW496" s="18"/>
      <c r="CX496" s="18"/>
      <c r="CY496" s="18"/>
      <c r="CZ496" s="18"/>
      <c r="DA496" s="18"/>
      <c r="DB496" s="18"/>
      <c r="DC496" s="18"/>
      <c r="DD496" s="18"/>
      <c r="DE496" s="18"/>
      <c r="DF496" s="18"/>
      <c r="DG496" s="18"/>
      <c r="DH496" s="18"/>
      <c r="DI496" s="18"/>
      <c r="DJ496" s="18"/>
      <c r="DK496" s="18"/>
      <c r="DL496" s="18"/>
      <c r="DM496" s="18"/>
      <c r="DN496" s="18"/>
      <c r="DO496" s="18"/>
      <c r="DP496" s="18"/>
      <c r="DQ496" s="18"/>
      <c r="DR496" s="18"/>
      <c r="DS496" s="18"/>
      <c r="DT496" s="18"/>
      <c r="DU496" s="18"/>
      <c r="DV496" s="18"/>
      <c r="DW496" s="18"/>
      <c r="DX496" s="18"/>
      <c r="DY496" s="18"/>
      <c r="DZ496" s="18"/>
    </row>
    <row r="497" spans="1:130" x14ac:dyDescent="0.3">
      <c r="A497" s="18"/>
      <c r="B497" s="18"/>
      <c r="C497" s="18"/>
      <c r="D497" s="18"/>
      <c r="E497" s="18"/>
      <c r="F497" s="18"/>
      <c r="G497" s="18"/>
      <c r="H497" s="18"/>
      <c r="I497" s="18"/>
      <c r="J497" s="18"/>
      <c r="K497" s="18"/>
      <c r="L497" s="18"/>
      <c r="M497" s="18"/>
      <c r="N497" s="17"/>
      <c r="O497" s="17"/>
      <c r="P497" s="17"/>
      <c r="Q497" s="17"/>
      <c r="R497" s="17"/>
      <c r="S497" s="17"/>
      <c r="T497" s="17"/>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7"/>
      <c r="BT497" s="17"/>
      <c r="BU497" s="17"/>
      <c r="BV497" s="17"/>
      <c r="BW497" s="17"/>
      <c r="BX497" s="18"/>
      <c r="BY497" s="18"/>
      <c r="BZ497" s="18"/>
      <c r="CA497" s="18"/>
      <c r="CB497" s="17"/>
      <c r="CC497" s="17"/>
      <c r="CD497" s="17"/>
      <c r="CE497" s="18"/>
      <c r="CF497" s="18"/>
      <c r="CG497" s="18"/>
      <c r="CH497" s="18"/>
      <c r="CI497" s="18"/>
      <c r="CJ497" s="18"/>
      <c r="CK497" s="18"/>
      <c r="CL497" s="18"/>
      <c r="CM497" s="18"/>
      <c r="CN497" s="18"/>
      <c r="CO497" s="18"/>
      <c r="CP497" s="18"/>
      <c r="CQ497" s="18"/>
      <c r="CR497" s="18"/>
      <c r="CS497" s="18"/>
      <c r="CT497" s="18"/>
      <c r="CU497" s="18"/>
      <c r="CV497" s="18"/>
      <c r="CW497" s="18"/>
      <c r="CX497" s="18"/>
      <c r="CY497" s="18"/>
      <c r="CZ497" s="18"/>
      <c r="DA497" s="18"/>
      <c r="DB497" s="18"/>
      <c r="DC497" s="18"/>
      <c r="DD497" s="18"/>
      <c r="DE497" s="18"/>
      <c r="DF497" s="18"/>
      <c r="DG497" s="18"/>
      <c r="DH497" s="18"/>
      <c r="DI497" s="18"/>
      <c r="DJ497" s="18"/>
      <c r="DK497" s="18"/>
      <c r="DL497" s="18"/>
      <c r="DM497" s="18"/>
      <c r="DN497" s="18"/>
      <c r="DO497" s="18"/>
      <c r="DP497" s="18"/>
      <c r="DQ497" s="18"/>
      <c r="DR497" s="18"/>
      <c r="DS497" s="18"/>
      <c r="DT497" s="18"/>
      <c r="DU497" s="18"/>
      <c r="DV497" s="18"/>
      <c r="DW497" s="18"/>
      <c r="DX497" s="18"/>
      <c r="DY497" s="18"/>
      <c r="DZ497" s="18"/>
    </row>
    <row r="498" spans="1:130" x14ac:dyDescent="0.3">
      <c r="A498" s="18"/>
      <c r="B498" s="18"/>
      <c r="C498" s="18"/>
      <c r="D498" s="18"/>
      <c r="E498" s="18"/>
      <c r="F498" s="18"/>
      <c r="G498" s="18"/>
      <c r="H498" s="18"/>
      <c r="I498" s="18"/>
      <c r="J498" s="18"/>
      <c r="K498" s="18"/>
      <c r="L498" s="18"/>
      <c r="M498" s="18"/>
      <c r="N498" s="17"/>
      <c r="O498" s="17"/>
      <c r="P498" s="17"/>
      <c r="Q498" s="17"/>
      <c r="R498" s="17"/>
      <c r="S498" s="17"/>
      <c r="T498" s="17"/>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7"/>
      <c r="BT498" s="17"/>
      <c r="BU498" s="17"/>
      <c r="BV498" s="17"/>
      <c r="BW498" s="17"/>
      <c r="BX498" s="18"/>
      <c r="BY498" s="18"/>
      <c r="BZ498" s="18"/>
      <c r="CA498" s="18"/>
      <c r="CB498" s="17"/>
      <c r="CC498" s="17"/>
      <c r="CD498" s="17"/>
      <c r="CE498" s="18"/>
      <c r="CF498" s="18"/>
      <c r="CG498" s="18"/>
      <c r="CH498" s="18"/>
      <c r="CI498" s="18"/>
      <c r="CJ498" s="18"/>
      <c r="CK498" s="18"/>
      <c r="CL498" s="18"/>
      <c r="CM498" s="18"/>
      <c r="CN498" s="18"/>
      <c r="CO498" s="18"/>
      <c r="CP498" s="18"/>
      <c r="CQ498" s="18"/>
      <c r="CR498" s="18"/>
      <c r="CS498" s="18"/>
      <c r="CT498" s="18"/>
      <c r="CU498" s="18"/>
      <c r="CV498" s="18"/>
      <c r="CW498" s="18"/>
      <c r="CX498" s="18"/>
      <c r="CY498" s="18"/>
      <c r="CZ498" s="18"/>
      <c r="DA498" s="18"/>
      <c r="DB498" s="18"/>
      <c r="DC498" s="18"/>
      <c r="DD498" s="18"/>
      <c r="DE498" s="18"/>
      <c r="DF498" s="18"/>
      <c r="DG498" s="18"/>
      <c r="DH498" s="18"/>
      <c r="DI498" s="18"/>
      <c r="DJ498" s="18"/>
      <c r="DK498" s="18"/>
      <c r="DL498" s="18"/>
      <c r="DM498" s="18"/>
      <c r="DN498" s="18"/>
      <c r="DO498" s="18"/>
      <c r="DP498" s="18"/>
      <c r="DQ498" s="18"/>
      <c r="DR498" s="18"/>
      <c r="DS498" s="18"/>
      <c r="DT498" s="18"/>
      <c r="DU498" s="18"/>
      <c r="DV498" s="18"/>
      <c r="DW498" s="18"/>
      <c r="DX498" s="18"/>
      <c r="DY498" s="18"/>
      <c r="DZ498" s="18"/>
    </row>
    <row r="499" spans="1:130" x14ac:dyDescent="0.3">
      <c r="A499" s="18"/>
      <c r="B499" s="18"/>
      <c r="C499" s="18"/>
      <c r="D499" s="18"/>
      <c r="E499" s="18"/>
      <c r="F499" s="18"/>
      <c r="G499" s="18"/>
      <c r="H499" s="18"/>
      <c r="I499" s="18"/>
      <c r="J499" s="18"/>
      <c r="K499" s="18"/>
      <c r="L499" s="18"/>
      <c r="M499" s="18"/>
      <c r="N499" s="17"/>
      <c r="O499" s="17"/>
      <c r="P499" s="17"/>
      <c r="Q499" s="17"/>
      <c r="R499" s="17"/>
      <c r="S499" s="17"/>
      <c r="T499" s="17"/>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7"/>
      <c r="BT499" s="17"/>
      <c r="BU499" s="17"/>
      <c r="BV499" s="17"/>
      <c r="BW499" s="17"/>
      <c r="BX499" s="18"/>
      <c r="BY499" s="18"/>
      <c r="BZ499" s="18"/>
      <c r="CA499" s="18"/>
      <c r="CB499" s="17"/>
      <c r="CC499" s="17"/>
      <c r="CD499" s="17"/>
      <c r="CE499" s="18"/>
      <c r="CF499" s="18"/>
      <c r="CG499" s="18"/>
      <c r="CH499" s="18"/>
      <c r="CI499" s="18"/>
      <c r="CJ499" s="18"/>
      <c r="CK499" s="18"/>
      <c r="CL499" s="18"/>
      <c r="CM499" s="18"/>
      <c r="CN499" s="18"/>
      <c r="CO499" s="18"/>
      <c r="CP499" s="18"/>
      <c r="CQ499" s="18"/>
      <c r="CR499" s="18"/>
      <c r="CS499" s="18"/>
      <c r="CT499" s="18"/>
      <c r="CU499" s="18"/>
      <c r="CV499" s="18"/>
      <c r="CW499" s="18"/>
      <c r="CX499" s="18"/>
      <c r="CY499" s="18"/>
      <c r="CZ499" s="18"/>
      <c r="DA499" s="18"/>
      <c r="DB499" s="18"/>
      <c r="DC499" s="18"/>
      <c r="DD499" s="18"/>
      <c r="DE499" s="18"/>
      <c r="DF499" s="18"/>
      <c r="DG499" s="18"/>
      <c r="DH499" s="18"/>
      <c r="DI499" s="18"/>
      <c r="DJ499" s="18"/>
      <c r="DK499" s="18"/>
      <c r="DL499" s="18"/>
      <c r="DM499" s="18"/>
      <c r="DN499" s="18"/>
      <c r="DO499" s="18"/>
      <c r="DP499" s="18"/>
      <c r="DQ499" s="18"/>
      <c r="DR499" s="18"/>
      <c r="DS499" s="18"/>
      <c r="DT499" s="18"/>
      <c r="DU499" s="18"/>
      <c r="DV499" s="18"/>
      <c r="DW499" s="18"/>
      <c r="DX499" s="18"/>
      <c r="DY499" s="18"/>
      <c r="DZ499" s="18"/>
    </row>
    <row r="500" spans="1:130" x14ac:dyDescent="0.3">
      <c r="A500" s="18"/>
      <c r="B500" s="18"/>
      <c r="C500" s="18"/>
      <c r="D500" s="18"/>
      <c r="E500" s="18"/>
      <c r="F500" s="18"/>
      <c r="G500" s="18"/>
      <c r="H500" s="18"/>
      <c r="I500" s="18"/>
      <c r="J500" s="18"/>
      <c r="K500" s="18"/>
      <c r="L500" s="18"/>
      <c r="M500" s="18"/>
      <c r="N500" s="17"/>
      <c r="O500" s="17"/>
      <c r="P500" s="17"/>
      <c r="Q500" s="17"/>
      <c r="R500" s="17"/>
      <c r="S500" s="17"/>
      <c r="T500" s="17"/>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7"/>
      <c r="BT500" s="17"/>
      <c r="BU500" s="17"/>
      <c r="BV500" s="17"/>
      <c r="BW500" s="17"/>
      <c r="BX500" s="18"/>
      <c r="BY500" s="18"/>
      <c r="BZ500" s="18"/>
      <c r="CA500" s="18"/>
      <c r="CB500" s="17"/>
      <c r="CC500" s="17"/>
      <c r="CD500" s="17"/>
      <c r="CE500" s="18"/>
      <c r="CF500" s="18"/>
      <c r="CG500" s="18"/>
      <c r="CH500" s="18"/>
      <c r="CI500" s="18"/>
      <c r="CJ500" s="18"/>
      <c r="CK500" s="18"/>
      <c r="CL500" s="18"/>
      <c r="CM500" s="18"/>
      <c r="CN500" s="18"/>
      <c r="CO500" s="18"/>
      <c r="CP500" s="18"/>
      <c r="CQ500" s="18"/>
      <c r="CR500" s="18"/>
      <c r="CS500" s="18"/>
      <c r="CT500" s="18"/>
      <c r="CU500" s="18"/>
      <c r="CV500" s="18"/>
      <c r="CW500" s="18"/>
      <c r="CX500" s="18"/>
      <c r="CY500" s="18"/>
      <c r="CZ500" s="18"/>
      <c r="DA500" s="18"/>
      <c r="DB500" s="18"/>
      <c r="DC500" s="18"/>
      <c r="DD500" s="18"/>
      <c r="DE500" s="18"/>
      <c r="DF500" s="18"/>
      <c r="DG500" s="18"/>
      <c r="DH500" s="18"/>
      <c r="DI500" s="18"/>
      <c r="DJ500" s="18"/>
      <c r="DK500" s="18"/>
      <c r="DL500" s="18"/>
      <c r="DM500" s="18"/>
      <c r="DN500" s="18"/>
      <c r="DO500" s="18"/>
      <c r="DP500" s="18"/>
      <c r="DQ500" s="18"/>
      <c r="DR500" s="18"/>
      <c r="DS500" s="18"/>
      <c r="DT500" s="18"/>
      <c r="DU500" s="18"/>
      <c r="DV500" s="18"/>
      <c r="DW500" s="18"/>
      <c r="DX500" s="18"/>
      <c r="DY500" s="18"/>
      <c r="DZ500" s="18"/>
    </row>
  </sheetData>
  <sheetProtection algorithmName="SHA-512" hashValue="njsbo7GMRaynlLtOQdQIfPMKJ0LWMDySE0QKV52OUbPbiYpAOsgSzA7KQhoHwd47CN7MgOTj1/YcOSTIylykxQ==" saltValue="aF/cCKiujbbO0DmD3DtqFA==" spinCount="100000" sheet="1" objects="1" scenarios="1"/>
  <conditionalFormatting sqref="C205:M217 C162:M197 C34:M83 C110:M116 C91:M107 C119:M149">
    <cfRule type="cellIs" dxfId="18" priority="16" operator="equal">
      <formula>"NA"</formula>
    </cfRule>
  </conditionalFormatting>
  <conditionalFormatting sqref="AF34:AM217">
    <cfRule type="expression" dxfId="17" priority="14">
      <formula>ROUND(AF34,2)=0</formula>
    </cfRule>
  </conditionalFormatting>
  <conditionalFormatting sqref="AE35:AE217">
    <cfRule type="expression" dxfId="16" priority="13">
      <formula>AE35=AP35</formula>
    </cfRule>
  </conditionalFormatting>
  <conditionalFormatting sqref="C118:M118">
    <cfRule type="cellIs" dxfId="15" priority="10" operator="equal">
      <formula>"NA"</formula>
    </cfRule>
  </conditionalFormatting>
  <conditionalFormatting sqref="C117:M117">
    <cfRule type="cellIs" dxfId="14" priority="8" operator="equal">
      <formula>"NA"</formula>
    </cfRule>
  </conditionalFormatting>
  <conditionalFormatting sqref="C109:M109">
    <cfRule type="cellIs" dxfId="13" priority="6" operator="equal">
      <formula>"NA"</formula>
    </cfRule>
  </conditionalFormatting>
  <conditionalFormatting sqref="C108:M108">
    <cfRule type="cellIs" dxfId="12" priority="2" operator="equal">
      <formula>"NA"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5" id="{7F8C633F-D744-4BFB-8754-3C4116D63D48}">
            <xm:f>B2&lt;&gt;'Financials DF (Live)'!B2</xm:f>
            <x14:dxf>
              <fill>
                <patternFill>
                  <bgColor theme="9" tint="0.39994506668294322"/>
                </patternFill>
              </fill>
            </x14:dxf>
          </x14:cfRule>
          <xm:sqref>C205:M217 C162:M197 B8:M27 C34:M83 C91:M149 T3:V7 S2:V2</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3E173-150E-4216-A721-67AE97B51D21}">
  <sheetPr codeName="Sheet6">
    <tabColor theme="9" tint="0.79998168889431442"/>
  </sheetPr>
  <dimension ref="A1:DZ500"/>
  <sheetViews>
    <sheetView showGridLines="0" topLeftCell="A10" zoomScaleNormal="100" workbookViewId="0">
      <selection sqref="A1:CZ1000"/>
    </sheetView>
  </sheetViews>
  <sheetFormatPr defaultColWidth="11.77734375" defaultRowHeight="13" x14ac:dyDescent="0.3"/>
  <cols>
    <col min="1" max="1" width="45.109375" style="516" bestFit="1" customWidth="1"/>
    <col min="2" max="2" width="54" style="516" bestFit="1" customWidth="1"/>
    <col min="3" max="13" width="11.77734375" style="516" bestFit="1" customWidth="1"/>
    <col min="14" max="18" width="11.77734375" customWidth="1"/>
    <col min="19" max="19" width="17.77734375" bestFit="1" customWidth="1"/>
    <col min="20" max="20" width="11.77734375" customWidth="1"/>
    <col min="21" max="30" width="11.77734375" style="516"/>
    <col min="31" max="31" width="51" style="516" bestFit="1" customWidth="1"/>
    <col min="32" max="32" width="22.33203125" style="516" bestFit="1" customWidth="1"/>
    <col min="33" max="37" width="10" style="516" bestFit="1" customWidth="1"/>
    <col min="38" max="39" width="10.6640625" style="516" bestFit="1" customWidth="1"/>
    <col min="40" max="40" width="11.77734375" style="516"/>
    <col min="41" max="41" width="51" style="516" bestFit="1" customWidth="1"/>
    <col min="42" max="42" width="54" style="516" bestFit="1" customWidth="1"/>
    <col min="43" max="53" width="11.6640625" style="516" bestFit="1" customWidth="1"/>
    <col min="54" max="55" width="11.77734375" style="516"/>
    <col min="56" max="56" width="30.6640625" style="516" bestFit="1" customWidth="1"/>
    <col min="57" max="57" width="15.44140625" style="516" bestFit="1" customWidth="1"/>
    <col min="58" max="58" width="14.6640625" style="516" bestFit="1" customWidth="1"/>
    <col min="59" max="59" width="13.33203125" style="516" bestFit="1" customWidth="1"/>
    <col min="60" max="60" width="21.77734375" style="516" bestFit="1" customWidth="1"/>
    <col min="61" max="70" width="11.77734375" style="516"/>
    <col min="72" max="72" width="16" bestFit="1" customWidth="1"/>
    <col min="76" max="77" width="11.77734375" style="516"/>
    <col min="78" max="78" width="16.33203125" style="516" bestFit="1" customWidth="1"/>
    <col min="79" max="79" width="11.77734375" style="516"/>
    <col min="81" max="81" width="16" bestFit="1" customWidth="1"/>
    <col min="83" max="102" width="11.77734375" style="516"/>
    <col min="103" max="103" width="11.33203125" style="516" bestFit="1" customWidth="1"/>
    <col min="104" max="16384" width="11.77734375" style="516"/>
  </cols>
  <sheetData>
    <row r="1" spans="1:130" ht="15" customHeight="1" x14ac:dyDescent="0.3">
      <c r="A1" s="16"/>
      <c r="B1" s="16"/>
      <c r="C1" s="16"/>
      <c r="D1" s="16"/>
      <c r="E1" s="16"/>
      <c r="F1" s="16"/>
      <c r="G1" s="16"/>
      <c r="H1" s="16"/>
      <c r="I1" s="16"/>
      <c r="J1" s="16"/>
      <c r="K1" s="16"/>
      <c r="L1" s="16"/>
      <c r="M1" s="16"/>
      <c r="N1" s="17"/>
      <c r="O1" s="17"/>
      <c r="P1" s="17"/>
      <c r="Q1" s="17"/>
      <c r="R1" s="17"/>
      <c r="S1" s="17"/>
      <c r="T1" s="17"/>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7"/>
      <c r="BB1" s="17"/>
      <c r="BC1" s="17"/>
      <c r="BD1" s="17"/>
      <c r="BE1" s="17"/>
      <c r="BF1" s="18"/>
      <c r="BG1" s="18"/>
      <c r="BH1" s="18"/>
      <c r="BI1" s="18"/>
      <c r="BJ1" s="18"/>
      <c r="BK1" s="18"/>
      <c r="BL1" s="18"/>
      <c r="BM1" s="18"/>
      <c r="BN1" s="18"/>
      <c r="BO1" s="18"/>
      <c r="BP1" s="18"/>
      <c r="BQ1" s="18"/>
      <c r="BR1" s="18"/>
      <c r="BS1" s="17"/>
      <c r="BT1" s="17"/>
      <c r="BU1" s="17"/>
      <c r="BV1" s="17"/>
      <c r="BW1" s="17"/>
      <c r="BX1" s="18"/>
      <c r="BY1" s="18"/>
      <c r="BZ1" s="18"/>
      <c r="CA1" s="18"/>
      <c r="CB1" s="17"/>
      <c r="CC1" s="17"/>
      <c r="CD1" s="17"/>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row>
    <row r="2" spans="1:130" ht="30.75" customHeight="1" x14ac:dyDescent="0.3">
      <c r="A2" s="16"/>
      <c r="B2" s="16"/>
      <c r="C2" s="16"/>
      <c r="D2" s="16"/>
      <c r="E2" s="16"/>
      <c r="F2" s="16"/>
      <c r="G2" s="16"/>
      <c r="H2" s="16"/>
      <c r="I2" s="16"/>
      <c r="J2" s="16"/>
      <c r="K2" s="16"/>
      <c r="L2" s="16"/>
      <c r="M2" s="16"/>
      <c r="N2" s="17"/>
      <c r="O2" s="17"/>
      <c r="P2" s="17"/>
      <c r="Q2" s="17"/>
      <c r="R2" s="17"/>
      <c r="S2" s="620" t="s">
        <v>1820</v>
      </c>
      <c r="T2" s="46">
        <f>MAX($CY$11:$CY$1410)</f>
        <v>44972</v>
      </c>
      <c r="U2" s="46">
        <f>EOMONTH(C24,0)-364</f>
        <v>44835</v>
      </c>
      <c r="V2" s="46" t="s">
        <v>1787</v>
      </c>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7"/>
      <c r="BT2" s="17"/>
      <c r="BU2" s="17"/>
      <c r="BV2" s="17"/>
      <c r="BW2" s="17"/>
      <c r="BX2" s="18"/>
      <c r="BY2" s="18"/>
      <c r="BZ2" s="18"/>
      <c r="CA2" s="18"/>
      <c r="CB2" s="17"/>
      <c r="CC2" s="17"/>
      <c r="CD2" s="17"/>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row>
    <row r="3" spans="1:130" ht="15" customHeight="1" x14ac:dyDescent="0.3">
      <c r="A3" s="19" t="s">
        <v>613</v>
      </c>
      <c r="B3" s="20" t="str">
        <f>Frontend!C7</f>
        <v>NTC SJ Equity</v>
      </c>
      <c r="C3" s="16"/>
      <c r="D3" s="16"/>
      <c r="E3" s="16"/>
      <c r="F3" s="16"/>
      <c r="G3" s="16"/>
      <c r="H3" s="16"/>
      <c r="I3" s="16"/>
      <c r="J3" s="16"/>
      <c r="K3" s="16"/>
      <c r="L3" s="16"/>
      <c r="M3" s="16"/>
      <c r="N3" s="17"/>
      <c r="O3" s="17"/>
      <c r="P3" s="17"/>
      <c r="Q3" s="17"/>
      <c r="R3" s="17"/>
      <c r="S3" s="423" t="s">
        <v>820</v>
      </c>
      <c r="T3" s="43">
        <f ca="1">VLOOKUP(T$2,$CY$10:$CZ$509,2,0)</f>
        <v>19.2803</v>
      </c>
      <c r="U3" s="43" t="e">
        <f ca="1">VLOOKUP(U$2,$CY$10:$CZ$509,2,0)</f>
        <v>#N/A</v>
      </c>
      <c r="V3" s="43" t="e">
        <f ca="1">AVERAGE(T3:U3)</f>
        <v>#N/A</v>
      </c>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7"/>
      <c r="BT3" s="17"/>
      <c r="BU3" s="17"/>
      <c r="BV3" s="17"/>
      <c r="BW3" s="17"/>
      <c r="BX3" s="18"/>
      <c r="BY3" s="18"/>
      <c r="BZ3" s="18"/>
      <c r="CA3" s="18"/>
      <c r="CB3" s="17"/>
      <c r="CC3" s="17"/>
      <c r="CD3" s="17"/>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row>
    <row r="4" spans="1:130" ht="15" customHeight="1" x14ac:dyDescent="0.3">
      <c r="A4" s="19" t="s">
        <v>614</v>
      </c>
      <c r="B4" s="20">
        <f>Frontend!C8</f>
        <v>11</v>
      </c>
      <c r="C4" s="16"/>
      <c r="D4" s="16"/>
      <c r="E4" s="16"/>
      <c r="F4" s="16"/>
      <c r="G4" s="16"/>
      <c r="H4" s="16"/>
      <c r="I4" s="16"/>
      <c r="J4" s="16"/>
      <c r="K4" s="16"/>
      <c r="L4" s="16"/>
      <c r="M4" s="16"/>
      <c r="N4" s="17"/>
      <c r="O4" s="17"/>
      <c r="P4" s="17"/>
      <c r="Q4" s="17"/>
      <c r="R4" s="17"/>
      <c r="S4" s="423" t="s">
        <v>819</v>
      </c>
      <c r="T4" s="43">
        <f ca="1">VLOOKUP(T$2,$DB$10:$DC$509,2,0)</f>
        <v>19.5352</v>
      </c>
      <c r="U4" s="43" t="e">
        <f ca="1">VLOOKUP(U$2,$DB$10:$DC$509,2,0)</f>
        <v>#N/A</v>
      </c>
      <c r="V4" s="43" t="e">
        <f ca="1">AVERAGE(T4:U4)</f>
        <v>#N/A</v>
      </c>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7"/>
      <c r="BT4" s="17"/>
      <c r="BU4" s="17"/>
      <c r="BV4" s="17"/>
      <c r="BW4" s="17"/>
      <c r="BX4" s="18"/>
      <c r="BY4" s="18"/>
      <c r="BZ4" s="18"/>
      <c r="CA4" s="18"/>
      <c r="CB4" s="17"/>
      <c r="CC4" s="17"/>
      <c r="CD4" s="17"/>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row>
    <row r="5" spans="1:130" ht="15" customHeight="1" x14ac:dyDescent="0.3">
      <c r="A5" s="19" t="s">
        <v>622</v>
      </c>
      <c r="B5" s="21">
        <f ca="1">Frontend!C9</f>
        <v>45160</v>
      </c>
      <c r="C5" s="16"/>
      <c r="D5" s="16"/>
      <c r="E5" s="16"/>
      <c r="F5" s="16"/>
      <c r="G5" s="16"/>
      <c r="H5" s="16"/>
      <c r="I5" s="16"/>
      <c r="J5" s="16"/>
      <c r="K5" s="16"/>
      <c r="L5" s="16"/>
      <c r="M5" s="16"/>
      <c r="N5" s="17"/>
      <c r="O5" s="17"/>
      <c r="P5" s="17"/>
      <c r="Q5" s="17"/>
      <c r="R5" s="17"/>
      <c r="S5" s="423" t="s">
        <v>822</v>
      </c>
      <c r="T5" s="43">
        <f ca="1">VLOOKUP(T$2,$DE$10:$DF$509,2,0)</f>
        <v>18.0381</v>
      </c>
      <c r="U5" s="43" t="e">
        <f ca="1">VLOOKUP(U$2,$DE$10:$DF$509,2,0)</f>
        <v>#N/A</v>
      </c>
      <c r="V5" s="43" t="e">
        <f ca="1">AVERAGE(T5:U5)</f>
        <v>#N/A</v>
      </c>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76" t="s">
        <v>1791</v>
      </c>
      <c r="BR5" s="18"/>
      <c r="BS5" s="17"/>
      <c r="BT5" s="17"/>
      <c r="BU5" s="17"/>
      <c r="BV5" s="17"/>
      <c r="BW5" s="17"/>
      <c r="BX5" s="18"/>
      <c r="BY5" s="18"/>
      <c r="BZ5" s="18"/>
      <c r="CA5" s="18"/>
      <c r="CB5" s="17"/>
      <c r="CC5" s="17"/>
      <c r="CD5" s="17"/>
      <c r="CE5" s="18"/>
      <c r="CF5" s="18"/>
      <c r="CG5" s="18"/>
      <c r="CH5" s="18"/>
      <c r="CI5" s="18"/>
      <c r="CJ5" s="18"/>
      <c r="CK5" s="18"/>
      <c r="CL5" s="18"/>
      <c r="CM5" s="18"/>
      <c r="CN5" s="76" t="s">
        <v>1790</v>
      </c>
      <c r="CO5" s="18"/>
      <c r="CP5" s="18"/>
      <c r="CQ5" s="18"/>
      <c r="CR5" s="18"/>
      <c r="CS5" s="18"/>
      <c r="CT5" s="18"/>
      <c r="CU5" s="18"/>
      <c r="CV5" s="18"/>
      <c r="CW5" s="18"/>
      <c r="CX5" s="76" t="s">
        <v>1789</v>
      </c>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row>
    <row r="6" spans="1:130" ht="15" customHeight="1" x14ac:dyDescent="0.3">
      <c r="A6" s="16"/>
      <c r="B6" s="16"/>
      <c r="C6" s="22"/>
      <c r="D6" s="16"/>
      <c r="E6" s="16"/>
      <c r="F6" s="16"/>
      <c r="G6" s="16"/>
      <c r="H6" s="16"/>
      <c r="I6" s="16"/>
      <c r="J6" s="16"/>
      <c r="K6" s="16"/>
      <c r="L6" s="16"/>
      <c r="M6" s="16"/>
      <c r="N6" s="17"/>
      <c r="O6" s="17"/>
      <c r="P6" s="17"/>
      <c r="Q6" s="17"/>
      <c r="R6" s="17"/>
      <c r="S6" s="423" t="s">
        <v>308</v>
      </c>
      <c r="T6" s="43">
        <f ca="1">VLOOKUP(T$2,$DH$10:$DI$509,2,0)</f>
        <v>21.715399999999999</v>
      </c>
      <c r="U6" s="43" t="e">
        <f ca="1">VLOOKUP(U$2,$DH$10:$DI$509,2,0)</f>
        <v>#N/A</v>
      </c>
      <c r="V6" s="43" t="e">
        <f ca="1">AVERAGE(T6:U6)</f>
        <v>#N/A</v>
      </c>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7"/>
      <c r="BT6" s="17"/>
      <c r="BU6" s="17"/>
      <c r="BV6" s="17"/>
      <c r="BW6" s="17"/>
      <c r="BX6" s="18"/>
      <c r="BY6" s="18"/>
      <c r="BZ6" s="18"/>
      <c r="CA6" s="18"/>
      <c r="CB6" s="17"/>
      <c r="CC6" s="17"/>
      <c r="CD6" s="17"/>
      <c r="CE6" s="18"/>
      <c r="CF6" s="18"/>
      <c r="CG6" s="18"/>
      <c r="CH6" s="18"/>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c r="DI6" s="18"/>
      <c r="DJ6" s="18"/>
      <c r="DK6" s="18"/>
      <c r="DL6" s="18"/>
      <c r="DM6" s="18"/>
      <c r="DN6" s="18"/>
      <c r="DO6" s="18"/>
      <c r="DP6" s="18"/>
      <c r="DQ6" s="18"/>
      <c r="DR6" s="18"/>
      <c r="DS6" s="18"/>
      <c r="DT6" s="18"/>
      <c r="DU6" s="18"/>
      <c r="DV6" s="18"/>
      <c r="DW6" s="18"/>
      <c r="DX6" s="18"/>
      <c r="DY6" s="18"/>
      <c r="DZ6" s="18"/>
    </row>
    <row r="7" spans="1:130" ht="15" customHeight="1" x14ac:dyDescent="0.3">
      <c r="A7" s="23" t="s">
        <v>414</v>
      </c>
      <c r="B7" s="16"/>
      <c r="C7" s="16"/>
      <c r="D7" s="16"/>
      <c r="E7" s="16"/>
      <c r="F7" s="16"/>
      <c r="G7" s="16"/>
      <c r="H7" s="16"/>
      <c r="I7" s="16"/>
      <c r="J7" s="16"/>
      <c r="K7" s="16"/>
      <c r="L7" s="16"/>
      <c r="M7" s="16"/>
      <c r="N7" s="17"/>
      <c r="O7" s="17"/>
      <c r="P7" s="17"/>
      <c r="Q7" s="17"/>
      <c r="R7" s="17"/>
      <c r="S7" s="423" t="s">
        <v>821</v>
      </c>
      <c r="T7" s="43">
        <f ca="1">VLOOKUP(T$2,$DK$10:$DL$509,2,0)</f>
        <v>0.1348</v>
      </c>
      <c r="U7" s="43" t="e">
        <f ca="1">VLOOKUP(U$2,$DK$10:$DL$509,2,0)</f>
        <v>#N/A</v>
      </c>
      <c r="V7" s="43" t="e">
        <f ca="1">AVERAGE(T7:U7)</f>
        <v>#N/A</v>
      </c>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7"/>
      <c r="BT7" s="17"/>
      <c r="BU7" s="17"/>
      <c r="BV7" s="17"/>
      <c r="BW7" s="17"/>
      <c r="BX7" s="18"/>
      <c r="BY7" s="18"/>
      <c r="BZ7" s="18" t="s">
        <v>804</v>
      </c>
      <c r="CA7" s="18" t="str">
        <f>UPPER(C17)</f>
        <v>ZAR</v>
      </c>
      <c r="CB7" s="17"/>
      <c r="CC7" s="18" t="str">
        <f>BZ7</f>
        <v>Orignal Currency</v>
      </c>
      <c r="CD7" s="18" t="str">
        <f>CA7</f>
        <v>ZAR</v>
      </c>
      <c r="CE7" s="18"/>
      <c r="CF7" s="18"/>
      <c r="CG7" s="18"/>
      <c r="CH7" s="18"/>
      <c r="CI7" s="18"/>
      <c r="CJ7" s="18"/>
      <c r="CK7" s="18"/>
      <c r="CL7" s="18"/>
      <c r="CM7" s="18"/>
      <c r="CN7" s="18"/>
      <c r="CO7" s="18"/>
      <c r="CP7" s="18"/>
      <c r="CQ7" s="18"/>
      <c r="CR7" s="18"/>
      <c r="CS7" s="18"/>
      <c r="CT7" s="18"/>
      <c r="CU7" s="18"/>
      <c r="CV7" s="18"/>
      <c r="CW7" s="18"/>
      <c r="CX7" s="612" t="s">
        <v>1788</v>
      </c>
      <c r="CY7" s="612">
        <f ca="1">MIN($B$5-$U$2+60,600)</f>
        <v>385</v>
      </c>
      <c r="CZ7" s="18"/>
      <c r="DA7" s="612"/>
      <c r="DB7" s="612">
        <f ca="1">MIN($B$5-$U$2+60,600)</f>
        <v>385</v>
      </c>
      <c r="DC7" s="18"/>
      <c r="DD7" s="612"/>
      <c r="DE7" s="612">
        <f ca="1">MIN($B$5-$U$2+60,600)</f>
        <v>385</v>
      </c>
      <c r="DF7" s="18"/>
      <c r="DG7" s="612"/>
      <c r="DH7" s="612">
        <f ca="1">MIN($B$5-$U$2+60,600)</f>
        <v>385</v>
      </c>
      <c r="DI7" s="18"/>
      <c r="DJ7" s="612"/>
      <c r="DK7" s="612">
        <f ca="1">MIN($B$5-$U$2+60,600)</f>
        <v>385</v>
      </c>
      <c r="DL7" s="18"/>
      <c r="DM7" s="18"/>
      <c r="DN7" s="18"/>
      <c r="DO7" s="18"/>
      <c r="DP7" s="18"/>
      <c r="DQ7" s="18"/>
      <c r="DR7" s="18"/>
      <c r="DS7" s="18"/>
      <c r="DT7" s="18"/>
      <c r="DU7" s="18"/>
      <c r="DV7" s="18"/>
      <c r="DW7" s="18"/>
      <c r="DX7" s="18"/>
      <c r="DY7" s="18"/>
      <c r="DZ7" s="18"/>
    </row>
    <row r="8" spans="1:130" ht="15" customHeight="1" x14ac:dyDescent="0.3">
      <c r="A8" s="24" t="s">
        <v>339</v>
      </c>
      <c r="B8" s="25" t="s">
        <v>1909</v>
      </c>
      <c r="C8" s="26"/>
      <c r="D8" s="26"/>
      <c r="E8" s="26"/>
      <c r="F8" s="26"/>
      <c r="G8" s="26"/>
      <c r="H8" s="26"/>
      <c r="I8" s="26"/>
      <c r="J8" s="26"/>
      <c r="K8" s="26"/>
      <c r="L8" s="26"/>
      <c r="M8" s="2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7"/>
      <c r="BT8" s="17"/>
      <c r="BU8" s="17"/>
      <c r="BV8" s="17"/>
      <c r="BW8" s="29" t="str">
        <f>UPPER(C18&amp;C17)&amp;" Curncy"</f>
        <v>ZARZAR Curncy</v>
      </c>
      <c r="BX8" s="18"/>
      <c r="BY8" s="18"/>
      <c r="BZ8" s="18" t="s">
        <v>803</v>
      </c>
      <c r="CA8" s="18" t="str">
        <f>UPPER(C18)</f>
        <v>ZAR</v>
      </c>
      <c r="CB8" s="17"/>
      <c r="CC8" s="18" t="str">
        <f>BZ8</f>
        <v>New Currency</v>
      </c>
      <c r="CD8" s="18" t="str">
        <f>CA8</f>
        <v>ZAR</v>
      </c>
      <c r="CE8" s="18"/>
      <c r="CF8" s="18"/>
      <c r="CG8" s="18"/>
      <c r="CH8" s="18"/>
      <c r="CI8" s="18"/>
      <c r="CJ8" s="18"/>
      <c r="CK8" s="18"/>
      <c r="CL8" s="18"/>
      <c r="CM8" s="18"/>
      <c r="CN8" s="18"/>
      <c r="CO8" s="18"/>
      <c r="CP8" s="18"/>
      <c r="CQ8" s="18"/>
      <c r="CR8" s="18"/>
      <c r="CS8" s="18"/>
      <c r="CT8" s="18"/>
      <c r="CU8" s="18"/>
      <c r="CV8" s="18"/>
      <c r="CW8" s="18"/>
      <c r="CX8" s="18"/>
      <c r="CY8" s="612" t="str">
        <f>S3</f>
        <v>EURZAR Curncy</v>
      </c>
      <c r="CZ8" s="18"/>
      <c r="DA8" s="18"/>
      <c r="DB8" s="612" t="str">
        <f>S4</f>
        <v>CHFZAR Curncy</v>
      </c>
      <c r="DC8" s="18"/>
      <c r="DD8" s="18"/>
      <c r="DE8" s="612" t="str">
        <f>S5</f>
        <v>USDZAR Curncy</v>
      </c>
      <c r="DF8" s="18"/>
      <c r="DG8" s="18"/>
      <c r="DH8" s="612" t="str">
        <f>S6</f>
        <v>GBPZAR Curncy</v>
      </c>
      <c r="DI8" s="18"/>
      <c r="DJ8" s="18"/>
      <c r="DK8" s="612" t="str">
        <f>S7</f>
        <v>JPYZAR Curncy</v>
      </c>
      <c r="DL8" s="18"/>
      <c r="DM8" s="18"/>
      <c r="DN8" s="18"/>
      <c r="DO8" s="18"/>
      <c r="DP8" s="18"/>
      <c r="DQ8" s="18"/>
      <c r="DR8" s="18"/>
      <c r="DS8" s="18"/>
      <c r="DT8" s="18"/>
      <c r="DU8" s="18"/>
      <c r="DV8" s="18"/>
      <c r="DW8" s="18"/>
      <c r="DX8" s="18"/>
      <c r="DY8" s="18"/>
      <c r="DZ8" s="18"/>
    </row>
    <row r="9" spans="1:130" ht="15" customHeight="1" x14ac:dyDescent="0.3">
      <c r="A9" s="30" t="s">
        <v>340</v>
      </c>
      <c r="B9" s="31" t="s">
        <v>1919</v>
      </c>
      <c r="C9" s="32"/>
      <c r="D9" s="32"/>
      <c r="E9" s="32"/>
      <c r="F9" s="32"/>
      <c r="G9" s="32"/>
      <c r="H9" s="32"/>
      <c r="I9" s="33"/>
      <c r="J9" s="33"/>
      <c r="K9" s="33"/>
      <c r="L9" s="33"/>
      <c r="M9" s="34"/>
      <c r="N9" s="17"/>
      <c r="O9" s="17"/>
      <c r="P9" s="17"/>
      <c r="Q9" s="17"/>
      <c r="R9" s="17"/>
      <c r="S9" s="17"/>
      <c r="T9" s="17"/>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9" t="s">
        <v>731</v>
      </c>
      <c r="BR9" s="19"/>
      <c r="BS9" s="17"/>
      <c r="BT9" s="19" t="s">
        <v>732</v>
      </c>
      <c r="BU9" s="19"/>
      <c r="BV9" s="18"/>
      <c r="BW9" s="19" t="s">
        <v>802</v>
      </c>
      <c r="BX9" s="19"/>
      <c r="BY9" s="18"/>
      <c r="BZ9" s="19" t="str">
        <f>BQ9 &amp;": "&amp;$C$18</f>
        <v>Mkt Cap (Monthly): ZAR</v>
      </c>
      <c r="CA9" s="19"/>
      <c r="CB9" s="17"/>
      <c r="CC9" s="19" t="str">
        <f>BT9 &amp;": "&amp;$C$18</f>
        <v>Price (Monthly): ZAR</v>
      </c>
      <c r="CD9" s="19"/>
      <c r="CE9" s="18"/>
      <c r="CF9" s="18"/>
      <c r="CG9" s="18"/>
      <c r="CH9" s="18"/>
      <c r="CI9" s="18"/>
      <c r="CJ9" s="18"/>
      <c r="CK9" s="18"/>
      <c r="CL9" s="18"/>
      <c r="CM9" s="18"/>
      <c r="CN9" s="19" t="s">
        <v>730</v>
      </c>
      <c r="CO9" s="19"/>
      <c r="CP9" s="17"/>
      <c r="CQ9" s="19" t="s">
        <v>733</v>
      </c>
      <c r="CR9" s="19"/>
      <c r="CS9" s="18"/>
      <c r="CT9" s="18"/>
      <c r="CU9" s="18"/>
      <c r="CV9" s="18"/>
      <c r="CW9" s="18"/>
      <c r="CX9" s="18"/>
      <c r="CY9" s="19" t="s">
        <v>1786</v>
      </c>
      <c r="CZ9" s="19"/>
      <c r="DA9" s="18"/>
      <c r="DB9" s="19" t="s">
        <v>1786</v>
      </c>
      <c r="DC9" s="19"/>
      <c r="DD9" s="18"/>
      <c r="DE9" s="19" t="s">
        <v>1786</v>
      </c>
      <c r="DF9" s="19"/>
      <c r="DG9" s="18"/>
      <c r="DH9" s="19" t="s">
        <v>1786</v>
      </c>
      <c r="DI9" s="19"/>
      <c r="DJ9" s="18"/>
      <c r="DK9" s="19" t="s">
        <v>1786</v>
      </c>
      <c r="DL9" s="19"/>
      <c r="DM9" s="18"/>
      <c r="DN9" s="18"/>
      <c r="DO9" s="18"/>
      <c r="DP9" s="18"/>
      <c r="DQ9" s="18"/>
      <c r="DR9" s="18"/>
      <c r="DS9" s="18"/>
      <c r="DT9" s="18"/>
      <c r="DU9" s="18"/>
      <c r="DV9" s="18"/>
      <c r="DW9" s="18"/>
      <c r="DX9" s="18"/>
      <c r="DY9" s="18"/>
      <c r="DZ9" s="18"/>
    </row>
    <row r="10" spans="1:130" ht="15" customHeight="1" x14ac:dyDescent="0.3">
      <c r="A10" s="30" t="s">
        <v>341</v>
      </c>
      <c r="B10" s="31" t="s">
        <v>1908</v>
      </c>
      <c r="C10" s="32"/>
      <c r="D10" s="32"/>
      <c r="E10" s="32"/>
      <c r="F10" s="32"/>
      <c r="G10" s="32"/>
      <c r="H10" s="32"/>
      <c r="I10" s="33"/>
      <c r="J10" s="33"/>
      <c r="K10" s="33"/>
      <c r="L10" s="33"/>
      <c r="M10" s="34"/>
      <c r="N10" s="17"/>
      <c r="O10" s="17"/>
      <c r="P10" s="17"/>
      <c r="Q10" s="17"/>
      <c r="R10" s="17"/>
      <c r="S10" s="17"/>
      <c r="T10" s="17"/>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20" t="str">
        <f ca="1">_xlfn.CONCAT("GET|","CUR_MKT_CAP","|", $B$3, "|START|",TEXT($B$5 - 1,"yyyymmdd"),"|MONTHSLASTDAY|",12*13)</f>
        <v>GET|CUR_MKT_CAP|NTC SJ Equity|START|20230821|MONTHSLASTDAY|156</v>
      </c>
      <c r="BR10" s="20"/>
      <c r="BS10" s="35"/>
      <c r="BT10" s="20" t="str">
        <f ca="1">_xlfn.CONCAT("GET|","PX_Last","|", $B$3, "|START|",TEXT($B$5 - 1,"yyyymmdd"),"|MONTHSLASTDAY|",12*13)</f>
        <v>GET|PX_Last|NTC SJ Equity|START|20230821|MONTHSLASTDAY|156</v>
      </c>
      <c r="BU10" s="20"/>
      <c r="BV10" s="35"/>
      <c r="BW10" s="20" t="str">
        <f ca="1">_xlfn.CONCAT("GET|","PX_Last","|", BW8, "|START|",TEXT($B$5 - 1,"yyyymmdd"),"|MONTHSLASTDAY|",12*13)</f>
        <v>GET|PX_Last|ZARZAR Curncy|START|20230821|MONTHSLASTDAY|156</v>
      </c>
      <c r="BX10" s="20"/>
      <c r="BY10" s="18" t="s">
        <v>300</v>
      </c>
      <c r="BZ10" s="20"/>
      <c r="CA10" s="20"/>
      <c r="CB10" s="35"/>
      <c r="CC10" s="20"/>
      <c r="CD10" s="20"/>
      <c r="CE10" s="17"/>
      <c r="CF10" s="18"/>
      <c r="CG10" s="18"/>
      <c r="CH10" s="18"/>
      <c r="CI10" s="18"/>
      <c r="CJ10" s="18"/>
      <c r="CK10" s="18"/>
      <c r="CL10" s="18"/>
      <c r="CM10" s="18"/>
      <c r="CN10" s="20" t="str">
        <f ca="1">_xlfn.CONCAT("GET|","CUR_MKT_CAP","|", $B$3, "|START|",TEXT($B$5 - 1,"yyyymmdd"),"|DAYS|",30)</f>
        <v>GET|CUR_MKT_CAP|NTC SJ Equity|START|20230821|DAYS|30</v>
      </c>
      <c r="CO10" s="20"/>
      <c r="CP10" s="35"/>
      <c r="CQ10" s="20" t="str">
        <f ca="1">_xlfn.CONCAT("GET|","PX_Last","|", $B$3, "|START|",TEXT($B$5 - 1,"yyyymmdd"),"|DAYS|",30)</f>
        <v>GET|PX_Last|NTC SJ Equity|START|20230821|DAYS|30</v>
      </c>
      <c r="CR10" s="36"/>
      <c r="CS10" s="18"/>
      <c r="CT10" s="18"/>
      <c r="CU10" s="18"/>
      <c r="CV10" s="18"/>
      <c r="CW10" s="18"/>
      <c r="CX10" s="18"/>
      <c r="CY10" s="20" t="str">
        <f ca="1">_xlfn.CONCAT("GET|","PX_Last","|", CY$8, "|START|",TEXT($B$5 - 1,"yyyymmdd"),"|DAYS|",CY$7)</f>
        <v>GET|PX_Last|EURZAR Curncy|START|20230821|DAYS|385</v>
      </c>
      <c r="CZ10" s="36"/>
      <c r="DA10" s="18"/>
      <c r="DB10" s="20" t="str">
        <f ca="1">_xlfn.CONCAT("GET|","PX_Last","|", DB$8, "|START|",TEXT($B$5 - 1,"yyyymmdd"),"|DAYS|",DB$7)</f>
        <v>GET|PX_Last|CHFZAR Curncy|START|20230821|DAYS|385</v>
      </c>
      <c r="DC10" s="36"/>
      <c r="DD10" s="18"/>
      <c r="DE10" s="20" t="str">
        <f ca="1">_xlfn.CONCAT("GET|","PX_Last","|", DE$8, "|START|",TEXT($B$5 - 1,"yyyymmdd"),"|DAYS|",DE$7)</f>
        <v>GET|PX_Last|USDZAR Curncy|START|20230821|DAYS|385</v>
      </c>
      <c r="DF10" s="36"/>
      <c r="DG10" s="18"/>
      <c r="DH10" s="20" t="str">
        <f ca="1">_xlfn.CONCAT("GET|","PX_Last","|", DH$8, "|START|",TEXT($B$5 - 1,"yyyymmdd"),"|DAYS|",DH$7)</f>
        <v>GET|PX_Last|GBPZAR Curncy|START|20230821|DAYS|385</v>
      </c>
      <c r="DI10" s="36"/>
      <c r="DJ10" s="18"/>
      <c r="DK10" s="20" t="str">
        <f ca="1">_xlfn.CONCAT("GET|","PX_Last","|", DK$8, "|START|",TEXT($B$5 - 1,"yyyymmdd"),"|DAYS|",DK$7)</f>
        <v>GET|PX_Last|JPYZAR Curncy|START|20230821|DAYS|385</v>
      </c>
      <c r="DL10" s="36"/>
      <c r="DM10" s="18"/>
      <c r="DN10" s="18"/>
      <c r="DO10" s="18"/>
      <c r="DP10" s="18"/>
      <c r="DQ10" s="18"/>
      <c r="DR10" s="18"/>
      <c r="DS10" s="18"/>
      <c r="DT10" s="18"/>
      <c r="DU10" s="18"/>
      <c r="DV10" s="18"/>
      <c r="DW10" s="18"/>
      <c r="DX10" s="18"/>
      <c r="DY10" s="18"/>
      <c r="DZ10" s="18"/>
    </row>
    <row r="11" spans="1:130" ht="15" customHeight="1" x14ac:dyDescent="0.3">
      <c r="A11" s="30" t="s">
        <v>617</v>
      </c>
      <c r="B11" s="31" t="s">
        <v>1910</v>
      </c>
      <c r="C11" s="32"/>
      <c r="D11" s="32"/>
      <c r="E11" s="32"/>
      <c r="F11" s="32"/>
      <c r="G11" s="32"/>
      <c r="H11" s="32"/>
      <c r="I11" s="33"/>
      <c r="J11" s="33"/>
      <c r="K11" s="33"/>
      <c r="L11" s="33"/>
      <c r="M11" s="34"/>
      <c r="N11" s="17"/>
      <c r="O11" s="17"/>
      <c r="P11" s="17"/>
      <c r="Q11" s="17"/>
      <c r="R11" s="17"/>
      <c r="S11" s="17"/>
      <c r="T11" s="17"/>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37">
        <v>40235</v>
      </c>
      <c r="BR11" s="38">
        <v>18366.466400000001</v>
      </c>
      <c r="BS11" s="17"/>
      <c r="BT11" s="37">
        <v>40235</v>
      </c>
      <c r="BU11" s="38">
        <v>1284</v>
      </c>
      <c r="BV11" s="18"/>
      <c r="BW11" s="37"/>
      <c r="BX11" s="38"/>
      <c r="BY11" s="18"/>
      <c r="BZ11" s="39">
        <f t="shared" ref="BZ11:BZ74" si="0">IF(BQ11="","-",BQ11)</f>
        <v>40235</v>
      </c>
      <c r="CA11" s="40">
        <f t="shared" ref="CA11:CA74" si="1">IF(BQ11="","-",IF(CA$8&lt;&gt;CA$7,BR11/VLOOKUP(BZ11,$BW$11:$BX$215,2,0),BR11))</f>
        <v>18366.466400000001</v>
      </c>
      <c r="CB11" s="17"/>
      <c r="CC11" s="39">
        <f t="shared" ref="CC11:CC74" si="2">IF(BT11="","-",BT11)</f>
        <v>40235</v>
      </c>
      <c r="CD11" s="40">
        <f t="shared" ref="CD11:CD74" si="3">IF(BT11="","-",IF(CD$8&lt;&gt;CD$7,(BU11*$C$19)/VLOOKUP(CC11,$BW$11:$BX$215,2,0),BU11*$C$19))</f>
        <v>12.84</v>
      </c>
      <c r="CE11" s="18"/>
      <c r="CF11" s="18"/>
      <c r="CG11" s="18"/>
      <c r="CH11" s="18"/>
      <c r="CI11" s="18"/>
      <c r="CJ11" s="18"/>
      <c r="CK11" s="18"/>
      <c r="CL11" s="18"/>
      <c r="CM11" s="18"/>
      <c r="CN11" s="37">
        <v>44942</v>
      </c>
      <c r="CO11" s="38">
        <v>21888.560000000001</v>
      </c>
      <c r="CP11" s="17"/>
      <c r="CQ11" s="37">
        <v>44942</v>
      </c>
      <c r="CR11" s="38">
        <v>1521</v>
      </c>
      <c r="CS11" s="18"/>
      <c r="CT11" s="18"/>
      <c r="CU11" s="18"/>
      <c r="CV11" s="18"/>
      <c r="CW11" s="18"/>
      <c r="CX11" s="18"/>
      <c r="CY11" s="37">
        <v>44774</v>
      </c>
      <c r="CZ11" s="38">
        <v>16.963200000000001</v>
      </c>
      <c r="DA11" s="18"/>
      <c r="DB11" s="37">
        <v>44774</v>
      </c>
      <c r="DC11" s="38">
        <v>17.391500000000001</v>
      </c>
      <c r="DD11" s="18"/>
      <c r="DE11" s="37">
        <v>44774</v>
      </c>
      <c r="DF11" s="38">
        <v>16.5246</v>
      </c>
      <c r="DG11" s="18"/>
      <c r="DH11" s="37">
        <v>44774</v>
      </c>
      <c r="DI11" s="38">
        <v>20.2544</v>
      </c>
      <c r="DJ11" s="18"/>
      <c r="DK11" s="37">
        <v>44774</v>
      </c>
      <c r="DL11" s="38">
        <v>0.1258</v>
      </c>
      <c r="DM11" s="18"/>
      <c r="DN11" s="18"/>
      <c r="DO11" s="18"/>
      <c r="DP11" s="18"/>
      <c r="DQ11" s="18"/>
      <c r="DR11" s="18"/>
      <c r="DS11" s="18"/>
      <c r="DT11" s="18"/>
      <c r="DU11" s="18"/>
      <c r="DV11" s="18"/>
      <c r="DW11" s="18"/>
      <c r="DX11" s="18"/>
      <c r="DY11" s="18"/>
      <c r="DZ11" s="18"/>
    </row>
    <row r="12" spans="1:130" ht="15" customHeight="1" x14ac:dyDescent="0.3">
      <c r="A12" s="30" t="s">
        <v>618</v>
      </c>
      <c r="B12" s="31" t="s">
        <v>1910</v>
      </c>
      <c r="C12" s="32"/>
      <c r="D12" s="32"/>
      <c r="E12" s="32"/>
      <c r="F12" s="32"/>
      <c r="G12" s="32"/>
      <c r="H12" s="32"/>
      <c r="I12" s="33"/>
      <c r="J12" s="33"/>
      <c r="K12" s="33"/>
      <c r="L12" s="33"/>
      <c r="M12" s="34"/>
      <c r="N12" s="17"/>
      <c r="O12" s="17"/>
      <c r="P12" s="17"/>
      <c r="Q12" s="17"/>
      <c r="R12" s="17"/>
      <c r="S12" s="17"/>
      <c r="T12" s="17"/>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37">
        <v>40268</v>
      </c>
      <c r="BR12" s="38">
        <v>18881.414100000002</v>
      </c>
      <c r="BS12" s="17"/>
      <c r="BT12" s="37">
        <v>40268</v>
      </c>
      <c r="BU12" s="38">
        <v>1320</v>
      </c>
      <c r="BV12" s="18"/>
      <c r="BW12" s="37"/>
      <c r="BX12" s="38"/>
      <c r="BY12" s="18"/>
      <c r="BZ12" s="39">
        <f t="shared" si="0"/>
        <v>40268</v>
      </c>
      <c r="CA12" s="40">
        <f t="shared" si="1"/>
        <v>18881.414100000002</v>
      </c>
      <c r="CB12" s="17"/>
      <c r="CC12" s="39">
        <f t="shared" si="2"/>
        <v>40268</v>
      </c>
      <c r="CD12" s="40">
        <f t="shared" si="3"/>
        <v>13.200000000000001</v>
      </c>
      <c r="CE12" s="18"/>
      <c r="CF12" s="18"/>
      <c r="CG12" s="18"/>
      <c r="CH12" s="18"/>
      <c r="CI12" s="18"/>
      <c r="CJ12" s="18"/>
      <c r="CK12" s="18"/>
      <c r="CL12" s="18"/>
      <c r="CM12" s="18"/>
      <c r="CN12" s="37">
        <v>44943</v>
      </c>
      <c r="CO12" s="38">
        <v>21845.39</v>
      </c>
      <c r="CP12" s="17"/>
      <c r="CQ12" s="37">
        <v>44943</v>
      </c>
      <c r="CR12" s="38">
        <v>1518</v>
      </c>
      <c r="CS12" s="18"/>
      <c r="CT12" s="18"/>
      <c r="CU12" s="18"/>
      <c r="CV12" s="18"/>
      <c r="CW12" s="18"/>
      <c r="CX12" s="18"/>
      <c r="CY12" s="37">
        <v>44775</v>
      </c>
      <c r="CZ12" s="38">
        <v>17.110299999999999</v>
      </c>
      <c r="DA12" s="18"/>
      <c r="DB12" s="37">
        <v>44775</v>
      </c>
      <c r="DC12" s="38">
        <v>17.579799999999999</v>
      </c>
      <c r="DD12" s="18"/>
      <c r="DE12" s="37">
        <v>44775</v>
      </c>
      <c r="DF12" s="38">
        <v>16.8401</v>
      </c>
      <c r="DG12" s="18"/>
      <c r="DH12" s="37">
        <v>44775</v>
      </c>
      <c r="DI12" s="38">
        <v>20.461099999999998</v>
      </c>
      <c r="DJ12" s="18"/>
      <c r="DK12" s="37">
        <v>44775</v>
      </c>
      <c r="DL12" s="38">
        <v>0.12640000000000001</v>
      </c>
      <c r="DM12" s="18"/>
      <c r="DN12" s="18"/>
      <c r="DO12" s="18"/>
      <c r="DP12" s="18"/>
      <c r="DQ12" s="18"/>
      <c r="DR12" s="18"/>
      <c r="DS12" s="18"/>
      <c r="DT12" s="18"/>
      <c r="DU12" s="18"/>
      <c r="DV12" s="18"/>
      <c r="DW12" s="18"/>
      <c r="DX12" s="18"/>
      <c r="DY12" s="18"/>
      <c r="DZ12" s="18"/>
    </row>
    <row r="13" spans="1:130" ht="15" customHeight="1" x14ac:dyDescent="0.3">
      <c r="A13" s="30" t="s">
        <v>619</v>
      </c>
      <c r="B13" s="31" t="s">
        <v>1911</v>
      </c>
      <c r="C13" s="32"/>
      <c r="D13" s="32"/>
      <c r="E13" s="32"/>
      <c r="F13" s="32"/>
      <c r="G13" s="32"/>
      <c r="H13" s="32"/>
      <c r="I13" s="33"/>
      <c r="J13" s="33"/>
      <c r="K13" s="33"/>
      <c r="L13" s="33"/>
      <c r="M13" s="34"/>
      <c r="N13" s="17"/>
      <c r="O13" s="17"/>
      <c r="P13" s="17"/>
      <c r="Q13" s="17"/>
      <c r="R13" s="17"/>
      <c r="S13" s="17"/>
      <c r="T13" s="17"/>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37">
        <v>40298</v>
      </c>
      <c r="BR13" s="38">
        <v>19382.0576</v>
      </c>
      <c r="BS13" s="17"/>
      <c r="BT13" s="37">
        <v>40298</v>
      </c>
      <c r="BU13" s="38">
        <v>1355</v>
      </c>
      <c r="BV13" s="18"/>
      <c r="BW13" s="37"/>
      <c r="BX13" s="38"/>
      <c r="BY13" s="18"/>
      <c r="BZ13" s="39">
        <f t="shared" si="0"/>
        <v>40298</v>
      </c>
      <c r="CA13" s="40">
        <f t="shared" si="1"/>
        <v>19382.0576</v>
      </c>
      <c r="CB13" s="17"/>
      <c r="CC13" s="39">
        <f t="shared" si="2"/>
        <v>40298</v>
      </c>
      <c r="CD13" s="40">
        <f t="shared" si="3"/>
        <v>13.55</v>
      </c>
      <c r="CE13" s="18"/>
      <c r="CF13" s="18"/>
      <c r="CG13" s="18"/>
      <c r="CH13" s="18"/>
      <c r="CI13" s="18"/>
      <c r="CJ13" s="18"/>
      <c r="CK13" s="18"/>
      <c r="CL13" s="18"/>
      <c r="CM13" s="18"/>
      <c r="CN13" s="37">
        <v>44944</v>
      </c>
      <c r="CO13" s="38">
        <v>21874.17</v>
      </c>
      <c r="CP13" s="17"/>
      <c r="CQ13" s="37">
        <v>44944</v>
      </c>
      <c r="CR13" s="38">
        <v>1520</v>
      </c>
      <c r="CS13" s="18"/>
      <c r="CT13" s="18"/>
      <c r="CU13" s="18"/>
      <c r="CV13" s="18"/>
      <c r="CW13" s="18"/>
      <c r="CX13" s="18"/>
      <c r="CY13" s="37">
        <v>44776</v>
      </c>
      <c r="CZ13" s="38">
        <v>17.0413</v>
      </c>
      <c r="DA13" s="18"/>
      <c r="DB13" s="37">
        <v>44776</v>
      </c>
      <c r="DC13" s="38">
        <v>17.455400000000001</v>
      </c>
      <c r="DD13" s="18"/>
      <c r="DE13" s="37">
        <v>44776</v>
      </c>
      <c r="DF13" s="38">
        <v>16.7804</v>
      </c>
      <c r="DG13" s="18"/>
      <c r="DH13" s="37">
        <v>44776</v>
      </c>
      <c r="DI13" s="38">
        <v>20.368500000000001</v>
      </c>
      <c r="DJ13" s="18"/>
      <c r="DK13" s="37">
        <v>44776</v>
      </c>
      <c r="DL13" s="38">
        <v>0.12529999999999999</v>
      </c>
      <c r="DM13" s="18"/>
      <c r="DN13" s="18"/>
      <c r="DO13" s="18"/>
      <c r="DP13" s="18"/>
      <c r="DQ13" s="18"/>
      <c r="DR13" s="18"/>
      <c r="DS13" s="18"/>
      <c r="DT13" s="18"/>
      <c r="DU13" s="18"/>
      <c r="DV13" s="18"/>
      <c r="DW13" s="18"/>
      <c r="DX13" s="18"/>
      <c r="DY13" s="18"/>
      <c r="DZ13" s="18"/>
    </row>
    <row r="14" spans="1:130" ht="15" customHeight="1" x14ac:dyDescent="0.3">
      <c r="A14" s="30" t="s">
        <v>620</v>
      </c>
      <c r="B14" s="31" t="s">
        <v>1920</v>
      </c>
      <c r="C14" s="32"/>
      <c r="D14" s="32"/>
      <c r="E14" s="32"/>
      <c r="F14" s="32"/>
      <c r="G14" s="32"/>
      <c r="H14" s="32"/>
      <c r="I14" s="33"/>
      <c r="J14" s="33"/>
      <c r="K14" s="33"/>
      <c r="L14" s="33"/>
      <c r="M14" s="34"/>
      <c r="N14" s="17"/>
      <c r="O14" s="17"/>
      <c r="P14" s="17"/>
      <c r="Q14" s="17"/>
      <c r="R14" s="17"/>
      <c r="S14" s="17"/>
      <c r="T14" s="17"/>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37">
        <v>40329</v>
      </c>
      <c r="BR14" s="38">
        <v>19179.919600000001</v>
      </c>
      <c r="BS14" s="17"/>
      <c r="BT14" s="37">
        <v>40329</v>
      </c>
      <c r="BU14" s="38">
        <v>1340</v>
      </c>
      <c r="BV14" s="18"/>
      <c r="BW14" s="37"/>
      <c r="BX14" s="38"/>
      <c r="BY14" s="18"/>
      <c r="BZ14" s="39">
        <f t="shared" si="0"/>
        <v>40329</v>
      </c>
      <c r="CA14" s="40">
        <f t="shared" si="1"/>
        <v>19179.919600000001</v>
      </c>
      <c r="CB14" s="17"/>
      <c r="CC14" s="39">
        <f t="shared" si="2"/>
        <v>40329</v>
      </c>
      <c r="CD14" s="40">
        <f t="shared" si="3"/>
        <v>13.4</v>
      </c>
      <c r="CE14" s="18"/>
      <c r="CF14" s="18"/>
      <c r="CG14" s="18"/>
      <c r="CH14" s="18"/>
      <c r="CI14" s="18"/>
      <c r="CJ14" s="18"/>
      <c r="CK14" s="18"/>
      <c r="CL14" s="18"/>
      <c r="CM14" s="18"/>
      <c r="CN14" s="37">
        <v>44945</v>
      </c>
      <c r="CO14" s="38">
        <v>21802.21</v>
      </c>
      <c r="CP14" s="17"/>
      <c r="CQ14" s="37">
        <v>44945</v>
      </c>
      <c r="CR14" s="38">
        <v>1515</v>
      </c>
      <c r="CS14" s="18"/>
      <c r="CT14" s="18"/>
      <c r="CU14" s="18"/>
      <c r="CV14" s="18"/>
      <c r="CW14" s="18"/>
      <c r="CX14" s="18"/>
      <c r="CY14" s="37">
        <v>44777</v>
      </c>
      <c r="CZ14" s="38">
        <v>17.0259</v>
      </c>
      <c r="DA14" s="18"/>
      <c r="DB14" s="37">
        <v>44777</v>
      </c>
      <c r="DC14" s="38">
        <v>17.412700000000001</v>
      </c>
      <c r="DD14" s="18"/>
      <c r="DE14" s="37">
        <v>44777</v>
      </c>
      <c r="DF14" s="38">
        <v>16.610499999999998</v>
      </c>
      <c r="DG14" s="18"/>
      <c r="DH14" s="37">
        <v>44777</v>
      </c>
      <c r="DI14" s="38">
        <v>20.196300000000001</v>
      </c>
      <c r="DJ14" s="18"/>
      <c r="DK14" s="37">
        <v>44777</v>
      </c>
      <c r="DL14" s="38">
        <v>0.12529999999999999</v>
      </c>
      <c r="DM14" s="18"/>
      <c r="DN14" s="18"/>
      <c r="DO14" s="18"/>
      <c r="DP14" s="18"/>
      <c r="DQ14" s="18"/>
      <c r="DR14" s="18"/>
      <c r="DS14" s="18"/>
      <c r="DT14" s="18"/>
      <c r="DU14" s="18"/>
      <c r="DV14" s="18"/>
      <c r="DW14" s="18"/>
      <c r="DX14" s="18"/>
      <c r="DY14" s="18"/>
      <c r="DZ14" s="18"/>
    </row>
    <row r="15" spans="1:130" ht="15" customHeight="1" x14ac:dyDescent="0.3">
      <c r="A15" s="30" t="s">
        <v>342</v>
      </c>
      <c r="B15" s="31" t="s">
        <v>343</v>
      </c>
      <c r="C15" s="32"/>
      <c r="D15" s="32"/>
      <c r="E15" s="32"/>
      <c r="F15" s="32"/>
      <c r="G15" s="32"/>
      <c r="H15" s="32"/>
      <c r="I15" s="33"/>
      <c r="J15" s="33"/>
      <c r="K15" s="33"/>
      <c r="L15" s="33"/>
      <c r="M15" s="34"/>
      <c r="N15" s="17"/>
      <c r="O15" s="17"/>
      <c r="P15" s="17"/>
      <c r="Q15" s="17"/>
      <c r="R15" s="17"/>
      <c r="S15" s="17"/>
      <c r="T15" s="17"/>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37">
        <v>40359</v>
      </c>
      <c r="BR15" s="38">
        <v>18464.250899999999</v>
      </c>
      <c r="BS15" s="17"/>
      <c r="BT15" s="37">
        <v>40359</v>
      </c>
      <c r="BU15" s="38">
        <v>1290</v>
      </c>
      <c r="BV15" s="18"/>
      <c r="BW15" s="37"/>
      <c r="BX15" s="38"/>
      <c r="BY15" s="18"/>
      <c r="BZ15" s="39">
        <f t="shared" si="0"/>
        <v>40359</v>
      </c>
      <c r="CA15" s="40">
        <f t="shared" si="1"/>
        <v>18464.250899999999</v>
      </c>
      <c r="CB15" s="17"/>
      <c r="CC15" s="39">
        <f t="shared" si="2"/>
        <v>40359</v>
      </c>
      <c r="CD15" s="40">
        <f t="shared" si="3"/>
        <v>12.9</v>
      </c>
      <c r="CE15" s="18"/>
      <c r="CF15" s="18"/>
      <c r="CG15" s="18"/>
      <c r="CH15" s="18"/>
      <c r="CI15" s="18"/>
      <c r="CJ15" s="18"/>
      <c r="CK15" s="18"/>
      <c r="CL15" s="18"/>
      <c r="CM15" s="18"/>
      <c r="CN15" s="37">
        <v>44946</v>
      </c>
      <c r="CO15" s="38">
        <v>21327.31</v>
      </c>
      <c r="CP15" s="17"/>
      <c r="CQ15" s="37">
        <v>44946</v>
      </c>
      <c r="CR15" s="38">
        <v>1482</v>
      </c>
      <c r="CS15" s="18"/>
      <c r="CT15" s="18"/>
      <c r="CU15" s="18"/>
      <c r="CV15" s="18"/>
      <c r="CW15" s="18"/>
      <c r="CX15" s="18"/>
      <c r="CY15" s="37">
        <v>44778</v>
      </c>
      <c r="CZ15" s="38">
        <v>17.0823</v>
      </c>
      <c r="DA15" s="18"/>
      <c r="DB15" s="37">
        <v>44778</v>
      </c>
      <c r="DC15" s="38">
        <v>17.445499999999999</v>
      </c>
      <c r="DD15" s="18"/>
      <c r="DE15" s="37">
        <v>44778</v>
      </c>
      <c r="DF15" s="38">
        <v>16.776800000000001</v>
      </c>
      <c r="DG15" s="18"/>
      <c r="DH15" s="37">
        <v>44778</v>
      </c>
      <c r="DI15" s="38">
        <v>20.251100000000001</v>
      </c>
      <c r="DJ15" s="18"/>
      <c r="DK15" s="37">
        <v>44778</v>
      </c>
      <c r="DL15" s="38">
        <v>0.1242</v>
      </c>
      <c r="DM15" s="18"/>
      <c r="DN15" s="18"/>
      <c r="DO15" s="18"/>
      <c r="DP15" s="18"/>
      <c r="DQ15" s="18"/>
      <c r="DR15" s="18"/>
      <c r="DS15" s="18"/>
      <c r="DT15" s="18"/>
      <c r="DU15" s="18"/>
      <c r="DV15" s="18"/>
      <c r="DW15" s="18"/>
      <c r="DX15" s="18"/>
      <c r="DY15" s="18"/>
      <c r="DZ15" s="18"/>
    </row>
    <row r="16" spans="1:130" ht="15" customHeight="1" x14ac:dyDescent="0.3">
      <c r="A16" s="30"/>
      <c r="B16" s="31"/>
      <c r="C16" s="32"/>
      <c r="D16" s="32"/>
      <c r="E16" s="32"/>
      <c r="F16" s="32"/>
      <c r="G16" s="32"/>
      <c r="H16" s="32"/>
      <c r="I16" s="33"/>
      <c r="J16" s="33"/>
      <c r="K16" s="33"/>
      <c r="L16" s="33"/>
      <c r="M16" s="34"/>
      <c r="N16" s="17"/>
      <c r="O16" s="17"/>
      <c r="P16" s="17"/>
      <c r="Q16" s="17"/>
      <c r="R16" s="17"/>
      <c r="S16" s="17"/>
      <c r="T16" s="17"/>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37">
        <v>40389</v>
      </c>
      <c r="BR16" s="38">
        <v>19468.215700000001</v>
      </c>
      <c r="BS16" s="17"/>
      <c r="BT16" s="37">
        <v>40389</v>
      </c>
      <c r="BU16" s="38">
        <v>1360</v>
      </c>
      <c r="BV16" s="18"/>
      <c r="BW16" s="37"/>
      <c r="BX16" s="38"/>
      <c r="BY16" s="18"/>
      <c r="BZ16" s="39">
        <f t="shared" si="0"/>
        <v>40389</v>
      </c>
      <c r="CA16" s="40">
        <f t="shared" si="1"/>
        <v>19468.215700000001</v>
      </c>
      <c r="CB16" s="17"/>
      <c r="CC16" s="39">
        <f t="shared" si="2"/>
        <v>40389</v>
      </c>
      <c r="CD16" s="40">
        <f t="shared" si="3"/>
        <v>13.6</v>
      </c>
      <c r="CE16" s="18"/>
      <c r="CF16" s="18"/>
      <c r="CG16" s="18"/>
      <c r="CH16" s="18"/>
      <c r="CI16" s="18"/>
      <c r="CJ16" s="18"/>
      <c r="CK16" s="18"/>
      <c r="CL16" s="18"/>
      <c r="CM16" s="18"/>
      <c r="CN16" s="37">
        <v>44949</v>
      </c>
      <c r="CO16" s="38">
        <v>21298.53</v>
      </c>
      <c r="CP16" s="17"/>
      <c r="CQ16" s="37">
        <v>44949</v>
      </c>
      <c r="CR16" s="38">
        <v>1480</v>
      </c>
      <c r="CS16" s="18"/>
      <c r="CT16" s="18"/>
      <c r="CU16" s="18"/>
      <c r="CV16" s="18"/>
      <c r="CW16" s="18"/>
      <c r="CX16" s="18"/>
      <c r="CY16" s="37">
        <v>44781</v>
      </c>
      <c r="CZ16" s="38">
        <v>16.9815</v>
      </c>
      <c r="DA16" s="18"/>
      <c r="DB16" s="37">
        <v>44781</v>
      </c>
      <c r="DC16" s="38">
        <v>17.424099999999999</v>
      </c>
      <c r="DD16" s="18"/>
      <c r="DE16" s="37">
        <v>44781</v>
      </c>
      <c r="DF16" s="38">
        <v>16.636500000000002</v>
      </c>
      <c r="DG16" s="18"/>
      <c r="DH16" s="37">
        <v>44781</v>
      </c>
      <c r="DI16" s="38">
        <v>20.120100000000001</v>
      </c>
      <c r="DJ16" s="18"/>
      <c r="DK16" s="37">
        <v>44781</v>
      </c>
      <c r="DL16" s="38">
        <v>0.1234</v>
      </c>
      <c r="DM16" s="18"/>
      <c r="DN16" s="18"/>
      <c r="DO16" s="18"/>
      <c r="DP16" s="18"/>
      <c r="DQ16" s="18"/>
      <c r="DR16" s="18"/>
      <c r="DS16" s="18"/>
      <c r="DT16" s="18"/>
      <c r="DU16" s="18"/>
      <c r="DV16" s="18"/>
      <c r="DW16" s="18"/>
      <c r="DX16" s="18"/>
      <c r="DY16" s="18"/>
      <c r="DZ16" s="18"/>
    </row>
    <row r="17" spans="1:130" ht="15" customHeight="1" x14ac:dyDescent="0.3">
      <c r="A17" s="30" t="s">
        <v>624</v>
      </c>
      <c r="B17" s="31" t="s">
        <v>625</v>
      </c>
      <c r="C17" s="32" t="s">
        <v>626</v>
      </c>
      <c r="D17" s="32" t="s">
        <v>626</v>
      </c>
      <c r="E17" s="32" t="s">
        <v>626</v>
      </c>
      <c r="F17" s="32" t="s">
        <v>626</v>
      </c>
      <c r="G17" s="32" t="s">
        <v>626</v>
      </c>
      <c r="H17" s="32" t="s">
        <v>626</v>
      </c>
      <c r="I17" s="33" t="s">
        <v>626</v>
      </c>
      <c r="J17" s="33" t="s">
        <v>626</v>
      </c>
      <c r="K17" s="33" t="s">
        <v>626</v>
      </c>
      <c r="L17" s="33" t="s">
        <v>626</v>
      </c>
      <c r="M17" s="34" t="s">
        <v>626</v>
      </c>
      <c r="N17" s="227"/>
      <c r="O17" s="17"/>
      <c r="P17" s="17"/>
      <c r="Q17" s="17"/>
      <c r="R17" s="17"/>
      <c r="S17" s="17"/>
      <c r="T17" s="17"/>
      <c r="U17" s="17"/>
      <c r="V17" s="17"/>
      <c r="W17" s="17"/>
      <c r="X17" s="17"/>
      <c r="Y17" s="17"/>
      <c r="Z17" s="17"/>
      <c r="AA17" s="17"/>
      <c r="AB17" s="17"/>
      <c r="AC17" s="17"/>
      <c r="AD17" s="17"/>
      <c r="AE17" s="28" t="str">
        <f>AE33</f>
        <v>Checks (PD vs BBG)</v>
      </c>
      <c r="AF17" s="18"/>
      <c r="AG17" s="28"/>
      <c r="AH17" s="28"/>
      <c r="AI17" s="28"/>
      <c r="AJ17" s="28"/>
      <c r="AK17" s="28"/>
      <c r="AL17" s="28"/>
      <c r="AM17" s="28"/>
      <c r="AN17" s="18"/>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37">
        <v>40421</v>
      </c>
      <c r="BR17" s="38">
        <v>18938.565699999999</v>
      </c>
      <c r="BS17" s="17"/>
      <c r="BT17" s="37">
        <v>40421</v>
      </c>
      <c r="BU17" s="38">
        <v>1323</v>
      </c>
      <c r="BV17" s="18"/>
      <c r="BW17" s="37"/>
      <c r="BX17" s="38"/>
      <c r="BY17" s="18"/>
      <c r="BZ17" s="39">
        <f t="shared" si="0"/>
        <v>40421</v>
      </c>
      <c r="CA17" s="40">
        <f t="shared" si="1"/>
        <v>18938.565699999999</v>
      </c>
      <c r="CB17" s="17"/>
      <c r="CC17" s="39">
        <f t="shared" si="2"/>
        <v>40421</v>
      </c>
      <c r="CD17" s="40">
        <f t="shared" si="3"/>
        <v>13.23</v>
      </c>
      <c r="CE17" s="18"/>
      <c r="CF17" s="18"/>
      <c r="CG17" s="18"/>
      <c r="CH17" s="18"/>
      <c r="CI17" s="18"/>
      <c r="CJ17" s="18"/>
      <c r="CK17" s="18"/>
      <c r="CL17" s="18"/>
      <c r="CM17" s="18"/>
      <c r="CN17" s="37">
        <v>44950</v>
      </c>
      <c r="CO17" s="38">
        <v>21226.58</v>
      </c>
      <c r="CP17" s="17"/>
      <c r="CQ17" s="37">
        <v>44950</v>
      </c>
      <c r="CR17" s="38">
        <v>1475</v>
      </c>
      <c r="CS17" s="18"/>
      <c r="CT17" s="18"/>
      <c r="CU17" s="18"/>
      <c r="CV17" s="18"/>
      <c r="CW17" s="18"/>
      <c r="CX17" s="18"/>
      <c r="CY17" s="37">
        <v>44783</v>
      </c>
      <c r="CZ17" s="38">
        <v>16.6951</v>
      </c>
      <c r="DA17" s="18"/>
      <c r="DB17" s="37">
        <v>44783</v>
      </c>
      <c r="DC17" s="38">
        <v>17.199000000000002</v>
      </c>
      <c r="DD17" s="18"/>
      <c r="DE17" s="37">
        <v>44783</v>
      </c>
      <c r="DF17" s="38">
        <v>16.208200000000001</v>
      </c>
      <c r="DG17" s="18"/>
      <c r="DH17" s="37">
        <v>44783</v>
      </c>
      <c r="DI17" s="38">
        <v>19.787099999999999</v>
      </c>
      <c r="DJ17" s="18"/>
      <c r="DK17" s="37">
        <v>44783</v>
      </c>
      <c r="DL17" s="38">
        <v>0.122</v>
      </c>
      <c r="DM17" s="18"/>
      <c r="DN17" s="18"/>
      <c r="DO17" s="18"/>
      <c r="DP17" s="18"/>
      <c r="DQ17" s="18"/>
      <c r="DR17" s="18"/>
      <c r="DS17" s="18"/>
      <c r="DT17" s="18"/>
      <c r="DU17" s="18"/>
      <c r="DV17" s="18"/>
      <c r="DW17" s="18"/>
      <c r="DX17" s="18"/>
      <c r="DY17" s="18"/>
      <c r="DZ17" s="18"/>
    </row>
    <row r="18" spans="1:130" ht="15" customHeight="1" x14ac:dyDescent="0.3">
      <c r="A18" s="30" t="s">
        <v>627</v>
      </c>
      <c r="B18" s="31" t="s">
        <v>628</v>
      </c>
      <c r="C18" s="32" t="s">
        <v>428</v>
      </c>
      <c r="D18" s="32" t="s">
        <v>428</v>
      </c>
      <c r="E18" s="32" t="s">
        <v>428</v>
      </c>
      <c r="F18" s="32" t="s">
        <v>428</v>
      </c>
      <c r="G18" s="32" t="s">
        <v>428</v>
      </c>
      <c r="H18" s="32" t="s">
        <v>428</v>
      </c>
      <c r="I18" s="33" t="s">
        <v>428</v>
      </c>
      <c r="J18" s="33" t="s">
        <v>428</v>
      </c>
      <c r="K18" s="33" t="s">
        <v>428</v>
      </c>
      <c r="L18" s="33" t="s">
        <v>428</v>
      </c>
      <c r="M18" s="34" t="s">
        <v>428</v>
      </c>
      <c r="N18" s="227"/>
      <c r="O18" s="17"/>
      <c r="P18" s="17"/>
      <c r="Q18" s="17"/>
      <c r="R18" s="17"/>
      <c r="S18" s="17"/>
      <c r="T18" s="17"/>
      <c r="U18" s="17"/>
      <c r="V18" s="17"/>
      <c r="W18" s="17"/>
      <c r="X18" s="17"/>
      <c r="Y18" s="17"/>
      <c r="Z18" s="17"/>
      <c r="AA18" s="17"/>
      <c r="AB18" s="17"/>
      <c r="AC18" s="17"/>
      <c r="AD18" s="17"/>
      <c r="AE18" s="18"/>
      <c r="AF18" s="28">
        <f t="shared" ref="AF18:AM18" si="4">AF34</f>
        <v>2022</v>
      </c>
      <c r="AG18" s="28">
        <f t="shared" si="4"/>
        <v>2021</v>
      </c>
      <c r="AH18" s="28">
        <f t="shared" si="4"/>
        <v>2020</v>
      </c>
      <c r="AI18" s="28">
        <f t="shared" si="4"/>
        <v>2019</v>
      </c>
      <c r="AJ18" s="28">
        <f t="shared" si="4"/>
        <v>2018</v>
      </c>
      <c r="AK18" s="28">
        <f t="shared" si="4"/>
        <v>2017</v>
      </c>
      <c r="AL18" s="28">
        <f t="shared" si="4"/>
        <v>2016</v>
      </c>
      <c r="AM18" s="28">
        <f t="shared" si="4"/>
        <v>2015</v>
      </c>
      <c r="AN18" s="18"/>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37">
        <v>40451</v>
      </c>
      <c r="BR18" s="38">
        <v>19883.124800000001</v>
      </c>
      <c r="BS18" s="17"/>
      <c r="BT18" s="37">
        <v>40451</v>
      </c>
      <c r="BU18" s="38">
        <v>1384</v>
      </c>
      <c r="BV18" s="18"/>
      <c r="BW18" s="37"/>
      <c r="BX18" s="38"/>
      <c r="BY18" s="18"/>
      <c r="BZ18" s="39">
        <f t="shared" si="0"/>
        <v>40451</v>
      </c>
      <c r="CA18" s="40">
        <f t="shared" si="1"/>
        <v>19883.124800000001</v>
      </c>
      <c r="CB18" s="17"/>
      <c r="CC18" s="39">
        <f t="shared" si="2"/>
        <v>40451</v>
      </c>
      <c r="CD18" s="40">
        <f t="shared" si="3"/>
        <v>13.84</v>
      </c>
      <c r="CE18" s="18"/>
      <c r="CF18" s="18"/>
      <c r="CG18" s="18"/>
      <c r="CH18" s="18"/>
      <c r="CI18" s="18"/>
      <c r="CJ18" s="18"/>
      <c r="CK18" s="18"/>
      <c r="CL18" s="18"/>
      <c r="CM18" s="18"/>
      <c r="CN18" s="37">
        <v>44951</v>
      </c>
      <c r="CO18" s="38">
        <v>20478.25</v>
      </c>
      <c r="CP18" s="17"/>
      <c r="CQ18" s="37">
        <v>44951</v>
      </c>
      <c r="CR18" s="38">
        <v>1423</v>
      </c>
      <c r="CS18" s="18"/>
      <c r="CT18" s="18"/>
      <c r="CU18" s="18"/>
      <c r="CV18" s="18"/>
      <c r="CW18" s="18"/>
      <c r="CX18" s="18"/>
      <c r="CY18" s="37">
        <v>44784</v>
      </c>
      <c r="CZ18" s="38">
        <v>16.775500000000001</v>
      </c>
      <c r="DA18" s="18"/>
      <c r="DB18" s="37">
        <v>44784</v>
      </c>
      <c r="DC18" s="38">
        <v>17.261800000000001</v>
      </c>
      <c r="DD18" s="18"/>
      <c r="DE18" s="37">
        <v>44784</v>
      </c>
      <c r="DF18" s="38">
        <v>16.2529</v>
      </c>
      <c r="DG18" s="18"/>
      <c r="DH18" s="37">
        <v>44784</v>
      </c>
      <c r="DI18" s="38">
        <v>19.820399999999999</v>
      </c>
      <c r="DJ18" s="18"/>
      <c r="DK18" s="37">
        <v>44784</v>
      </c>
      <c r="DL18" s="38">
        <v>0.1222</v>
      </c>
      <c r="DM18" s="18"/>
      <c r="DN18" s="18"/>
      <c r="DO18" s="18"/>
      <c r="DP18" s="18"/>
      <c r="DQ18" s="18"/>
      <c r="DR18" s="18"/>
      <c r="DS18" s="18"/>
      <c r="DT18" s="18"/>
      <c r="DU18" s="18"/>
      <c r="DV18" s="18"/>
      <c r="DW18" s="18"/>
      <c r="DX18" s="18"/>
      <c r="DY18" s="18"/>
      <c r="DZ18" s="18"/>
    </row>
    <row r="19" spans="1:130" ht="15" customHeight="1" x14ac:dyDescent="0.3">
      <c r="A19" s="41"/>
      <c r="B19" s="42" t="s">
        <v>738</v>
      </c>
      <c r="C19" s="43">
        <f>IF(EXACT(UPPER(C17),C17)=FALSE,0.01,1)</f>
        <v>0.01</v>
      </c>
      <c r="D19" s="44"/>
      <c r="E19" s="32"/>
      <c r="F19" s="32"/>
      <c r="G19" s="32"/>
      <c r="H19" s="32"/>
      <c r="I19" s="33"/>
      <c r="J19" s="33"/>
      <c r="K19" s="33"/>
      <c r="L19" s="33"/>
      <c r="M19" s="34"/>
      <c r="N19" s="22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37">
        <v>40480</v>
      </c>
      <c r="BR19" s="38">
        <v>20931.873500000002</v>
      </c>
      <c r="BS19" s="17"/>
      <c r="BT19" s="37">
        <v>40480</v>
      </c>
      <c r="BU19" s="38">
        <v>1457</v>
      </c>
      <c r="BV19" s="18"/>
      <c r="BW19" s="37"/>
      <c r="BX19" s="38"/>
      <c r="BY19" s="18"/>
      <c r="BZ19" s="39">
        <f t="shared" si="0"/>
        <v>40480</v>
      </c>
      <c r="CA19" s="40">
        <f t="shared" si="1"/>
        <v>20931.873500000002</v>
      </c>
      <c r="CB19" s="17"/>
      <c r="CC19" s="39">
        <f t="shared" si="2"/>
        <v>40480</v>
      </c>
      <c r="CD19" s="40">
        <f t="shared" si="3"/>
        <v>14.57</v>
      </c>
      <c r="CE19" s="18"/>
      <c r="CF19" s="18"/>
      <c r="CG19" s="18"/>
      <c r="CH19" s="18"/>
      <c r="CI19" s="18"/>
      <c r="CJ19" s="18"/>
      <c r="CK19" s="18"/>
      <c r="CL19" s="18"/>
      <c r="CM19" s="18"/>
      <c r="CN19" s="37">
        <v>44952</v>
      </c>
      <c r="CO19" s="38">
        <v>20938.759999999998</v>
      </c>
      <c r="CP19" s="17"/>
      <c r="CQ19" s="37">
        <v>44952</v>
      </c>
      <c r="CR19" s="38">
        <v>1455</v>
      </c>
      <c r="CS19" s="18"/>
      <c r="CT19" s="18"/>
      <c r="CU19" s="18"/>
      <c r="CV19" s="18"/>
      <c r="CW19" s="18"/>
      <c r="CX19" s="18"/>
      <c r="CY19" s="37">
        <v>44785</v>
      </c>
      <c r="CZ19" s="38">
        <v>16.642800000000001</v>
      </c>
      <c r="DA19" s="18"/>
      <c r="DB19" s="37">
        <v>44785</v>
      </c>
      <c r="DC19" s="38">
        <v>17.2103</v>
      </c>
      <c r="DD19" s="18"/>
      <c r="DE19" s="37">
        <v>44785</v>
      </c>
      <c r="DF19" s="38">
        <v>16.168399999999998</v>
      </c>
      <c r="DG19" s="18"/>
      <c r="DH19" s="37">
        <v>44785</v>
      </c>
      <c r="DI19" s="38">
        <v>19.651199999999999</v>
      </c>
      <c r="DJ19" s="18"/>
      <c r="DK19" s="37">
        <v>44785</v>
      </c>
      <c r="DL19" s="38">
        <v>0.12139999999999999</v>
      </c>
      <c r="DM19" s="18"/>
      <c r="DN19" s="18"/>
      <c r="DO19" s="18"/>
      <c r="DP19" s="18"/>
      <c r="DQ19" s="18"/>
      <c r="DR19" s="18"/>
      <c r="DS19" s="18"/>
      <c r="DT19" s="18"/>
      <c r="DU19" s="18"/>
      <c r="DV19" s="18"/>
      <c r="DW19" s="18"/>
      <c r="DX19" s="18"/>
      <c r="DY19" s="18"/>
      <c r="DZ19" s="18"/>
    </row>
    <row r="20" spans="1:130" ht="15" customHeight="1" x14ac:dyDescent="0.3">
      <c r="A20" s="45"/>
      <c r="B20" s="42" t="str">
        <f>"Current Price" &amp; " ("&amp;UPPER(C17)&amp;")"</f>
        <v>Current Price (ZAR)</v>
      </c>
      <c r="C20" s="43">
        <f>IF(D20="-","-",VLOOKUP(D20,$CQ$11:$CR$44,2,0)*$C$19)</f>
        <v>14.71</v>
      </c>
      <c r="D20" s="46">
        <f>IF(MAX(CQ11:CQ44)=0,"-",MAX(CQ11:CQ44))</f>
        <v>44972</v>
      </c>
      <c r="E20" s="32"/>
      <c r="F20" s="32"/>
      <c r="G20" s="32"/>
      <c r="H20" s="32"/>
      <c r="I20" s="33"/>
      <c r="J20" s="33"/>
      <c r="K20" s="33"/>
      <c r="L20" s="33"/>
      <c r="M20" s="34"/>
      <c r="N20" s="227"/>
      <c r="O20" s="17"/>
      <c r="P20" s="17"/>
      <c r="Q20" s="17"/>
      <c r="R20" s="17"/>
      <c r="S20" s="17"/>
      <c r="T20" s="17"/>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37">
        <v>40512</v>
      </c>
      <c r="BR20" s="38">
        <v>21079.195599999999</v>
      </c>
      <c r="BS20" s="17"/>
      <c r="BT20" s="37">
        <v>40512</v>
      </c>
      <c r="BU20" s="38">
        <v>1466</v>
      </c>
      <c r="BV20" s="18"/>
      <c r="BW20" s="37"/>
      <c r="BX20" s="38"/>
      <c r="BY20" s="18"/>
      <c r="BZ20" s="39">
        <f t="shared" si="0"/>
        <v>40512</v>
      </c>
      <c r="CA20" s="40">
        <f t="shared" si="1"/>
        <v>21079.195599999999</v>
      </c>
      <c r="CB20" s="17"/>
      <c r="CC20" s="39">
        <f t="shared" si="2"/>
        <v>40512</v>
      </c>
      <c r="CD20" s="40">
        <f t="shared" si="3"/>
        <v>14.66</v>
      </c>
      <c r="CE20" s="18"/>
      <c r="CF20" s="18"/>
      <c r="CG20" s="18"/>
      <c r="CH20" s="18"/>
      <c r="CI20" s="18"/>
      <c r="CJ20" s="18"/>
      <c r="CK20" s="18"/>
      <c r="CL20" s="18"/>
      <c r="CM20" s="18"/>
      <c r="CN20" s="37">
        <v>44953</v>
      </c>
      <c r="CO20" s="38">
        <v>20967.54</v>
      </c>
      <c r="CP20" s="17"/>
      <c r="CQ20" s="37">
        <v>44953</v>
      </c>
      <c r="CR20" s="38">
        <v>1457</v>
      </c>
      <c r="CS20" s="18"/>
      <c r="CT20" s="18"/>
      <c r="CU20" s="18"/>
      <c r="CV20" s="18"/>
      <c r="CW20" s="18"/>
      <c r="CX20" s="18"/>
      <c r="CY20" s="37">
        <v>44788</v>
      </c>
      <c r="CZ20" s="38">
        <v>16.696999999999999</v>
      </c>
      <c r="DA20" s="18"/>
      <c r="DB20" s="37">
        <v>44788</v>
      </c>
      <c r="DC20" s="38">
        <v>17.3706</v>
      </c>
      <c r="DD20" s="18"/>
      <c r="DE20" s="37">
        <v>44788</v>
      </c>
      <c r="DF20" s="38">
        <v>16.436499999999999</v>
      </c>
      <c r="DG20" s="18"/>
      <c r="DH20" s="37">
        <v>44788</v>
      </c>
      <c r="DI20" s="38">
        <v>19.806899999999999</v>
      </c>
      <c r="DJ20" s="18"/>
      <c r="DK20" s="37">
        <v>44788</v>
      </c>
      <c r="DL20" s="38">
        <v>0.1235</v>
      </c>
      <c r="DM20" s="18"/>
      <c r="DN20" s="18"/>
      <c r="DO20" s="18"/>
      <c r="DP20" s="18"/>
      <c r="DQ20" s="18"/>
      <c r="DR20" s="18"/>
      <c r="DS20" s="18"/>
      <c r="DT20" s="18"/>
      <c r="DU20" s="18"/>
      <c r="DV20" s="18"/>
      <c r="DW20" s="18"/>
      <c r="DX20" s="18"/>
      <c r="DY20" s="18"/>
      <c r="DZ20" s="18"/>
    </row>
    <row r="21" spans="1:130" ht="15" customHeight="1" x14ac:dyDescent="0.3">
      <c r="A21" s="45"/>
      <c r="B21" s="42" t="str">
        <f>"Current Market Cap ("&amp;UPPER(C17)&amp;" m)"</f>
        <v>Current Market Cap (ZAR m)</v>
      </c>
      <c r="C21" s="43">
        <f>IF(D21="-","-",VLOOKUP(D21,$CN$11:$CO$44,2,0))</f>
        <v>21169.01</v>
      </c>
      <c r="D21" s="46">
        <f>IF(MAX(CN11:CN44)=0,"-",MAX(CN11:CN44))</f>
        <v>44972</v>
      </c>
      <c r="E21" s="32"/>
      <c r="F21" s="32"/>
      <c r="G21" s="32"/>
      <c r="H21" s="32"/>
      <c r="I21" s="33"/>
      <c r="J21" s="33"/>
      <c r="K21" s="33"/>
      <c r="L21" s="33"/>
      <c r="M21" s="34"/>
      <c r="N21" s="227"/>
      <c r="O21" s="17"/>
      <c r="P21" s="17"/>
      <c r="Q21" s="17"/>
      <c r="R21" s="17"/>
      <c r="S21" s="17"/>
      <c r="T21" s="17"/>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37">
        <v>40543</v>
      </c>
      <c r="BR21" s="38">
        <v>22161.006300000001</v>
      </c>
      <c r="BS21" s="17"/>
      <c r="BT21" s="37">
        <v>40543</v>
      </c>
      <c r="BU21" s="38">
        <v>1539</v>
      </c>
      <c r="BV21" s="18"/>
      <c r="BW21" s="37"/>
      <c r="BX21" s="38"/>
      <c r="BY21" s="18"/>
      <c r="BZ21" s="39">
        <f t="shared" si="0"/>
        <v>40543</v>
      </c>
      <c r="CA21" s="40">
        <f t="shared" si="1"/>
        <v>22161.006300000001</v>
      </c>
      <c r="CB21" s="17"/>
      <c r="CC21" s="39">
        <f t="shared" si="2"/>
        <v>40543</v>
      </c>
      <c r="CD21" s="40">
        <f t="shared" si="3"/>
        <v>15.39</v>
      </c>
      <c r="CE21" s="18"/>
      <c r="CF21" s="18"/>
      <c r="CG21" s="18"/>
      <c r="CH21" s="18"/>
      <c r="CI21" s="18"/>
      <c r="CJ21" s="18"/>
      <c r="CK21" s="18"/>
      <c r="CL21" s="18"/>
      <c r="CM21" s="18"/>
      <c r="CN21" s="37">
        <v>44956</v>
      </c>
      <c r="CO21" s="38">
        <v>20809.240000000002</v>
      </c>
      <c r="CP21" s="17"/>
      <c r="CQ21" s="37">
        <v>44956</v>
      </c>
      <c r="CR21" s="38">
        <v>1446</v>
      </c>
      <c r="CS21" s="18"/>
      <c r="CT21" s="18"/>
      <c r="CU21" s="18"/>
      <c r="CV21" s="18"/>
      <c r="CW21" s="18"/>
      <c r="CX21" s="18"/>
      <c r="CY21" s="37">
        <v>44789</v>
      </c>
      <c r="CZ21" s="38">
        <v>16.655899999999999</v>
      </c>
      <c r="DA21" s="18"/>
      <c r="DB21" s="37">
        <v>44789</v>
      </c>
      <c r="DC21" s="38">
        <v>17.247399999999999</v>
      </c>
      <c r="DD21" s="18"/>
      <c r="DE21" s="37">
        <v>44789</v>
      </c>
      <c r="DF21" s="38">
        <v>16.378499999999999</v>
      </c>
      <c r="DG21" s="18"/>
      <c r="DH21" s="37">
        <v>44789</v>
      </c>
      <c r="DI21" s="38">
        <v>19.810300000000002</v>
      </c>
      <c r="DJ21" s="18"/>
      <c r="DK21" s="37">
        <v>44789</v>
      </c>
      <c r="DL21" s="38">
        <v>0.122</v>
      </c>
      <c r="DM21" s="18"/>
      <c r="DN21" s="18"/>
      <c r="DO21" s="18"/>
      <c r="DP21" s="18"/>
      <c r="DQ21" s="18"/>
      <c r="DR21" s="18"/>
      <c r="DS21" s="18"/>
      <c r="DT21" s="18"/>
      <c r="DU21" s="18"/>
      <c r="DV21" s="18"/>
      <c r="DW21" s="18"/>
      <c r="DX21" s="18"/>
      <c r="DY21" s="18"/>
      <c r="DZ21" s="18"/>
    </row>
    <row r="22" spans="1:130" ht="15" customHeight="1" x14ac:dyDescent="0.3">
      <c r="A22" s="30" t="s">
        <v>344</v>
      </c>
      <c r="B22" s="47" t="s">
        <v>345</v>
      </c>
      <c r="C22" s="48">
        <v>2022</v>
      </c>
      <c r="D22" s="48">
        <v>2021</v>
      </c>
      <c r="E22" s="48">
        <v>2020</v>
      </c>
      <c r="F22" s="48">
        <v>2019</v>
      </c>
      <c r="G22" s="48">
        <v>2018</v>
      </c>
      <c r="H22" s="48">
        <v>2017</v>
      </c>
      <c r="I22" s="48">
        <v>2016</v>
      </c>
      <c r="J22" s="48">
        <v>2015</v>
      </c>
      <c r="K22" s="48">
        <v>2014</v>
      </c>
      <c r="L22" s="48">
        <v>2013</v>
      </c>
      <c r="M22" s="49">
        <v>2012</v>
      </c>
      <c r="N22" s="227"/>
      <c r="O22" s="17"/>
      <c r="P22" s="17"/>
      <c r="Q22" s="17"/>
      <c r="R22" s="17"/>
      <c r="S22" s="17"/>
      <c r="T22" s="17"/>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37">
        <v>40574</v>
      </c>
      <c r="BR22" s="38">
        <v>20817.369900000002</v>
      </c>
      <c r="BS22" s="17"/>
      <c r="BT22" s="37">
        <v>40574</v>
      </c>
      <c r="BU22" s="38">
        <v>1445</v>
      </c>
      <c r="BV22" s="18"/>
      <c r="BW22" s="37"/>
      <c r="BX22" s="38"/>
      <c r="BY22" s="18"/>
      <c r="BZ22" s="39">
        <f t="shared" si="0"/>
        <v>40574</v>
      </c>
      <c r="CA22" s="40">
        <f t="shared" si="1"/>
        <v>20817.369900000002</v>
      </c>
      <c r="CB22" s="17"/>
      <c r="CC22" s="39">
        <f t="shared" si="2"/>
        <v>40574</v>
      </c>
      <c r="CD22" s="40">
        <f t="shared" si="3"/>
        <v>14.450000000000001</v>
      </c>
      <c r="CE22" s="18"/>
      <c r="CF22" s="18"/>
      <c r="CG22" s="18"/>
      <c r="CH22" s="18"/>
      <c r="CI22" s="18"/>
      <c r="CJ22" s="18"/>
      <c r="CK22" s="18"/>
      <c r="CL22" s="18"/>
      <c r="CM22" s="18"/>
      <c r="CN22" s="37">
        <v>44957</v>
      </c>
      <c r="CO22" s="38">
        <v>20564.599999999999</v>
      </c>
      <c r="CP22" s="17"/>
      <c r="CQ22" s="37">
        <v>44957</v>
      </c>
      <c r="CR22" s="38">
        <v>1429</v>
      </c>
      <c r="CS22" s="18"/>
      <c r="CT22" s="18"/>
      <c r="CU22" s="18"/>
      <c r="CV22" s="18"/>
      <c r="CW22" s="18"/>
      <c r="CX22" s="18"/>
      <c r="CY22" s="37">
        <v>44790</v>
      </c>
      <c r="CZ22" s="38">
        <v>16.956299999999999</v>
      </c>
      <c r="DA22" s="18"/>
      <c r="DB22" s="37">
        <v>44790</v>
      </c>
      <c r="DC22" s="38">
        <v>17.507899999999999</v>
      </c>
      <c r="DD22" s="18"/>
      <c r="DE22" s="37">
        <v>44790</v>
      </c>
      <c r="DF22" s="38">
        <v>16.654599999999999</v>
      </c>
      <c r="DG22" s="18"/>
      <c r="DH22" s="37">
        <v>44790</v>
      </c>
      <c r="DI22" s="38">
        <v>20.063199999999998</v>
      </c>
      <c r="DJ22" s="18"/>
      <c r="DK22" s="37">
        <v>44790</v>
      </c>
      <c r="DL22" s="38">
        <v>0.1234</v>
      </c>
      <c r="DM22" s="18"/>
      <c r="DN22" s="18"/>
      <c r="DO22" s="18"/>
      <c r="DP22" s="18"/>
      <c r="DQ22" s="18"/>
      <c r="DR22" s="18"/>
      <c r="DS22" s="18"/>
      <c r="DT22" s="18"/>
      <c r="DU22" s="18"/>
      <c r="DV22" s="18"/>
      <c r="DW22" s="18"/>
      <c r="DX22" s="18"/>
      <c r="DY22" s="18"/>
      <c r="DZ22" s="18"/>
    </row>
    <row r="23" spans="1:130" ht="15" customHeight="1" x14ac:dyDescent="0.3">
      <c r="A23" s="30" t="s">
        <v>621</v>
      </c>
      <c r="B23" s="47" t="s">
        <v>622</v>
      </c>
      <c r="C23" s="50">
        <v>44926</v>
      </c>
      <c r="D23" s="50">
        <v>44538</v>
      </c>
      <c r="E23" s="50">
        <v>44196</v>
      </c>
      <c r="F23" s="50">
        <v>43830</v>
      </c>
      <c r="G23" s="50">
        <v>43465</v>
      </c>
      <c r="H23" s="50">
        <v>43100</v>
      </c>
      <c r="I23" s="50">
        <v>42735</v>
      </c>
      <c r="J23" s="50">
        <v>42369</v>
      </c>
      <c r="K23" s="50">
        <v>42004</v>
      </c>
      <c r="L23" s="50">
        <v>41639</v>
      </c>
      <c r="M23" s="51">
        <v>41274</v>
      </c>
      <c r="N23" s="227"/>
      <c r="O23" s="17"/>
      <c r="P23" s="17"/>
      <c r="Q23" s="17"/>
      <c r="R23" s="17"/>
      <c r="S23" s="17"/>
      <c r="T23" s="17"/>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37">
        <v>40602</v>
      </c>
      <c r="BR23" s="38">
        <v>21022.512299999999</v>
      </c>
      <c r="BS23" s="17"/>
      <c r="BT23" s="37">
        <v>40602</v>
      </c>
      <c r="BU23" s="38">
        <v>1459</v>
      </c>
      <c r="BV23" s="18"/>
      <c r="BW23" s="37"/>
      <c r="BX23" s="38"/>
      <c r="BY23" s="18"/>
      <c r="BZ23" s="39">
        <f t="shared" si="0"/>
        <v>40602</v>
      </c>
      <c r="CA23" s="40">
        <f t="shared" si="1"/>
        <v>21022.512299999999</v>
      </c>
      <c r="CB23" s="17"/>
      <c r="CC23" s="39">
        <f t="shared" si="2"/>
        <v>40602</v>
      </c>
      <c r="CD23" s="40">
        <f t="shared" si="3"/>
        <v>14.59</v>
      </c>
      <c r="CE23" s="18"/>
      <c r="CF23" s="18"/>
      <c r="CG23" s="18"/>
      <c r="CH23" s="18"/>
      <c r="CI23" s="18"/>
      <c r="CJ23" s="18"/>
      <c r="CK23" s="18"/>
      <c r="CL23" s="18"/>
      <c r="CM23" s="18"/>
      <c r="CN23" s="37">
        <v>44958</v>
      </c>
      <c r="CO23" s="38">
        <v>20708.509999999998</v>
      </c>
      <c r="CP23" s="17"/>
      <c r="CQ23" s="37">
        <v>44958</v>
      </c>
      <c r="CR23" s="38">
        <v>1439</v>
      </c>
      <c r="CS23" s="18"/>
      <c r="CT23" s="18"/>
      <c r="CU23" s="18"/>
      <c r="CV23" s="18"/>
      <c r="CW23" s="18"/>
      <c r="CX23" s="18"/>
      <c r="CY23" s="37">
        <v>44791</v>
      </c>
      <c r="CZ23" s="38">
        <v>17.0244</v>
      </c>
      <c r="DA23" s="18"/>
      <c r="DB23" s="37">
        <v>44791</v>
      </c>
      <c r="DC23" s="38">
        <v>17.633199999999999</v>
      </c>
      <c r="DD23" s="18"/>
      <c r="DE23" s="37">
        <v>44791</v>
      </c>
      <c r="DF23" s="38">
        <v>16.8721</v>
      </c>
      <c r="DG23" s="18"/>
      <c r="DH23" s="37">
        <v>44791</v>
      </c>
      <c r="DI23" s="38">
        <v>20.129200000000001</v>
      </c>
      <c r="DJ23" s="18"/>
      <c r="DK23" s="37">
        <v>44791</v>
      </c>
      <c r="DL23" s="38">
        <v>0.1242</v>
      </c>
      <c r="DM23" s="18"/>
      <c r="DN23" s="18"/>
      <c r="DO23" s="18"/>
      <c r="DP23" s="18"/>
      <c r="DQ23" s="18"/>
      <c r="DR23" s="18"/>
      <c r="DS23" s="18"/>
      <c r="DT23" s="18"/>
      <c r="DU23" s="18"/>
      <c r="DV23" s="18"/>
      <c r="DW23" s="18"/>
      <c r="DX23" s="18"/>
      <c r="DY23" s="18"/>
      <c r="DZ23" s="18"/>
    </row>
    <row r="24" spans="1:130" ht="15" customHeight="1" x14ac:dyDescent="0.3">
      <c r="A24" s="30" t="s">
        <v>823</v>
      </c>
      <c r="B24" s="31" t="s">
        <v>824</v>
      </c>
      <c r="C24" s="50">
        <v>45170</v>
      </c>
      <c r="D24" s="50">
        <v>45170</v>
      </c>
      <c r="E24" s="50">
        <v>45170</v>
      </c>
      <c r="F24" s="50">
        <v>44440</v>
      </c>
      <c r="G24" s="50">
        <v>44440</v>
      </c>
      <c r="H24" s="50">
        <v>44440</v>
      </c>
      <c r="I24" s="52">
        <v>44440</v>
      </c>
      <c r="J24" s="52">
        <v>44440</v>
      </c>
      <c r="K24" s="52">
        <v>44440</v>
      </c>
      <c r="L24" s="52">
        <v>44440</v>
      </c>
      <c r="M24" s="53">
        <v>44440</v>
      </c>
      <c r="N24" s="227"/>
      <c r="O24" s="17"/>
      <c r="P24" s="17"/>
      <c r="Q24" s="17"/>
      <c r="R24" s="17"/>
      <c r="S24" s="17"/>
      <c r="T24" s="17"/>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37">
        <v>40633</v>
      </c>
      <c r="BR24" s="38">
        <v>20896.544399999999</v>
      </c>
      <c r="BS24" s="17"/>
      <c r="BT24" s="37">
        <v>40633</v>
      </c>
      <c r="BU24" s="38">
        <v>1450</v>
      </c>
      <c r="BV24" s="18"/>
      <c r="BW24" s="37"/>
      <c r="BX24" s="38"/>
      <c r="BY24" s="18"/>
      <c r="BZ24" s="39">
        <f t="shared" si="0"/>
        <v>40633</v>
      </c>
      <c r="CA24" s="40">
        <f t="shared" si="1"/>
        <v>20896.544399999999</v>
      </c>
      <c r="CB24" s="17"/>
      <c r="CC24" s="39">
        <f t="shared" si="2"/>
        <v>40633</v>
      </c>
      <c r="CD24" s="40">
        <f t="shared" si="3"/>
        <v>14.5</v>
      </c>
      <c r="CE24" s="18"/>
      <c r="CF24" s="18"/>
      <c r="CG24" s="18"/>
      <c r="CH24" s="18"/>
      <c r="CI24" s="18"/>
      <c r="CJ24" s="18"/>
      <c r="CK24" s="18"/>
      <c r="CL24" s="18"/>
      <c r="CM24" s="18"/>
      <c r="CN24" s="37">
        <v>44959</v>
      </c>
      <c r="CO24" s="38">
        <v>20938.759999999998</v>
      </c>
      <c r="CP24" s="17"/>
      <c r="CQ24" s="37">
        <v>44959</v>
      </c>
      <c r="CR24" s="38">
        <v>1455</v>
      </c>
      <c r="CS24" s="18"/>
      <c r="CT24" s="18"/>
      <c r="CU24" s="18"/>
      <c r="CV24" s="18"/>
      <c r="CW24" s="18"/>
      <c r="CX24" s="18"/>
      <c r="CY24" s="37">
        <v>44792</v>
      </c>
      <c r="CZ24" s="38">
        <v>17.063600000000001</v>
      </c>
      <c r="DA24" s="18"/>
      <c r="DB24" s="37">
        <v>44792</v>
      </c>
      <c r="DC24" s="38">
        <v>17.727</v>
      </c>
      <c r="DD24" s="18"/>
      <c r="DE24" s="37">
        <v>44792</v>
      </c>
      <c r="DF24" s="38">
        <v>17.003299999999999</v>
      </c>
      <c r="DG24" s="18"/>
      <c r="DH24" s="37">
        <v>44792</v>
      </c>
      <c r="DI24" s="38">
        <v>20.1145</v>
      </c>
      <c r="DJ24" s="18"/>
      <c r="DK24" s="37">
        <v>44792</v>
      </c>
      <c r="DL24" s="38">
        <v>0.1242</v>
      </c>
      <c r="DM24" s="18"/>
      <c r="DN24" s="18"/>
      <c r="DO24" s="18"/>
      <c r="DP24" s="18"/>
      <c r="DQ24" s="18"/>
      <c r="DR24" s="18"/>
      <c r="DS24" s="18"/>
      <c r="DT24" s="18"/>
      <c r="DU24" s="18"/>
      <c r="DV24" s="18"/>
      <c r="DW24" s="18"/>
      <c r="DX24" s="18"/>
      <c r="DY24" s="18"/>
      <c r="DZ24" s="18"/>
    </row>
    <row r="25" spans="1:130" ht="15" customHeight="1" x14ac:dyDescent="0.3">
      <c r="A25" s="45"/>
      <c r="B25" s="42" t="s">
        <v>729</v>
      </c>
      <c r="C25" s="46">
        <f t="shared" ref="C25:M25" si="5">IF(C24="","-",EOMONTH(DATE(C22,MONTH(C24),1),0))</f>
        <v>44834</v>
      </c>
      <c r="D25" s="46">
        <f t="shared" si="5"/>
        <v>44469</v>
      </c>
      <c r="E25" s="46">
        <f t="shared" si="5"/>
        <v>44104</v>
      </c>
      <c r="F25" s="46">
        <f t="shared" si="5"/>
        <v>43738</v>
      </c>
      <c r="G25" s="46">
        <f t="shared" si="5"/>
        <v>43373</v>
      </c>
      <c r="H25" s="46">
        <f t="shared" si="5"/>
        <v>43008</v>
      </c>
      <c r="I25" s="46">
        <f t="shared" si="5"/>
        <v>42643</v>
      </c>
      <c r="J25" s="46">
        <f t="shared" si="5"/>
        <v>42277</v>
      </c>
      <c r="K25" s="46">
        <f t="shared" si="5"/>
        <v>41912</v>
      </c>
      <c r="L25" s="46">
        <f t="shared" si="5"/>
        <v>41547</v>
      </c>
      <c r="M25" s="54">
        <f t="shared" si="5"/>
        <v>41182</v>
      </c>
      <c r="N25" s="227"/>
      <c r="O25" s="17"/>
      <c r="P25" s="17"/>
      <c r="Q25" s="17"/>
      <c r="R25" s="17"/>
      <c r="S25" s="17"/>
      <c r="T25" s="17"/>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37">
        <v>40662</v>
      </c>
      <c r="BR25" s="38">
        <v>20469.8547</v>
      </c>
      <c r="BS25" s="17"/>
      <c r="BT25" s="37">
        <v>40662</v>
      </c>
      <c r="BU25" s="38">
        <v>1420</v>
      </c>
      <c r="BV25" s="18"/>
      <c r="BW25" s="37"/>
      <c r="BX25" s="38"/>
      <c r="BY25" s="18"/>
      <c r="BZ25" s="39">
        <f t="shared" si="0"/>
        <v>40662</v>
      </c>
      <c r="CA25" s="40">
        <f t="shared" si="1"/>
        <v>20469.8547</v>
      </c>
      <c r="CB25" s="17"/>
      <c r="CC25" s="39">
        <f t="shared" si="2"/>
        <v>40662</v>
      </c>
      <c r="CD25" s="40">
        <f t="shared" si="3"/>
        <v>14.200000000000001</v>
      </c>
      <c r="CE25" s="18"/>
      <c r="CF25" s="18"/>
      <c r="CG25" s="18"/>
      <c r="CH25" s="18"/>
      <c r="CI25" s="18"/>
      <c r="CJ25" s="18"/>
      <c r="CK25" s="18"/>
      <c r="CL25" s="18"/>
      <c r="CM25" s="18"/>
      <c r="CN25" s="37">
        <v>44960</v>
      </c>
      <c r="CO25" s="38">
        <v>20391.91</v>
      </c>
      <c r="CP25" s="17"/>
      <c r="CQ25" s="37">
        <v>44960</v>
      </c>
      <c r="CR25" s="38">
        <v>1417</v>
      </c>
      <c r="CS25" s="18"/>
      <c r="CT25" s="18"/>
      <c r="CU25" s="18"/>
      <c r="CV25" s="18"/>
      <c r="CW25" s="18"/>
      <c r="CX25" s="18"/>
      <c r="CY25" s="37">
        <v>44795</v>
      </c>
      <c r="CZ25" s="38">
        <v>16.897300000000001</v>
      </c>
      <c r="DA25" s="18"/>
      <c r="DB25" s="37">
        <v>44795</v>
      </c>
      <c r="DC25" s="38">
        <v>17.630099999999999</v>
      </c>
      <c r="DD25" s="18"/>
      <c r="DE25" s="37">
        <v>44795</v>
      </c>
      <c r="DF25" s="38">
        <v>17.0032</v>
      </c>
      <c r="DG25" s="18"/>
      <c r="DH25" s="37">
        <v>44795</v>
      </c>
      <c r="DI25" s="38">
        <v>20.005800000000001</v>
      </c>
      <c r="DJ25" s="18"/>
      <c r="DK25" s="37">
        <v>44795</v>
      </c>
      <c r="DL25" s="38">
        <v>0.1236</v>
      </c>
      <c r="DM25" s="18"/>
      <c r="DN25" s="18"/>
      <c r="DO25" s="18"/>
      <c r="DP25" s="18"/>
      <c r="DQ25" s="18"/>
      <c r="DR25" s="18"/>
      <c r="DS25" s="18"/>
      <c r="DT25" s="18"/>
      <c r="DU25" s="18"/>
      <c r="DV25" s="18"/>
      <c r="DW25" s="18"/>
      <c r="DX25" s="18"/>
      <c r="DY25" s="18"/>
      <c r="DZ25" s="18"/>
    </row>
    <row r="26" spans="1:130" ht="15" customHeight="1" x14ac:dyDescent="0.3">
      <c r="A26" s="45"/>
      <c r="B26" s="42" t="str">
        <f>"Average Price (for ratios): "&amp;$C$18</f>
        <v>Average Price (for ratios): ZAR</v>
      </c>
      <c r="C26" s="43">
        <f t="shared" ref="C26:M26" ca="1" si="6">IF(C$25="-","-",AVERAGE(OFFSET($CD$10,MATCH(C25,$CC$11:$CC$205,1),0,-12,1)))</f>
        <v>15.102499999999999</v>
      </c>
      <c r="D26" s="43">
        <f t="shared" ca="1" si="6"/>
        <v>14.288333333333332</v>
      </c>
      <c r="E26" s="43">
        <f t="shared" ca="1" si="6"/>
        <v>16.025833333333335</v>
      </c>
      <c r="F26" s="43">
        <f t="shared" ca="1" si="6"/>
        <v>21.795833333333334</v>
      </c>
      <c r="G26" s="43">
        <f t="shared" ca="1" si="6"/>
        <v>26.742500000000003</v>
      </c>
      <c r="H26" s="43">
        <f t="shared" ca="1" si="6"/>
        <v>28.255833333333339</v>
      </c>
      <c r="I26" s="55">
        <f t="shared" ca="1" si="6"/>
        <v>34.173333333333332</v>
      </c>
      <c r="J26" s="55">
        <f t="shared" ca="1" si="6"/>
        <v>38.724166666666669</v>
      </c>
      <c r="K26" s="55">
        <f t="shared" ca="1" si="6"/>
        <v>26.789166666666663</v>
      </c>
      <c r="L26" s="55">
        <f t="shared" ca="1" si="6"/>
        <v>21.019166666666667</v>
      </c>
      <c r="M26" s="56">
        <f t="shared" ca="1" si="6"/>
        <v>14.906666666666668</v>
      </c>
      <c r="N26" s="227"/>
      <c r="O26" s="17"/>
      <c r="P26" s="17"/>
      <c r="Q26" s="17"/>
      <c r="R26" s="17"/>
      <c r="S26" s="17"/>
      <c r="T26" s="17"/>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37">
        <v>40694</v>
      </c>
      <c r="BR26" s="38">
        <v>20629.0173</v>
      </c>
      <c r="BS26" s="17"/>
      <c r="BT26" s="37">
        <v>40694</v>
      </c>
      <c r="BU26" s="38">
        <v>1430</v>
      </c>
      <c r="BV26" s="18"/>
      <c r="BW26" s="37"/>
      <c r="BX26" s="38"/>
      <c r="BY26" s="18"/>
      <c r="BZ26" s="39">
        <f t="shared" si="0"/>
        <v>40694</v>
      </c>
      <c r="CA26" s="40">
        <f t="shared" si="1"/>
        <v>20629.0173</v>
      </c>
      <c r="CB26" s="17"/>
      <c r="CC26" s="39">
        <f t="shared" si="2"/>
        <v>40694</v>
      </c>
      <c r="CD26" s="40">
        <f t="shared" si="3"/>
        <v>14.3</v>
      </c>
      <c r="CE26" s="18"/>
      <c r="CF26" s="18"/>
      <c r="CG26" s="18"/>
      <c r="CH26" s="18"/>
      <c r="CI26" s="18"/>
      <c r="CJ26" s="18"/>
      <c r="CK26" s="18"/>
      <c r="CL26" s="18"/>
      <c r="CM26" s="18"/>
      <c r="CN26" s="37">
        <v>44963</v>
      </c>
      <c r="CO26" s="38">
        <v>20463.86</v>
      </c>
      <c r="CP26" s="17"/>
      <c r="CQ26" s="37">
        <v>44963</v>
      </c>
      <c r="CR26" s="38">
        <v>1422</v>
      </c>
      <c r="CS26" s="18"/>
      <c r="CT26" s="18"/>
      <c r="CU26" s="18"/>
      <c r="CV26" s="18"/>
      <c r="CW26" s="18"/>
      <c r="CX26" s="18"/>
      <c r="CY26" s="37">
        <v>44796</v>
      </c>
      <c r="CZ26" s="38">
        <v>16.940999999999999</v>
      </c>
      <c r="DA26" s="18"/>
      <c r="DB26" s="37">
        <v>44796</v>
      </c>
      <c r="DC26" s="38">
        <v>17.6218</v>
      </c>
      <c r="DD26" s="18"/>
      <c r="DE26" s="37">
        <v>44796</v>
      </c>
      <c r="DF26" s="38">
        <v>16.9986</v>
      </c>
      <c r="DG26" s="18"/>
      <c r="DH26" s="37">
        <v>44796</v>
      </c>
      <c r="DI26" s="38">
        <v>20.107199999999999</v>
      </c>
      <c r="DJ26" s="18"/>
      <c r="DK26" s="37">
        <v>44796</v>
      </c>
      <c r="DL26" s="38">
        <v>0.12429999999999999</v>
      </c>
      <c r="DM26" s="18"/>
      <c r="DN26" s="18"/>
      <c r="DO26" s="18"/>
      <c r="DP26" s="18"/>
      <c r="DQ26" s="18"/>
      <c r="DR26" s="18"/>
      <c r="DS26" s="18"/>
      <c r="DT26" s="18"/>
      <c r="DU26" s="18"/>
      <c r="DV26" s="18"/>
      <c r="DW26" s="18"/>
      <c r="DX26" s="18"/>
      <c r="DY26" s="18"/>
      <c r="DZ26" s="18"/>
    </row>
    <row r="27" spans="1:130" ht="15" customHeight="1" x14ac:dyDescent="0.3">
      <c r="A27" s="57"/>
      <c r="B27" s="58" t="str">
        <f>"Average Market Cap (for ratios): "&amp;$C$18</f>
        <v>Average Market Cap (for ratios): ZAR</v>
      </c>
      <c r="C27" s="59">
        <f t="shared" ref="C27:M27" ca="1" si="7">IF(C$25="-","-",AVERAGE(OFFSET($CA$10,MATCH(C25,$BZ$11:$BZ$205,1),0,-12,1)))</f>
        <v>21733.856366666663</v>
      </c>
      <c r="D27" s="59">
        <f t="shared" ca="1" si="7"/>
        <v>20562.197725000002</v>
      </c>
      <c r="E27" s="59">
        <f t="shared" ca="1" si="7"/>
        <v>23102.055958333338</v>
      </c>
      <c r="F27" s="59">
        <f t="shared" ca="1" si="7"/>
        <v>31808.173000000006</v>
      </c>
      <c r="G27" s="59">
        <f t="shared" ca="1" si="7"/>
        <v>39301.960849999996</v>
      </c>
      <c r="H27" s="59">
        <f t="shared" ca="1" si="7"/>
        <v>41326.168233333337</v>
      </c>
      <c r="I27" s="60">
        <f t="shared" ca="1" si="7"/>
        <v>49908.159658333323</v>
      </c>
      <c r="J27" s="60">
        <f t="shared" ca="1" si="7"/>
        <v>57050.528308333342</v>
      </c>
      <c r="K27" s="60">
        <f t="shared" ca="1" si="7"/>
        <v>39559.327891666668</v>
      </c>
      <c r="L27" s="60">
        <f t="shared" ca="1" si="7"/>
        <v>30859.875283333331</v>
      </c>
      <c r="M27" s="61">
        <f t="shared" ca="1" si="7"/>
        <v>21636.320408333329</v>
      </c>
      <c r="N27" s="227"/>
      <c r="O27" s="17"/>
      <c r="P27" s="17"/>
      <c r="Q27" s="17"/>
      <c r="R27" s="17"/>
      <c r="S27" s="17"/>
      <c r="T27" s="17"/>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37">
        <v>40724</v>
      </c>
      <c r="BR27" s="38">
        <v>21641.079699999998</v>
      </c>
      <c r="BS27" s="17"/>
      <c r="BT27" s="37">
        <v>40724</v>
      </c>
      <c r="BU27" s="38">
        <v>1500</v>
      </c>
      <c r="BV27" s="18"/>
      <c r="BW27" s="37"/>
      <c r="BX27" s="38"/>
      <c r="BY27" s="18"/>
      <c r="BZ27" s="39">
        <f t="shared" si="0"/>
        <v>40724</v>
      </c>
      <c r="CA27" s="40">
        <f t="shared" si="1"/>
        <v>21641.079699999998</v>
      </c>
      <c r="CB27" s="17"/>
      <c r="CC27" s="39">
        <f t="shared" si="2"/>
        <v>40724</v>
      </c>
      <c r="CD27" s="40">
        <f t="shared" si="3"/>
        <v>15</v>
      </c>
      <c r="CE27" s="18"/>
      <c r="CF27" s="18"/>
      <c r="CG27" s="18"/>
      <c r="CH27" s="18"/>
      <c r="CI27" s="18"/>
      <c r="CJ27" s="18"/>
      <c r="CK27" s="18"/>
      <c r="CL27" s="18"/>
      <c r="CM27" s="18"/>
      <c r="CN27" s="37">
        <v>44964</v>
      </c>
      <c r="CO27" s="38">
        <v>20391.91</v>
      </c>
      <c r="CP27" s="17"/>
      <c r="CQ27" s="37">
        <v>44964</v>
      </c>
      <c r="CR27" s="38">
        <v>1417</v>
      </c>
      <c r="CS27" s="18"/>
      <c r="CT27" s="18"/>
      <c r="CU27" s="18"/>
      <c r="CV27" s="18"/>
      <c r="CW27" s="18"/>
      <c r="CX27" s="18"/>
      <c r="CY27" s="37">
        <v>44797</v>
      </c>
      <c r="CZ27" s="38">
        <v>16.893000000000001</v>
      </c>
      <c r="DA27" s="18"/>
      <c r="DB27" s="37">
        <v>44797</v>
      </c>
      <c r="DC27" s="38">
        <v>17.5349</v>
      </c>
      <c r="DD27" s="18"/>
      <c r="DE27" s="37">
        <v>44797</v>
      </c>
      <c r="DF27" s="38">
        <v>16.951899999999998</v>
      </c>
      <c r="DG27" s="18"/>
      <c r="DH27" s="37">
        <v>44797</v>
      </c>
      <c r="DI27" s="38">
        <v>19.983699999999999</v>
      </c>
      <c r="DJ27" s="18"/>
      <c r="DK27" s="37">
        <v>44797</v>
      </c>
      <c r="DL27" s="38">
        <v>0.1236</v>
      </c>
      <c r="DM27" s="18"/>
      <c r="DN27" s="18"/>
      <c r="DO27" s="18"/>
      <c r="DP27" s="18"/>
      <c r="DQ27" s="18"/>
      <c r="DR27" s="18"/>
      <c r="DS27" s="18"/>
      <c r="DT27" s="18"/>
      <c r="DU27" s="18"/>
      <c r="DV27" s="18"/>
      <c r="DW27" s="18"/>
      <c r="DX27" s="18"/>
      <c r="DY27" s="18"/>
      <c r="DZ27" s="18"/>
    </row>
    <row r="28" spans="1:130" ht="15" customHeight="1" x14ac:dyDescent="0.3">
      <c r="A28" s="16"/>
      <c r="B28" s="16"/>
      <c r="C28" s="62"/>
      <c r="D28" s="62"/>
      <c r="E28" s="62"/>
      <c r="F28" s="62"/>
      <c r="G28" s="62"/>
      <c r="H28" s="62"/>
      <c r="I28" s="62"/>
      <c r="J28" s="62"/>
      <c r="K28" s="62"/>
      <c r="L28" s="62"/>
      <c r="M28" s="62"/>
      <c r="N28" s="227"/>
      <c r="O28" s="17"/>
      <c r="P28" s="17"/>
      <c r="Q28" s="17"/>
      <c r="R28" s="17"/>
      <c r="S28" s="17"/>
      <c r="T28" s="17"/>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37">
        <v>40753</v>
      </c>
      <c r="BR28" s="38">
        <v>20951.512299999999</v>
      </c>
      <c r="BS28" s="17"/>
      <c r="BT28" s="37">
        <v>40753</v>
      </c>
      <c r="BU28" s="38">
        <v>1450</v>
      </c>
      <c r="BV28" s="18"/>
      <c r="BW28" s="37"/>
      <c r="BX28" s="38"/>
      <c r="BY28" s="18"/>
      <c r="BZ28" s="39">
        <f t="shared" si="0"/>
        <v>40753</v>
      </c>
      <c r="CA28" s="40">
        <f t="shared" si="1"/>
        <v>20951.512299999999</v>
      </c>
      <c r="CB28" s="17"/>
      <c r="CC28" s="39">
        <f t="shared" si="2"/>
        <v>40753</v>
      </c>
      <c r="CD28" s="40">
        <f t="shared" si="3"/>
        <v>14.5</v>
      </c>
      <c r="CE28" s="18"/>
      <c r="CF28" s="18"/>
      <c r="CG28" s="18"/>
      <c r="CH28" s="18"/>
      <c r="CI28" s="18"/>
      <c r="CJ28" s="18"/>
      <c r="CK28" s="18"/>
      <c r="CL28" s="18"/>
      <c r="CM28" s="18"/>
      <c r="CN28" s="37">
        <v>44965</v>
      </c>
      <c r="CO28" s="38">
        <v>19773.099999999999</v>
      </c>
      <c r="CP28" s="17"/>
      <c r="CQ28" s="37">
        <v>44965</v>
      </c>
      <c r="CR28" s="38">
        <v>1374</v>
      </c>
      <c r="CS28" s="18"/>
      <c r="CT28" s="18"/>
      <c r="CU28" s="18"/>
      <c r="CV28" s="18"/>
      <c r="CW28" s="18"/>
      <c r="CX28" s="18"/>
      <c r="CY28" s="37">
        <v>44798</v>
      </c>
      <c r="CZ28" s="38">
        <v>16.689399999999999</v>
      </c>
      <c r="DA28" s="18"/>
      <c r="DB28" s="37">
        <v>44798</v>
      </c>
      <c r="DC28" s="38">
        <v>17.3736</v>
      </c>
      <c r="DD28" s="18"/>
      <c r="DE28" s="37">
        <v>44798</v>
      </c>
      <c r="DF28" s="38">
        <v>16.738700000000001</v>
      </c>
      <c r="DG28" s="18"/>
      <c r="DH28" s="37">
        <v>44798</v>
      </c>
      <c r="DI28" s="38">
        <v>19.7971</v>
      </c>
      <c r="DJ28" s="18"/>
      <c r="DK28" s="37">
        <v>44798</v>
      </c>
      <c r="DL28" s="38">
        <v>0.1226</v>
      </c>
      <c r="DM28" s="18"/>
      <c r="DN28" s="18"/>
      <c r="DO28" s="18"/>
      <c r="DP28" s="18"/>
      <c r="DQ28" s="18"/>
      <c r="DR28" s="18"/>
      <c r="DS28" s="18"/>
      <c r="DT28" s="18"/>
      <c r="DU28" s="18"/>
      <c r="DV28" s="18"/>
      <c r="DW28" s="18"/>
      <c r="DX28" s="18"/>
      <c r="DY28" s="18"/>
      <c r="DZ28" s="18"/>
    </row>
    <row r="29" spans="1:130" ht="15" customHeight="1" x14ac:dyDescent="0.3">
      <c r="A29" s="16"/>
      <c r="B29" s="16"/>
      <c r="C29" s="62"/>
      <c r="D29" s="62"/>
      <c r="E29" s="62"/>
      <c r="F29" s="62"/>
      <c r="G29" s="62"/>
      <c r="H29" s="62"/>
      <c r="I29" s="62"/>
      <c r="J29" s="62"/>
      <c r="K29" s="62"/>
      <c r="L29" s="62"/>
      <c r="M29" s="62"/>
      <c r="N29" s="227"/>
      <c r="O29" s="17"/>
      <c r="P29" s="17"/>
      <c r="Q29" s="17"/>
      <c r="R29" s="17"/>
      <c r="S29" s="17"/>
      <c r="T29" s="17"/>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37">
        <v>40786</v>
      </c>
      <c r="BR29" s="38">
        <v>19506.580399999999</v>
      </c>
      <c r="BS29" s="17"/>
      <c r="BT29" s="37">
        <v>40786</v>
      </c>
      <c r="BU29" s="38">
        <v>1350</v>
      </c>
      <c r="BV29" s="18"/>
      <c r="BW29" s="37"/>
      <c r="BX29" s="38"/>
      <c r="BY29" s="18"/>
      <c r="BZ29" s="39">
        <f t="shared" si="0"/>
        <v>40786</v>
      </c>
      <c r="CA29" s="40">
        <f t="shared" si="1"/>
        <v>19506.580399999999</v>
      </c>
      <c r="CB29" s="17"/>
      <c r="CC29" s="39">
        <f t="shared" si="2"/>
        <v>40786</v>
      </c>
      <c r="CD29" s="40">
        <f t="shared" si="3"/>
        <v>13.5</v>
      </c>
      <c r="CE29" s="18"/>
      <c r="CF29" s="18"/>
      <c r="CG29" s="18"/>
      <c r="CH29" s="18"/>
      <c r="CI29" s="18"/>
      <c r="CJ29" s="18"/>
      <c r="CK29" s="18"/>
      <c r="CL29" s="18"/>
      <c r="CM29" s="18"/>
      <c r="CN29" s="37">
        <v>44966</v>
      </c>
      <c r="CO29" s="38">
        <v>19773.099999999999</v>
      </c>
      <c r="CP29" s="17"/>
      <c r="CQ29" s="37">
        <v>44966</v>
      </c>
      <c r="CR29" s="38">
        <v>1374</v>
      </c>
      <c r="CS29" s="18"/>
      <c r="CT29" s="18"/>
      <c r="CU29" s="18"/>
      <c r="CV29" s="18"/>
      <c r="CW29" s="18"/>
      <c r="CX29" s="18"/>
      <c r="CY29" s="37">
        <v>44799</v>
      </c>
      <c r="CZ29" s="38">
        <v>16.834800000000001</v>
      </c>
      <c r="DA29" s="18"/>
      <c r="DB29" s="37">
        <v>44799</v>
      </c>
      <c r="DC29" s="38">
        <v>17.475000000000001</v>
      </c>
      <c r="DD29" s="18"/>
      <c r="DE29" s="37">
        <v>44799</v>
      </c>
      <c r="DF29" s="38">
        <v>16.884899999999998</v>
      </c>
      <c r="DG29" s="18"/>
      <c r="DH29" s="37">
        <v>44799</v>
      </c>
      <c r="DI29" s="38">
        <v>19.813400000000001</v>
      </c>
      <c r="DJ29" s="18"/>
      <c r="DK29" s="37">
        <v>44799</v>
      </c>
      <c r="DL29" s="38">
        <v>0.12280000000000001</v>
      </c>
      <c r="DM29" s="18"/>
      <c r="DN29" s="18"/>
      <c r="DO29" s="18"/>
      <c r="DP29" s="18"/>
      <c r="DQ29" s="18"/>
      <c r="DR29" s="18"/>
      <c r="DS29" s="18"/>
      <c r="DT29" s="18"/>
      <c r="DU29" s="18"/>
      <c r="DV29" s="18"/>
      <c r="DW29" s="18"/>
      <c r="DX29" s="18"/>
      <c r="DY29" s="18"/>
      <c r="DZ29" s="18"/>
    </row>
    <row r="30" spans="1:130" ht="15" customHeight="1" x14ac:dyDescent="0.3">
      <c r="A30" s="16"/>
      <c r="B30" s="16"/>
      <c r="C30" s="62"/>
      <c r="D30" s="62"/>
      <c r="E30" s="62"/>
      <c r="F30" s="62"/>
      <c r="G30" s="62"/>
      <c r="H30" s="62"/>
      <c r="I30" s="62"/>
      <c r="J30" s="62"/>
      <c r="K30" s="62"/>
      <c r="L30" s="62"/>
      <c r="M30" s="62"/>
      <c r="N30" s="227"/>
      <c r="O30" s="17"/>
      <c r="P30" s="17"/>
      <c r="Q30" s="17"/>
      <c r="R30" s="17"/>
      <c r="S30" s="17"/>
      <c r="T30" s="17"/>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37">
        <v>40816</v>
      </c>
      <c r="BR30" s="38">
        <v>18876.691200000001</v>
      </c>
      <c r="BS30" s="17"/>
      <c r="BT30" s="37">
        <v>40816</v>
      </c>
      <c r="BU30" s="38">
        <v>1305</v>
      </c>
      <c r="BV30" s="18"/>
      <c r="BW30" s="37"/>
      <c r="BX30" s="38"/>
      <c r="BY30" s="18"/>
      <c r="BZ30" s="39">
        <f t="shared" si="0"/>
        <v>40816</v>
      </c>
      <c r="CA30" s="40">
        <f t="shared" si="1"/>
        <v>18876.691200000001</v>
      </c>
      <c r="CB30" s="17"/>
      <c r="CC30" s="39">
        <f t="shared" si="2"/>
        <v>40816</v>
      </c>
      <c r="CD30" s="40">
        <f t="shared" si="3"/>
        <v>13.05</v>
      </c>
      <c r="CE30" s="18"/>
      <c r="CF30" s="18"/>
      <c r="CG30" s="18"/>
      <c r="CH30" s="18"/>
      <c r="CI30" s="18"/>
      <c r="CJ30" s="18"/>
      <c r="CK30" s="18"/>
      <c r="CL30" s="18"/>
      <c r="CM30" s="18"/>
      <c r="CN30" s="37">
        <v>44967</v>
      </c>
      <c r="CO30" s="38">
        <v>19787.490000000002</v>
      </c>
      <c r="CP30" s="17"/>
      <c r="CQ30" s="37">
        <v>44967</v>
      </c>
      <c r="CR30" s="38">
        <v>1375</v>
      </c>
      <c r="CS30" s="18"/>
      <c r="CT30" s="18"/>
      <c r="CU30" s="18"/>
      <c r="CV30" s="18"/>
      <c r="CW30" s="18"/>
      <c r="CX30" s="18"/>
      <c r="CY30" s="37">
        <v>44802</v>
      </c>
      <c r="CZ30" s="38">
        <v>16.8718</v>
      </c>
      <c r="DA30" s="18"/>
      <c r="DB30" s="37">
        <v>44802</v>
      </c>
      <c r="DC30" s="38">
        <v>17.415600000000001</v>
      </c>
      <c r="DD30" s="18"/>
      <c r="DE30" s="37">
        <v>44802</v>
      </c>
      <c r="DF30" s="38">
        <v>16.851700000000001</v>
      </c>
      <c r="DG30" s="18"/>
      <c r="DH30" s="37">
        <v>44802</v>
      </c>
      <c r="DI30" s="38">
        <v>19.745999999999999</v>
      </c>
      <c r="DJ30" s="18"/>
      <c r="DK30" s="37">
        <v>44802</v>
      </c>
      <c r="DL30" s="38">
        <v>0.1215</v>
      </c>
      <c r="DM30" s="18"/>
      <c r="DN30" s="18"/>
      <c r="DO30" s="18"/>
      <c r="DP30" s="18"/>
      <c r="DQ30" s="18"/>
      <c r="DR30" s="18"/>
      <c r="DS30" s="18"/>
      <c r="DT30" s="18"/>
      <c r="DU30" s="18"/>
      <c r="DV30" s="18"/>
      <c r="DW30" s="18"/>
      <c r="DX30" s="18"/>
      <c r="DY30" s="18"/>
      <c r="DZ30" s="18"/>
    </row>
    <row r="31" spans="1:130" ht="15" customHeight="1" thickBot="1" x14ac:dyDescent="0.35">
      <c r="A31" s="16"/>
      <c r="B31" s="16"/>
      <c r="C31" s="62"/>
      <c r="D31" s="62"/>
      <c r="E31" s="62"/>
      <c r="F31" s="62"/>
      <c r="G31" s="62"/>
      <c r="H31" s="62"/>
      <c r="I31" s="62"/>
      <c r="J31" s="62"/>
      <c r="K31" s="62"/>
      <c r="L31" s="62"/>
      <c r="M31" s="62"/>
      <c r="N31" s="227"/>
      <c r="O31" s="17"/>
      <c r="P31" s="17"/>
      <c r="Q31" s="17"/>
      <c r="R31" s="17"/>
      <c r="S31" s="17"/>
      <c r="T31" s="17"/>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37">
        <v>40847</v>
      </c>
      <c r="BR31" s="38">
        <v>20106.2075</v>
      </c>
      <c r="BS31" s="17"/>
      <c r="BT31" s="37">
        <v>40847</v>
      </c>
      <c r="BU31" s="38">
        <v>1390</v>
      </c>
      <c r="BV31" s="18"/>
      <c r="BW31" s="37"/>
      <c r="BX31" s="38"/>
      <c r="BY31" s="18"/>
      <c r="BZ31" s="39">
        <f t="shared" si="0"/>
        <v>40847</v>
      </c>
      <c r="CA31" s="40">
        <f t="shared" si="1"/>
        <v>20106.2075</v>
      </c>
      <c r="CB31" s="17"/>
      <c r="CC31" s="39">
        <f t="shared" si="2"/>
        <v>40847</v>
      </c>
      <c r="CD31" s="40">
        <f t="shared" si="3"/>
        <v>13.9</v>
      </c>
      <c r="CE31" s="18"/>
      <c r="CF31" s="18"/>
      <c r="CG31" s="18"/>
      <c r="CH31" s="18"/>
      <c r="CI31" s="18"/>
      <c r="CJ31" s="18"/>
      <c r="CK31" s="18"/>
      <c r="CL31" s="18"/>
      <c r="CM31" s="18"/>
      <c r="CN31" s="37">
        <v>44970</v>
      </c>
      <c r="CO31" s="38">
        <v>20147.259999999998</v>
      </c>
      <c r="CP31" s="17"/>
      <c r="CQ31" s="37">
        <v>44970</v>
      </c>
      <c r="CR31" s="38">
        <v>1400</v>
      </c>
      <c r="CS31" s="18"/>
      <c r="CT31" s="18"/>
      <c r="CU31" s="18"/>
      <c r="CV31" s="18"/>
      <c r="CW31" s="18"/>
      <c r="CX31" s="18"/>
      <c r="CY31" s="37">
        <v>44803</v>
      </c>
      <c r="CZ31" s="38">
        <v>17.026499999999999</v>
      </c>
      <c r="DA31" s="18"/>
      <c r="DB31" s="37">
        <v>44803</v>
      </c>
      <c r="DC31" s="38">
        <v>17.425799999999999</v>
      </c>
      <c r="DD31" s="18"/>
      <c r="DE31" s="37">
        <v>44803</v>
      </c>
      <c r="DF31" s="38">
        <v>16.986599999999999</v>
      </c>
      <c r="DG31" s="18"/>
      <c r="DH31" s="37">
        <v>44803</v>
      </c>
      <c r="DI31" s="38">
        <v>19.793500000000002</v>
      </c>
      <c r="DJ31" s="18"/>
      <c r="DK31" s="37">
        <v>44803</v>
      </c>
      <c r="DL31" s="38">
        <v>0.12239999999999999</v>
      </c>
      <c r="DM31" s="18"/>
      <c r="DN31" s="18"/>
      <c r="DO31" s="18"/>
      <c r="DP31" s="18"/>
      <c r="DQ31" s="18"/>
      <c r="DR31" s="18"/>
      <c r="DS31" s="18"/>
      <c r="DT31" s="18"/>
      <c r="DU31" s="18"/>
      <c r="DV31" s="18"/>
      <c r="DW31" s="18"/>
      <c r="DX31" s="18"/>
      <c r="DY31" s="18"/>
      <c r="DZ31" s="18"/>
    </row>
    <row r="32" spans="1:130" ht="15" customHeight="1" x14ac:dyDescent="0.3">
      <c r="A32" s="63"/>
      <c r="B32" s="64" t="s">
        <v>186</v>
      </c>
      <c r="C32" s="65"/>
      <c r="D32" s="65"/>
      <c r="E32" s="65"/>
      <c r="F32" s="65"/>
      <c r="G32" s="65"/>
      <c r="H32" s="65"/>
      <c r="I32" s="65"/>
      <c r="J32" s="65"/>
      <c r="K32" s="65"/>
      <c r="L32" s="65"/>
      <c r="M32" s="66"/>
      <c r="N32" s="227"/>
      <c r="O32" s="17"/>
      <c r="P32" s="17"/>
      <c r="Q32" s="17"/>
      <c r="R32" s="17"/>
      <c r="S32" s="17"/>
      <c r="T32" s="17"/>
      <c r="U32" s="18"/>
      <c r="V32" s="18"/>
      <c r="W32" s="18"/>
      <c r="X32" s="18"/>
      <c r="Y32" s="18"/>
      <c r="Z32" s="18"/>
      <c r="AA32" s="18"/>
      <c r="AB32" s="18"/>
      <c r="AC32" s="18"/>
      <c r="AD32" s="18"/>
      <c r="AE32" s="18"/>
      <c r="AF32" s="18"/>
      <c r="AG32" s="18"/>
      <c r="AH32" s="18"/>
      <c r="AI32" s="18"/>
      <c r="AJ32" s="18"/>
      <c r="AK32" s="18"/>
      <c r="AL32" s="18"/>
      <c r="AM32" s="18"/>
      <c r="AN32" s="18"/>
      <c r="AO32" s="18"/>
      <c r="AP32" s="67" t="s">
        <v>186</v>
      </c>
      <c r="AQ32" s="68"/>
      <c r="AR32" s="68"/>
      <c r="AS32" s="68"/>
      <c r="AT32" s="68"/>
      <c r="AU32" s="68"/>
      <c r="AV32" s="68"/>
      <c r="AW32" s="68"/>
      <c r="AX32" s="68"/>
      <c r="AY32" s="68"/>
      <c r="AZ32" s="68"/>
      <c r="BA32" s="69"/>
      <c r="BB32" s="18"/>
      <c r="BC32" s="18"/>
      <c r="BD32" s="67" t="s">
        <v>462</v>
      </c>
      <c r="BE32" s="70"/>
      <c r="BF32" s="70"/>
      <c r="BG32" s="70"/>
      <c r="BH32" s="70"/>
      <c r="BI32" s="70"/>
      <c r="BJ32" s="71"/>
      <c r="BK32" s="18"/>
      <c r="BL32" s="18"/>
      <c r="BM32" s="18"/>
      <c r="BN32" s="18"/>
      <c r="BO32" s="18"/>
      <c r="BP32" s="18"/>
      <c r="BQ32" s="37">
        <v>40877</v>
      </c>
      <c r="BR32" s="38">
        <v>18887.929899999999</v>
      </c>
      <c r="BS32" s="17"/>
      <c r="BT32" s="37">
        <v>40877</v>
      </c>
      <c r="BU32" s="38">
        <v>1305</v>
      </c>
      <c r="BV32" s="18"/>
      <c r="BW32" s="37"/>
      <c r="BX32" s="38"/>
      <c r="BY32" s="18"/>
      <c r="BZ32" s="39">
        <f t="shared" si="0"/>
        <v>40877</v>
      </c>
      <c r="CA32" s="40">
        <f t="shared" si="1"/>
        <v>18887.929899999999</v>
      </c>
      <c r="CB32" s="17"/>
      <c r="CC32" s="39">
        <f t="shared" si="2"/>
        <v>40877</v>
      </c>
      <c r="CD32" s="40">
        <f t="shared" si="3"/>
        <v>13.05</v>
      </c>
      <c r="CE32" s="18"/>
      <c r="CF32" s="18"/>
      <c r="CG32" s="18"/>
      <c r="CH32" s="18"/>
      <c r="CI32" s="18"/>
      <c r="CJ32" s="18"/>
      <c r="CK32" s="18"/>
      <c r="CL32" s="18"/>
      <c r="CM32" s="18"/>
      <c r="CN32" s="37">
        <v>44971</v>
      </c>
      <c r="CO32" s="38">
        <v>20233.61</v>
      </c>
      <c r="CP32" s="17"/>
      <c r="CQ32" s="37">
        <v>44971</v>
      </c>
      <c r="CR32" s="38">
        <v>1406</v>
      </c>
      <c r="CS32" s="18"/>
      <c r="CT32" s="18"/>
      <c r="CU32" s="18"/>
      <c r="CV32" s="18"/>
      <c r="CW32" s="18"/>
      <c r="CX32" s="18"/>
      <c r="CY32" s="37">
        <v>44804</v>
      </c>
      <c r="CZ32" s="38">
        <v>17.204899999999999</v>
      </c>
      <c r="DA32" s="18"/>
      <c r="DB32" s="37">
        <v>44804</v>
      </c>
      <c r="DC32" s="38">
        <v>17.504100000000001</v>
      </c>
      <c r="DD32" s="18"/>
      <c r="DE32" s="37">
        <v>44804</v>
      </c>
      <c r="DF32" s="38">
        <v>17.143599999999999</v>
      </c>
      <c r="DG32" s="18"/>
      <c r="DH32" s="37">
        <v>44804</v>
      </c>
      <c r="DI32" s="38">
        <v>19.8749</v>
      </c>
      <c r="DJ32" s="18"/>
      <c r="DK32" s="37">
        <v>44804</v>
      </c>
      <c r="DL32" s="38">
        <v>0.123</v>
      </c>
      <c r="DM32" s="18"/>
      <c r="DN32" s="18"/>
      <c r="DO32" s="18"/>
      <c r="DP32" s="18"/>
      <c r="DQ32" s="18"/>
      <c r="DR32" s="18"/>
      <c r="DS32" s="18"/>
      <c r="DT32" s="18"/>
      <c r="DU32" s="18"/>
      <c r="DV32" s="18"/>
      <c r="DW32" s="18"/>
      <c r="DX32" s="18"/>
      <c r="DY32" s="18"/>
      <c r="DZ32" s="18"/>
    </row>
    <row r="33" spans="1:130" ht="15" customHeight="1" x14ac:dyDescent="0.3">
      <c r="A33" s="72"/>
      <c r="B33" s="73"/>
      <c r="C33" s="74"/>
      <c r="D33" s="74"/>
      <c r="E33" s="74"/>
      <c r="F33" s="74"/>
      <c r="G33" s="74"/>
      <c r="H33" s="74"/>
      <c r="I33" s="74"/>
      <c r="J33" s="74"/>
      <c r="K33" s="74"/>
      <c r="L33" s="74"/>
      <c r="M33" s="75"/>
      <c r="N33" s="227"/>
      <c r="O33" s="17"/>
      <c r="P33" s="17"/>
      <c r="Q33" s="17"/>
      <c r="R33" s="17"/>
      <c r="S33" s="17"/>
      <c r="T33" s="17"/>
      <c r="U33" s="18"/>
      <c r="V33" s="18"/>
      <c r="W33" s="18"/>
      <c r="X33" s="18"/>
      <c r="Y33" s="18"/>
      <c r="Z33" s="18"/>
      <c r="AA33" s="18"/>
      <c r="AB33" s="18"/>
      <c r="AC33" s="18"/>
      <c r="AD33" s="18"/>
      <c r="AE33" s="76" t="s">
        <v>468</v>
      </c>
      <c r="AF33" s="18"/>
      <c r="AG33" s="18"/>
      <c r="AH33" s="18"/>
      <c r="AI33" s="18"/>
      <c r="AJ33" s="18"/>
      <c r="AK33" s="18"/>
      <c r="AL33" s="18"/>
      <c r="AM33" s="18"/>
      <c r="AN33" s="18"/>
      <c r="AO33" s="18"/>
      <c r="AP33" s="77"/>
      <c r="AQ33" s="18"/>
      <c r="AR33" s="18"/>
      <c r="AS33" s="18"/>
      <c r="AT33" s="18"/>
      <c r="AU33" s="18"/>
      <c r="AV33" s="18"/>
      <c r="AW33" s="18"/>
      <c r="AX33" s="18"/>
      <c r="AY33" s="18"/>
      <c r="AZ33" s="18"/>
      <c r="BA33" s="78"/>
      <c r="BB33" s="18"/>
      <c r="BC33" s="18"/>
      <c r="BD33" s="79"/>
      <c r="BE33" s="80"/>
      <c r="BF33" s="81" t="s">
        <v>463</v>
      </c>
      <c r="BG33" s="81" t="s">
        <v>464</v>
      </c>
      <c r="BH33" s="81"/>
      <c r="BI33" s="80"/>
      <c r="BJ33" s="82"/>
      <c r="BK33" s="18"/>
      <c r="BL33" s="18"/>
      <c r="BM33" s="18"/>
      <c r="BN33" s="18"/>
      <c r="BO33" s="18"/>
      <c r="BP33" s="18"/>
      <c r="BQ33" s="37">
        <v>40907</v>
      </c>
      <c r="BR33" s="38">
        <v>19466.870299999999</v>
      </c>
      <c r="BS33" s="17"/>
      <c r="BT33" s="37">
        <v>40907</v>
      </c>
      <c r="BU33" s="38">
        <v>1345</v>
      </c>
      <c r="BV33" s="18"/>
      <c r="BW33" s="37"/>
      <c r="BX33" s="38"/>
      <c r="BY33" s="18"/>
      <c r="BZ33" s="39">
        <f t="shared" si="0"/>
        <v>40907</v>
      </c>
      <c r="CA33" s="40">
        <f t="shared" si="1"/>
        <v>19466.870299999999</v>
      </c>
      <c r="CB33" s="17"/>
      <c r="CC33" s="39">
        <f t="shared" si="2"/>
        <v>40907</v>
      </c>
      <c r="CD33" s="40">
        <f t="shared" si="3"/>
        <v>13.450000000000001</v>
      </c>
      <c r="CE33" s="18"/>
      <c r="CF33" s="18"/>
      <c r="CG33" s="18"/>
      <c r="CH33" s="18"/>
      <c r="CI33" s="18"/>
      <c r="CJ33" s="18"/>
      <c r="CK33" s="18"/>
      <c r="CL33" s="18"/>
      <c r="CM33" s="18"/>
      <c r="CN33" s="37">
        <v>44972</v>
      </c>
      <c r="CO33" s="38">
        <v>21169.01</v>
      </c>
      <c r="CP33" s="17"/>
      <c r="CQ33" s="37">
        <v>44972</v>
      </c>
      <c r="CR33" s="38">
        <v>1471</v>
      </c>
      <c r="CS33" s="18"/>
      <c r="CT33" s="18"/>
      <c r="CU33" s="18"/>
      <c r="CV33" s="18"/>
      <c r="CW33" s="18"/>
      <c r="CX33" s="18"/>
      <c r="CY33" s="37">
        <v>44805</v>
      </c>
      <c r="CZ33" s="38">
        <v>17.1844</v>
      </c>
      <c r="DA33" s="18"/>
      <c r="DB33" s="37">
        <v>44805</v>
      </c>
      <c r="DC33" s="38">
        <v>17.5975</v>
      </c>
      <c r="DD33" s="18"/>
      <c r="DE33" s="37">
        <v>44805</v>
      </c>
      <c r="DF33" s="38">
        <v>17.265599999999999</v>
      </c>
      <c r="DG33" s="18"/>
      <c r="DH33" s="37">
        <v>44805</v>
      </c>
      <c r="DI33" s="38">
        <v>19.9374</v>
      </c>
      <c r="DJ33" s="18"/>
      <c r="DK33" s="37">
        <v>44805</v>
      </c>
      <c r="DL33" s="38">
        <v>0.12330000000000001</v>
      </c>
      <c r="DM33" s="18"/>
      <c r="DN33" s="18"/>
      <c r="DO33" s="18"/>
      <c r="DP33" s="18"/>
      <c r="DQ33" s="18"/>
      <c r="DR33" s="18"/>
      <c r="DS33" s="18"/>
      <c r="DT33" s="18"/>
      <c r="DU33" s="18"/>
      <c r="DV33" s="18"/>
      <c r="DW33" s="18"/>
      <c r="DX33" s="18"/>
      <c r="DY33" s="18"/>
      <c r="DZ33" s="18"/>
    </row>
    <row r="34" spans="1:130" ht="15" customHeight="1" x14ac:dyDescent="0.3">
      <c r="A34" s="72" t="s">
        <v>344</v>
      </c>
      <c r="B34" s="73" t="s">
        <v>345</v>
      </c>
      <c r="C34" s="48">
        <v>2022</v>
      </c>
      <c r="D34" s="48">
        <v>2021</v>
      </c>
      <c r="E34" s="48">
        <v>2020</v>
      </c>
      <c r="F34" s="48">
        <v>2019</v>
      </c>
      <c r="G34" s="48">
        <v>2018</v>
      </c>
      <c r="H34" s="48">
        <v>2017</v>
      </c>
      <c r="I34" s="48">
        <v>2016</v>
      </c>
      <c r="J34" s="48">
        <v>2015</v>
      </c>
      <c r="K34" s="48">
        <v>2014</v>
      </c>
      <c r="L34" s="48">
        <v>2013</v>
      </c>
      <c r="M34" s="49">
        <v>2012</v>
      </c>
      <c r="N34" s="227"/>
      <c r="O34" s="17"/>
      <c r="P34" s="17"/>
      <c r="Q34" s="17"/>
      <c r="R34" s="17"/>
      <c r="S34" s="17"/>
      <c r="T34" s="17"/>
      <c r="U34" s="18"/>
      <c r="V34" s="18"/>
      <c r="W34" s="18"/>
      <c r="X34" s="18"/>
      <c r="Y34" s="18"/>
      <c r="Z34" s="18"/>
      <c r="AA34" s="18"/>
      <c r="AB34" s="18"/>
      <c r="AC34" s="18"/>
      <c r="AD34" s="18"/>
      <c r="AE34" s="18"/>
      <c r="AF34" s="76">
        <f t="shared" ref="AF34:AM34" si="8">C34</f>
        <v>2022</v>
      </c>
      <c r="AG34" s="76">
        <f t="shared" si="8"/>
        <v>2021</v>
      </c>
      <c r="AH34" s="76">
        <f t="shared" si="8"/>
        <v>2020</v>
      </c>
      <c r="AI34" s="76">
        <f t="shared" si="8"/>
        <v>2019</v>
      </c>
      <c r="AJ34" s="76">
        <f t="shared" si="8"/>
        <v>2018</v>
      </c>
      <c r="AK34" s="76">
        <f t="shared" si="8"/>
        <v>2017</v>
      </c>
      <c r="AL34" s="76">
        <f t="shared" si="8"/>
        <v>2016</v>
      </c>
      <c r="AM34" s="76">
        <f t="shared" si="8"/>
        <v>2015</v>
      </c>
      <c r="AN34" s="18"/>
      <c r="AO34" s="18"/>
      <c r="AP34" s="77"/>
      <c r="AQ34" s="76" t="str">
        <f>_xll.BDH($B$10,"SALES_REV_TURN","-10FY","","Per=fy","Days=W","Fill=E","Curr=","DtFmt=P","Sort=D","Dts=S","Dir=H","FILING_STATUS,EQY_CONSOLIDATED","MR,","cols=11;rows=2")</f>
        <v>FY1 2022</v>
      </c>
      <c r="AR34" s="76" t="s">
        <v>1921</v>
      </c>
      <c r="AS34" s="76" t="s">
        <v>1821</v>
      </c>
      <c r="AT34" s="76" t="s">
        <v>1812</v>
      </c>
      <c r="AU34" s="76" t="s">
        <v>1813</v>
      </c>
      <c r="AV34" s="76" t="s">
        <v>1814</v>
      </c>
      <c r="AW34" s="76" t="s">
        <v>1815</v>
      </c>
      <c r="AX34" s="76" t="s">
        <v>1816</v>
      </c>
      <c r="AY34" s="76" t="s">
        <v>1817</v>
      </c>
      <c r="AZ34" s="76" t="s">
        <v>1818</v>
      </c>
      <c r="BA34" s="83" t="s">
        <v>1819</v>
      </c>
      <c r="BB34" s="18"/>
      <c r="BC34" s="18"/>
      <c r="BD34" s="84" t="s">
        <v>465</v>
      </c>
      <c r="BE34" s="80"/>
      <c r="BF34" s="80"/>
      <c r="BG34" s="80"/>
      <c r="BH34" s="80"/>
      <c r="BI34" s="80"/>
      <c r="BJ34" s="82"/>
      <c r="BK34" s="18"/>
      <c r="BL34" s="18"/>
      <c r="BM34" s="18"/>
      <c r="BN34" s="18"/>
      <c r="BO34" s="18"/>
      <c r="BP34" s="18"/>
      <c r="BQ34" s="37">
        <v>40939</v>
      </c>
      <c r="BR34" s="38">
        <v>19651.312999999998</v>
      </c>
      <c r="BS34" s="17"/>
      <c r="BT34" s="37">
        <v>40939</v>
      </c>
      <c r="BU34" s="38">
        <v>1357</v>
      </c>
      <c r="BV34" s="18"/>
      <c r="BW34" s="37"/>
      <c r="BX34" s="38"/>
      <c r="BY34" s="18"/>
      <c r="BZ34" s="39">
        <f t="shared" si="0"/>
        <v>40939</v>
      </c>
      <c r="CA34" s="40">
        <f t="shared" si="1"/>
        <v>19651.312999999998</v>
      </c>
      <c r="CB34" s="17"/>
      <c r="CC34" s="39">
        <f t="shared" si="2"/>
        <v>40939</v>
      </c>
      <c r="CD34" s="40">
        <f t="shared" si="3"/>
        <v>13.57</v>
      </c>
      <c r="CE34" s="18"/>
      <c r="CF34" s="18"/>
      <c r="CG34" s="18"/>
      <c r="CH34" s="18"/>
      <c r="CI34" s="18"/>
      <c r="CJ34" s="18"/>
      <c r="CK34" s="18"/>
      <c r="CL34" s="18"/>
      <c r="CM34" s="18"/>
      <c r="CN34" s="37"/>
      <c r="CO34" s="38"/>
      <c r="CP34" s="17"/>
      <c r="CQ34" s="37"/>
      <c r="CR34" s="38"/>
      <c r="CS34" s="18"/>
      <c r="CT34" s="18"/>
      <c r="CU34" s="18"/>
      <c r="CV34" s="18"/>
      <c r="CW34" s="18"/>
      <c r="CX34" s="18"/>
      <c r="CY34" s="37">
        <v>44806</v>
      </c>
      <c r="CZ34" s="38">
        <v>17.232099999999999</v>
      </c>
      <c r="DA34" s="18"/>
      <c r="DB34" s="37">
        <v>44806</v>
      </c>
      <c r="DC34" s="38">
        <v>17.631799999999998</v>
      </c>
      <c r="DD34" s="18"/>
      <c r="DE34" s="37">
        <v>44806</v>
      </c>
      <c r="DF34" s="38">
        <v>17.305</v>
      </c>
      <c r="DG34" s="18"/>
      <c r="DH34" s="37">
        <v>44806</v>
      </c>
      <c r="DI34" s="38">
        <v>19.9072</v>
      </c>
      <c r="DJ34" s="18"/>
      <c r="DK34" s="37">
        <v>44806</v>
      </c>
      <c r="DL34" s="38">
        <v>0.12330000000000001</v>
      </c>
      <c r="DM34" s="18"/>
      <c r="DN34" s="18"/>
      <c r="DO34" s="18"/>
      <c r="DP34" s="18"/>
      <c r="DQ34" s="18"/>
      <c r="DR34" s="18"/>
      <c r="DS34" s="18"/>
      <c r="DT34" s="18"/>
      <c r="DU34" s="18"/>
      <c r="DV34" s="18"/>
      <c r="DW34" s="18"/>
      <c r="DX34" s="18"/>
      <c r="DY34" s="18"/>
      <c r="DZ34" s="18"/>
    </row>
    <row r="35" spans="1:130" ht="15" customHeight="1" x14ac:dyDescent="0.3">
      <c r="A35" s="30" t="s">
        <v>408</v>
      </c>
      <c r="B35" s="73" t="s">
        <v>37</v>
      </c>
      <c r="C35" s="74">
        <v>21636</v>
      </c>
      <c r="D35" s="74">
        <v>21200</v>
      </c>
      <c r="E35" s="74">
        <v>18843</v>
      </c>
      <c r="F35" s="74">
        <v>21589</v>
      </c>
      <c r="G35" s="74">
        <v>20717</v>
      </c>
      <c r="H35" s="74">
        <v>19114</v>
      </c>
      <c r="I35" s="74">
        <v>37796</v>
      </c>
      <c r="J35" s="74">
        <v>33711</v>
      </c>
      <c r="K35" s="74">
        <v>31783</v>
      </c>
      <c r="L35" s="74">
        <v>27382</v>
      </c>
      <c r="M35" s="75">
        <v>25174</v>
      </c>
      <c r="N35" s="227"/>
      <c r="O35" s="17"/>
      <c r="P35" s="17"/>
      <c r="Q35" s="17"/>
      <c r="R35" s="17"/>
      <c r="S35" s="17"/>
      <c r="T35" s="17"/>
      <c r="U35" s="18"/>
      <c r="V35" s="18"/>
      <c r="W35" s="18"/>
      <c r="X35" s="18"/>
      <c r="Y35" s="18"/>
      <c r="Z35" s="18"/>
      <c r="AA35" s="18"/>
      <c r="AB35" s="18"/>
      <c r="AC35" s="18"/>
      <c r="AD35" s="18"/>
      <c r="AE35" s="85" t="str">
        <f t="shared" ref="AE35:AE41" si="9">B35</f>
        <v>Turnover</v>
      </c>
      <c r="AF35" s="85">
        <f t="shared" ref="AF35:AM41" si="10">C35-AQ35</f>
        <v>0</v>
      </c>
      <c r="AG35" s="85">
        <f t="shared" si="10"/>
        <v>0</v>
      </c>
      <c r="AH35" s="85">
        <f t="shared" si="10"/>
        <v>0</v>
      </c>
      <c r="AI35" s="85">
        <f t="shared" si="10"/>
        <v>0</v>
      </c>
      <c r="AJ35" s="85">
        <f t="shared" si="10"/>
        <v>0</v>
      </c>
      <c r="AK35" s="85">
        <f t="shared" si="10"/>
        <v>0</v>
      </c>
      <c r="AL35" s="85">
        <f t="shared" si="10"/>
        <v>0</v>
      </c>
      <c r="AM35" s="85">
        <f t="shared" si="10"/>
        <v>0</v>
      </c>
      <c r="AN35" s="18"/>
      <c r="AO35" s="18"/>
      <c r="AP35" s="77" t="s">
        <v>37</v>
      </c>
      <c r="AQ35" s="18">
        <v>21636</v>
      </c>
      <c r="AR35" s="18">
        <v>21200</v>
      </c>
      <c r="AS35" s="18">
        <v>18843</v>
      </c>
      <c r="AT35" s="18">
        <v>21589</v>
      </c>
      <c r="AU35" s="18">
        <v>20717</v>
      </c>
      <c r="AV35" s="18">
        <v>19114</v>
      </c>
      <c r="AW35" s="18">
        <v>37796</v>
      </c>
      <c r="AX35" s="18">
        <v>33711</v>
      </c>
      <c r="AY35" s="18">
        <v>31783</v>
      </c>
      <c r="AZ35" s="18">
        <v>27382</v>
      </c>
      <c r="BA35" s="78">
        <v>25174</v>
      </c>
      <c r="BB35" s="18"/>
      <c r="BC35" s="18"/>
      <c r="BD35" s="84" t="s">
        <v>466</v>
      </c>
      <c r="BE35" s="80"/>
      <c r="BF35" s="80"/>
      <c r="BG35" s="80"/>
      <c r="BH35" s="80"/>
      <c r="BI35" s="80"/>
      <c r="BJ35" s="82"/>
      <c r="BK35" s="18"/>
      <c r="BL35" s="18"/>
      <c r="BM35" s="18"/>
      <c r="BN35" s="18"/>
      <c r="BO35" s="18"/>
      <c r="BP35" s="18"/>
      <c r="BQ35" s="37">
        <v>40968</v>
      </c>
      <c r="BR35" s="38">
        <v>19914.124</v>
      </c>
      <c r="BS35" s="17"/>
      <c r="BT35" s="37">
        <v>40968</v>
      </c>
      <c r="BU35" s="38">
        <v>1375</v>
      </c>
      <c r="BV35" s="18"/>
      <c r="BW35" s="37"/>
      <c r="BX35" s="38"/>
      <c r="BY35" s="18"/>
      <c r="BZ35" s="39">
        <f t="shared" si="0"/>
        <v>40968</v>
      </c>
      <c r="CA35" s="40">
        <f t="shared" si="1"/>
        <v>19914.124</v>
      </c>
      <c r="CB35" s="17"/>
      <c r="CC35" s="39">
        <f t="shared" si="2"/>
        <v>40968</v>
      </c>
      <c r="CD35" s="40">
        <f t="shared" si="3"/>
        <v>13.75</v>
      </c>
      <c r="CE35" s="18"/>
      <c r="CF35" s="18"/>
      <c r="CG35" s="18"/>
      <c r="CH35" s="18"/>
      <c r="CI35" s="18"/>
      <c r="CJ35" s="18"/>
      <c r="CK35" s="18"/>
      <c r="CL35" s="18"/>
      <c r="CM35" s="18"/>
      <c r="CN35" s="37"/>
      <c r="CO35" s="38"/>
      <c r="CP35" s="17"/>
      <c r="CQ35" s="37"/>
      <c r="CR35" s="38"/>
      <c r="CS35" s="18"/>
      <c r="CT35" s="18"/>
      <c r="CU35" s="18"/>
      <c r="CV35" s="18"/>
      <c r="CW35" s="18"/>
      <c r="CX35" s="18"/>
      <c r="CY35" s="37">
        <v>44809</v>
      </c>
      <c r="CZ35" s="38">
        <v>17.091100000000001</v>
      </c>
      <c r="DA35" s="18"/>
      <c r="DB35" s="37">
        <v>44809</v>
      </c>
      <c r="DC35" s="38">
        <v>17.550699999999999</v>
      </c>
      <c r="DD35" s="18"/>
      <c r="DE35" s="37">
        <v>44809</v>
      </c>
      <c r="DF35" s="38">
        <v>17.1736</v>
      </c>
      <c r="DG35" s="18"/>
      <c r="DH35" s="37">
        <v>44809</v>
      </c>
      <c r="DI35" s="38">
        <v>19.863299999999999</v>
      </c>
      <c r="DJ35" s="18"/>
      <c r="DK35" s="37">
        <v>44809</v>
      </c>
      <c r="DL35" s="38">
        <v>0.12230000000000001</v>
      </c>
      <c r="DM35" s="18"/>
      <c r="DN35" s="18"/>
      <c r="DO35" s="18"/>
      <c r="DP35" s="18"/>
      <c r="DQ35" s="18"/>
      <c r="DR35" s="18"/>
      <c r="DS35" s="18"/>
      <c r="DT35" s="18"/>
      <c r="DU35" s="18"/>
      <c r="DV35" s="18"/>
      <c r="DW35" s="18"/>
      <c r="DX35" s="18"/>
      <c r="DY35" s="18"/>
      <c r="DZ35" s="18"/>
    </row>
    <row r="36" spans="1:130" ht="15" customHeight="1" x14ac:dyDescent="0.3">
      <c r="A36" s="30" t="s">
        <v>410</v>
      </c>
      <c r="B36" s="73" t="s">
        <v>431</v>
      </c>
      <c r="C36" s="74">
        <v>11085</v>
      </c>
      <c r="D36" s="74">
        <v>10748</v>
      </c>
      <c r="E36" s="74">
        <v>9810</v>
      </c>
      <c r="F36" s="74">
        <v>10653</v>
      </c>
      <c r="G36" s="74">
        <v>10364</v>
      </c>
      <c r="H36" s="74">
        <v>9661</v>
      </c>
      <c r="I36" s="74">
        <v>21312</v>
      </c>
      <c r="J36" s="74">
        <v>18948</v>
      </c>
      <c r="K36" s="74">
        <v>18227</v>
      </c>
      <c r="L36" s="74">
        <v>15568</v>
      </c>
      <c r="M36" s="75">
        <v>14567</v>
      </c>
      <c r="N36" s="227"/>
      <c r="O36" s="17"/>
      <c r="P36" s="17"/>
      <c r="Q36" s="17"/>
      <c r="R36" s="17"/>
      <c r="S36" s="17"/>
      <c r="T36" s="17"/>
      <c r="U36" s="18"/>
      <c r="V36" s="18"/>
      <c r="W36" s="18"/>
      <c r="X36" s="18"/>
      <c r="Y36" s="18"/>
      <c r="Z36" s="18"/>
      <c r="AA36" s="18"/>
      <c r="AB36" s="18"/>
      <c r="AC36" s="18"/>
      <c r="AD36" s="18"/>
      <c r="AE36" s="85" t="str">
        <f t="shared" si="9"/>
        <v>Cost of sales</v>
      </c>
      <c r="AF36" s="85">
        <f t="shared" si="10"/>
        <v>0</v>
      </c>
      <c r="AG36" s="85">
        <f t="shared" si="10"/>
        <v>0</v>
      </c>
      <c r="AH36" s="85">
        <f t="shared" si="10"/>
        <v>0</v>
      </c>
      <c r="AI36" s="85">
        <f t="shared" si="10"/>
        <v>0</v>
      </c>
      <c r="AJ36" s="85">
        <f t="shared" si="10"/>
        <v>0</v>
      </c>
      <c r="AK36" s="85">
        <f t="shared" si="10"/>
        <v>0</v>
      </c>
      <c r="AL36" s="85">
        <f t="shared" si="10"/>
        <v>0</v>
      </c>
      <c r="AM36" s="85">
        <f t="shared" si="10"/>
        <v>0</v>
      </c>
      <c r="AN36" s="18"/>
      <c r="AO36" s="18"/>
      <c r="AP36" s="77" t="s">
        <v>431</v>
      </c>
      <c r="AQ36" s="86">
        <f>_xll.BDH($B$10,"IS_COGS_TO_FE_AND_PP_AND_G","-10FY","","Per=fy","Days=W","Fill=E","Curr=","DtFmt=P","Sort=D","Dts=H","Dir=H","FILING_STATUS,EQY_CONSOLIDATED","MR,","cols=11;rows=1")</f>
        <v>11085</v>
      </c>
      <c r="AR36" s="86">
        <v>10748</v>
      </c>
      <c r="AS36" s="86">
        <v>9810</v>
      </c>
      <c r="AT36" s="86">
        <v>10653</v>
      </c>
      <c r="AU36" s="86">
        <v>10364</v>
      </c>
      <c r="AV36" s="86">
        <v>9661</v>
      </c>
      <c r="AW36" s="86">
        <v>21312</v>
      </c>
      <c r="AX36" s="86">
        <v>18948</v>
      </c>
      <c r="AY36" s="86">
        <v>18227</v>
      </c>
      <c r="AZ36" s="86">
        <v>15568</v>
      </c>
      <c r="BA36" s="87">
        <v>14567</v>
      </c>
      <c r="BB36" s="18"/>
      <c r="BC36" s="18"/>
      <c r="BD36" s="84" t="s">
        <v>467</v>
      </c>
      <c r="BE36" s="88" t="str">
        <f>$B$10</f>
        <v>NTC SJ Equity</v>
      </c>
      <c r="BF36" s="89">
        <f>_xll.BDP(BE36,"CRNCY_ADJ_PX_LAST","EQY_FUND_CRNCY",BE37)</f>
        <v>13.52</v>
      </c>
      <c r="BG36" s="89">
        <f>_xll.BDP(BE36,"CUR_MKT_CAP","CRNCY",BE37)/1000000</f>
        <v>19456.496921679998</v>
      </c>
      <c r="BH36" s="89"/>
      <c r="BI36" s="18"/>
      <c r="BJ36" s="83"/>
      <c r="BK36" s="18"/>
      <c r="BL36" s="18"/>
      <c r="BM36" s="18"/>
      <c r="BN36" s="18"/>
      <c r="BO36" s="18"/>
      <c r="BP36" s="18"/>
      <c r="BQ36" s="37">
        <v>40998</v>
      </c>
      <c r="BR36" s="38">
        <v>20609.308000000001</v>
      </c>
      <c r="BS36" s="17"/>
      <c r="BT36" s="37">
        <v>40998</v>
      </c>
      <c r="BU36" s="38">
        <v>1423</v>
      </c>
      <c r="BV36" s="18"/>
      <c r="BW36" s="37"/>
      <c r="BX36" s="38"/>
      <c r="BY36" s="18"/>
      <c r="BZ36" s="39">
        <f t="shared" si="0"/>
        <v>40998</v>
      </c>
      <c r="CA36" s="40">
        <f t="shared" si="1"/>
        <v>20609.308000000001</v>
      </c>
      <c r="CB36" s="17"/>
      <c r="CC36" s="39">
        <f t="shared" si="2"/>
        <v>40998</v>
      </c>
      <c r="CD36" s="40">
        <f t="shared" si="3"/>
        <v>14.23</v>
      </c>
      <c r="CE36" s="18"/>
      <c r="CF36" s="18"/>
      <c r="CG36" s="18"/>
      <c r="CH36" s="18"/>
      <c r="CI36" s="18"/>
      <c r="CJ36" s="18"/>
      <c r="CK36" s="18"/>
      <c r="CL36" s="18"/>
      <c r="CM36" s="18"/>
      <c r="CN36" s="37"/>
      <c r="CO36" s="38"/>
      <c r="CP36" s="17"/>
      <c r="CQ36" s="37"/>
      <c r="CR36" s="38"/>
      <c r="CS36" s="18"/>
      <c r="CT36" s="18"/>
      <c r="CU36" s="18"/>
      <c r="CV36" s="18"/>
      <c r="CW36" s="18"/>
      <c r="CX36" s="18"/>
      <c r="CY36" s="37">
        <v>44810</v>
      </c>
      <c r="CZ36" s="38">
        <v>17.1358</v>
      </c>
      <c r="DA36" s="18"/>
      <c r="DB36" s="37">
        <v>44810</v>
      </c>
      <c r="DC36" s="38">
        <v>17.581499999999998</v>
      </c>
      <c r="DD36" s="18"/>
      <c r="DE36" s="37">
        <v>44810</v>
      </c>
      <c r="DF36" s="38">
        <v>17.313700000000001</v>
      </c>
      <c r="DG36" s="18"/>
      <c r="DH36" s="37">
        <v>44810</v>
      </c>
      <c r="DI36" s="38">
        <v>19.930700000000002</v>
      </c>
      <c r="DJ36" s="18"/>
      <c r="DK36" s="37">
        <v>44810</v>
      </c>
      <c r="DL36" s="38">
        <v>0.12089999999999999</v>
      </c>
      <c r="DM36" s="18"/>
      <c r="DN36" s="18"/>
      <c r="DO36" s="18"/>
      <c r="DP36" s="18"/>
      <c r="DQ36" s="18"/>
      <c r="DR36" s="18"/>
      <c r="DS36" s="18"/>
      <c r="DT36" s="18"/>
      <c r="DU36" s="18"/>
      <c r="DV36" s="18"/>
      <c r="DW36" s="18"/>
      <c r="DX36" s="18"/>
      <c r="DY36" s="18"/>
      <c r="DZ36" s="18"/>
    </row>
    <row r="37" spans="1:130" ht="15" customHeight="1" x14ac:dyDescent="0.3">
      <c r="A37" s="30" t="s">
        <v>145</v>
      </c>
      <c r="B37" s="90" t="s">
        <v>432</v>
      </c>
      <c r="C37" s="91">
        <v>10551</v>
      </c>
      <c r="D37" s="91">
        <v>10452</v>
      </c>
      <c r="E37" s="91">
        <v>9033</v>
      </c>
      <c r="F37" s="91">
        <v>10936</v>
      </c>
      <c r="G37" s="91">
        <v>10353</v>
      </c>
      <c r="H37" s="91">
        <v>9453</v>
      </c>
      <c r="I37" s="91">
        <v>16484</v>
      </c>
      <c r="J37" s="91">
        <v>14763</v>
      </c>
      <c r="K37" s="91">
        <v>13556</v>
      </c>
      <c r="L37" s="91">
        <v>11814</v>
      </c>
      <c r="M37" s="92">
        <v>10607</v>
      </c>
      <c r="N37" s="227"/>
      <c r="O37" s="17"/>
      <c r="P37" s="17"/>
      <c r="Q37" s="17"/>
      <c r="R37" s="17"/>
      <c r="S37" s="17"/>
      <c r="T37" s="17"/>
      <c r="U37" s="18"/>
      <c r="V37" s="18"/>
      <c r="W37" s="18"/>
      <c r="X37" s="18"/>
      <c r="Y37" s="18"/>
      <c r="Z37" s="18"/>
      <c r="AA37" s="18"/>
      <c r="AB37" s="18"/>
      <c r="AC37" s="18"/>
      <c r="AD37" s="18"/>
      <c r="AE37" s="85" t="str">
        <f t="shared" si="9"/>
        <v>Gross Profit</v>
      </c>
      <c r="AF37" s="85">
        <f t="shared" si="10"/>
        <v>0</v>
      </c>
      <c r="AG37" s="85">
        <f t="shared" si="10"/>
        <v>0</v>
      </c>
      <c r="AH37" s="85">
        <f t="shared" si="10"/>
        <v>0</v>
      </c>
      <c r="AI37" s="85">
        <f t="shared" si="10"/>
        <v>0</v>
      </c>
      <c r="AJ37" s="85">
        <f t="shared" si="10"/>
        <v>0</v>
      </c>
      <c r="AK37" s="85">
        <f t="shared" si="10"/>
        <v>0</v>
      </c>
      <c r="AL37" s="85">
        <f t="shared" si="10"/>
        <v>0</v>
      </c>
      <c r="AM37" s="85">
        <f t="shared" si="10"/>
        <v>0</v>
      </c>
      <c r="AN37" s="18"/>
      <c r="AO37" s="18"/>
      <c r="AP37" s="93" t="s">
        <v>432</v>
      </c>
      <c r="AQ37" s="18">
        <f>_xll.BDH($B$10,"GROSS_PROFIT","-10FY","","Per=fy","Days=W","Fill=E","Curr=","DtFmt=P","Sort=D","Dts=H","Dir=H","FILING_STATUS,EQY_CONSOLIDATED","MR,","cols=11;rows=1")</f>
        <v>10551</v>
      </c>
      <c r="AR37" s="18">
        <v>10452</v>
      </c>
      <c r="AS37" s="18">
        <v>9033</v>
      </c>
      <c r="AT37" s="18">
        <v>10936</v>
      </c>
      <c r="AU37" s="18">
        <v>10353</v>
      </c>
      <c r="AV37" s="18">
        <v>9453</v>
      </c>
      <c r="AW37" s="18">
        <v>16484</v>
      </c>
      <c r="AX37" s="18">
        <v>14763</v>
      </c>
      <c r="AY37" s="18">
        <v>13556</v>
      </c>
      <c r="AZ37" s="18">
        <v>11814</v>
      </c>
      <c r="BA37" s="78">
        <v>10607</v>
      </c>
      <c r="BB37" s="18"/>
      <c r="BC37" s="18"/>
      <c r="BD37" s="84" t="s">
        <v>417</v>
      </c>
      <c r="BE37" s="94" t="s">
        <v>428</v>
      </c>
      <c r="BF37" s="95"/>
      <c r="BG37" s="95"/>
      <c r="BH37" s="95"/>
      <c r="BI37" s="80"/>
      <c r="BJ37" s="82"/>
      <c r="BK37" s="18"/>
      <c r="BL37" s="18"/>
      <c r="BM37" s="18"/>
      <c r="BN37" s="18"/>
      <c r="BO37" s="18"/>
      <c r="BP37" s="18"/>
      <c r="BQ37" s="37">
        <v>41029</v>
      </c>
      <c r="BR37" s="38">
        <v>20391.1636</v>
      </c>
      <c r="BS37" s="17"/>
      <c r="BT37" s="37">
        <v>41029</v>
      </c>
      <c r="BU37" s="38">
        <v>1405</v>
      </c>
      <c r="BV37" s="18"/>
      <c r="BW37" s="37"/>
      <c r="BX37" s="38"/>
      <c r="BY37" s="18"/>
      <c r="BZ37" s="39">
        <f t="shared" si="0"/>
        <v>41029</v>
      </c>
      <c r="CA37" s="40">
        <f t="shared" si="1"/>
        <v>20391.1636</v>
      </c>
      <c r="CB37" s="17"/>
      <c r="CC37" s="39">
        <f t="shared" si="2"/>
        <v>41029</v>
      </c>
      <c r="CD37" s="40">
        <f t="shared" si="3"/>
        <v>14.05</v>
      </c>
      <c r="CE37" s="18"/>
      <c r="CF37" s="18"/>
      <c r="CG37" s="18"/>
      <c r="CH37" s="18"/>
      <c r="CI37" s="18"/>
      <c r="CJ37" s="18"/>
      <c r="CK37" s="18"/>
      <c r="CL37" s="18"/>
      <c r="CM37" s="18"/>
      <c r="CN37" s="37"/>
      <c r="CO37" s="38"/>
      <c r="CP37" s="17"/>
      <c r="CQ37" s="37"/>
      <c r="CR37" s="38"/>
      <c r="CS37" s="18"/>
      <c r="CT37" s="18"/>
      <c r="CU37" s="18"/>
      <c r="CV37" s="18"/>
      <c r="CW37" s="18"/>
      <c r="CX37" s="18"/>
      <c r="CY37" s="37">
        <v>44811</v>
      </c>
      <c r="CZ37" s="38">
        <v>17.269600000000001</v>
      </c>
      <c r="DA37" s="18"/>
      <c r="DB37" s="37">
        <v>44811</v>
      </c>
      <c r="DC37" s="38">
        <v>17.683199999999999</v>
      </c>
      <c r="DD37" s="18"/>
      <c r="DE37" s="37">
        <v>44811</v>
      </c>
      <c r="DF37" s="38">
        <v>17.2728</v>
      </c>
      <c r="DG37" s="18"/>
      <c r="DH37" s="37">
        <v>44811</v>
      </c>
      <c r="DI37" s="38">
        <v>19.901199999999999</v>
      </c>
      <c r="DJ37" s="18"/>
      <c r="DK37" s="37">
        <v>44811</v>
      </c>
      <c r="DL37" s="38">
        <v>0.11990000000000001</v>
      </c>
      <c r="DM37" s="18"/>
      <c r="DN37" s="18"/>
      <c r="DO37" s="18"/>
      <c r="DP37" s="18"/>
      <c r="DQ37" s="18"/>
      <c r="DR37" s="18"/>
      <c r="DS37" s="18"/>
      <c r="DT37" s="18"/>
      <c r="DU37" s="18"/>
      <c r="DV37" s="18"/>
      <c r="DW37" s="18"/>
      <c r="DX37" s="18"/>
      <c r="DY37" s="18"/>
      <c r="DZ37" s="18"/>
    </row>
    <row r="38" spans="1:130" ht="15" customHeight="1" x14ac:dyDescent="0.3">
      <c r="A38" s="30" t="s">
        <v>148</v>
      </c>
      <c r="B38" s="73" t="s">
        <v>433</v>
      </c>
      <c r="C38" s="74">
        <v>435</v>
      </c>
      <c r="D38" s="74">
        <v>330</v>
      </c>
      <c r="E38" s="74">
        <v>386</v>
      </c>
      <c r="F38" s="74">
        <v>446</v>
      </c>
      <c r="G38" s="74">
        <v>511</v>
      </c>
      <c r="H38" s="74">
        <v>460</v>
      </c>
      <c r="I38" s="96">
        <v>457</v>
      </c>
      <c r="J38" s="96">
        <v>498</v>
      </c>
      <c r="K38" s="96">
        <v>350</v>
      </c>
      <c r="L38" s="96">
        <v>306</v>
      </c>
      <c r="M38" s="97">
        <v>288</v>
      </c>
      <c r="N38" s="227"/>
      <c r="O38" s="17"/>
      <c r="P38" s="17"/>
      <c r="Q38" s="17"/>
      <c r="R38" s="17"/>
      <c r="S38" s="17"/>
      <c r="T38" s="17"/>
      <c r="U38" s="18"/>
      <c r="V38" s="18"/>
      <c r="W38" s="18"/>
      <c r="X38" s="18"/>
      <c r="Y38" s="18"/>
      <c r="Z38" s="18"/>
      <c r="AA38" s="18"/>
      <c r="AB38" s="18"/>
      <c r="AC38" s="18"/>
      <c r="AD38" s="18"/>
      <c r="AE38" s="85" t="str">
        <f t="shared" si="9"/>
        <v>Other Operating Revenue</v>
      </c>
      <c r="AF38" s="85">
        <f t="shared" si="10"/>
        <v>0</v>
      </c>
      <c r="AG38" s="85">
        <f t="shared" si="10"/>
        <v>0</v>
      </c>
      <c r="AH38" s="85">
        <f t="shared" si="10"/>
        <v>0</v>
      </c>
      <c r="AI38" s="85">
        <f t="shared" si="10"/>
        <v>0</v>
      </c>
      <c r="AJ38" s="85">
        <f t="shared" si="10"/>
        <v>0</v>
      </c>
      <c r="AK38" s="85">
        <f t="shared" si="10"/>
        <v>0</v>
      </c>
      <c r="AL38" s="85">
        <f t="shared" si="10"/>
        <v>0</v>
      </c>
      <c r="AM38" s="85">
        <f t="shared" si="10"/>
        <v>0</v>
      </c>
      <c r="AN38" s="18"/>
      <c r="AO38" s="18"/>
      <c r="AP38" s="77" t="s">
        <v>433</v>
      </c>
      <c r="AQ38" s="18">
        <f>_xll.BDH($B$10,"IS_OTHER_OPER_INC","-10FY","","Per=fy","Days=W","Fill=E","Curr=","DtFmt=P","Sort=D","Dts=H","Dir=H","FILING_STATUS,EQY_CONSOLIDATED","MR,","cols=11;rows=1")</f>
        <v>435</v>
      </c>
      <c r="AR38" s="18">
        <v>330</v>
      </c>
      <c r="AS38" s="18">
        <v>386</v>
      </c>
      <c r="AT38" s="18">
        <v>446</v>
      </c>
      <c r="AU38" s="18">
        <v>511</v>
      </c>
      <c r="AV38" s="18">
        <v>460</v>
      </c>
      <c r="AW38" s="98">
        <v>457</v>
      </c>
      <c r="AX38" s="98">
        <v>498</v>
      </c>
      <c r="AY38" s="98">
        <v>350</v>
      </c>
      <c r="AZ38" s="98">
        <v>306</v>
      </c>
      <c r="BA38" s="99">
        <v>288</v>
      </c>
      <c r="BB38" s="18"/>
      <c r="BC38" s="18"/>
      <c r="BD38" s="79"/>
      <c r="BE38" s="80"/>
      <c r="BF38" s="80"/>
      <c r="BG38" s="80"/>
      <c r="BH38" s="80"/>
      <c r="BI38" s="80"/>
      <c r="BJ38" s="82"/>
      <c r="BK38" s="18"/>
      <c r="BL38" s="18"/>
      <c r="BM38" s="18"/>
      <c r="BN38" s="18"/>
      <c r="BO38" s="18"/>
      <c r="BP38" s="18"/>
      <c r="BQ38" s="37">
        <v>41060</v>
      </c>
      <c r="BR38" s="38">
        <v>22074.7045</v>
      </c>
      <c r="BS38" s="17"/>
      <c r="BT38" s="37">
        <v>41060</v>
      </c>
      <c r="BU38" s="38">
        <v>1521</v>
      </c>
      <c r="BV38" s="18"/>
      <c r="BW38" s="37"/>
      <c r="BX38" s="38"/>
      <c r="BY38" s="18"/>
      <c r="BZ38" s="39">
        <f t="shared" si="0"/>
        <v>41060</v>
      </c>
      <c r="CA38" s="40">
        <f t="shared" si="1"/>
        <v>22074.7045</v>
      </c>
      <c r="CB38" s="17"/>
      <c r="CC38" s="39">
        <f t="shared" si="2"/>
        <v>41060</v>
      </c>
      <c r="CD38" s="40">
        <f t="shared" si="3"/>
        <v>15.21</v>
      </c>
      <c r="CE38" s="18"/>
      <c r="CF38" s="18"/>
      <c r="CG38" s="18"/>
      <c r="CH38" s="18"/>
      <c r="CI38" s="18"/>
      <c r="CJ38" s="18"/>
      <c r="CK38" s="18"/>
      <c r="CL38" s="18"/>
      <c r="CM38" s="18"/>
      <c r="CN38" s="37"/>
      <c r="CO38" s="38"/>
      <c r="CP38" s="17"/>
      <c r="CQ38" s="37"/>
      <c r="CR38" s="38"/>
      <c r="CS38" s="18"/>
      <c r="CT38" s="18"/>
      <c r="CU38" s="18"/>
      <c r="CV38" s="18"/>
      <c r="CW38" s="18"/>
      <c r="CX38" s="18"/>
      <c r="CY38" s="37">
        <v>44812</v>
      </c>
      <c r="CZ38" s="38">
        <v>17.518899999999999</v>
      </c>
      <c r="DA38" s="18"/>
      <c r="DB38" s="37">
        <v>44812</v>
      </c>
      <c r="DC38" s="38">
        <v>18.063099999999999</v>
      </c>
      <c r="DD38" s="18"/>
      <c r="DE38" s="37">
        <v>44812</v>
      </c>
      <c r="DF38" s="38">
        <v>17.501000000000001</v>
      </c>
      <c r="DG38" s="18"/>
      <c r="DH38" s="37">
        <v>44812</v>
      </c>
      <c r="DI38" s="38">
        <v>20.160699999999999</v>
      </c>
      <c r="DJ38" s="18"/>
      <c r="DK38" s="37">
        <v>44812</v>
      </c>
      <c r="DL38" s="38">
        <v>0.1216</v>
      </c>
      <c r="DM38" s="18"/>
      <c r="DN38" s="18"/>
      <c r="DO38" s="18"/>
      <c r="DP38" s="18"/>
      <c r="DQ38" s="18"/>
      <c r="DR38" s="18"/>
      <c r="DS38" s="18"/>
      <c r="DT38" s="18"/>
      <c r="DU38" s="18"/>
      <c r="DV38" s="18"/>
      <c r="DW38" s="18"/>
      <c r="DX38" s="18"/>
      <c r="DY38" s="18"/>
      <c r="DZ38" s="18"/>
    </row>
    <row r="39" spans="1:130" ht="15" customHeight="1" x14ac:dyDescent="0.3">
      <c r="A39" s="100" t="s">
        <v>430</v>
      </c>
      <c r="B39" s="73" t="s">
        <v>187</v>
      </c>
      <c r="C39" s="74">
        <v>8704</v>
      </c>
      <c r="D39" s="74">
        <v>8706</v>
      </c>
      <c r="E39" s="74">
        <v>7852</v>
      </c>
      <c r="F39" s="74">
        <v>7742</v>
      </c>
      <c r="G39" s="74">
        <v>8922</v>
      </c>
      <c r="H39" s="74">
        <v>6379</v>
      </c>
      <c r="I39" s="74">
        <v>12793</v>
      </c>
      <c r="J39" s="74">
        <v>11533</v>
      </c>
      <c r="K39" s="74">
        <v>10653</v>
      </c>
      <c r="L39" s="74">
        <v>5866</v>
      </c>
      <c r="M39" s="75">
        <v>17856</v>
      </c>
      <c r="N39" s="227"/>
      <c r="O39" s="17"/>
      <c r="P39" s="17"/>
      <c r="Q39" s="17"/>
      <c r="R39" s="17"/>
      <c r="S39" s="17"/>
      <c r="T39" s="17"/>
      <c r="U39" s="18"/>
      <c r="V39" s="18"/>
      <c r="W39" s="18"/>
      <c r="X39" s="18"/>
      <c r="Y39" s="18"/>
      <c r="Z39" s="18"/>
      <c r="AA39" s="18"/>
      <c r="AB39" s="18"/>
      <c r="AC39" s="18"/>
      <c r="AD39" s="18"/>
      <c r="AE39" s="85" t="str">
        <f t="shared" si="9"/>
        <v>Selling, General &amp; Admin Expense</v>
      </c>
      <c r="AF39" s="85">
        <f t="shared" si="10"/>
        <v>0</v>
      </c>
      <c r="AG39" s="85">
        <f t="shared" si="10"/>
        <v>0</v>
      </c>
      <c r="AH39" s="85">
        <f t="shared" si="10"/>
        <v>0</v>
      </c>
      <c r="AI39" s="85">
        <f t="shared" si="10"/>
        <v>0</v>
      </c>
      <c r="AJ39" s="85">
        <f t="shared" si="10"/>
        <v>0</v>
      </c>
      <c r="AK39" s="85">
        <f t="shared" si="10"/>
        <v>0</v>
      </c>
      <c r="AL39" s="85">
        <f t="shared" si="10"/>
        <v>0</v>
      </c>
      <c r="AM39" s="85">
        <f t="shared" si="10"/>
        <v>0</v>
      </c>
      <c r="AN39" s="18"/>
      <c r="AO39" s="18"/>
      <c r="AP39" s="77" t="s">
        <v>187</v>
      </c>
      <c r="AQ39" s="86">
        <f>_xll.BDH($B$10,"IS_SGA_OTHER_OP_DEPR_OP_MAINT","-10FY","","Per=fy","Days=W","Fill=E","Curr=","DtFmt=P","Sort=D","Dts=H","Dir=H","FILING_STATUS,EQY_CONSOLIDATED","MR,","cols=11;rows=1")</f>
        <v>8704</v>
      </c>
      <c r="AR39" s="86">
        <v>8706</v>
      </c>
      <c r="AS39" s="86">
        <v>7852</v>
      </c>
      <c r="AT39" s="86">
        <v>7742</v>
      </c>
      <c r="AU39" s="86">
        <v>8922</v>
      </c>
      <c r="AV39" s="86">
        <v>6379</v>
      </c>
      <c r="AW39" s="86">
        <v>12793</v>
      </c>
      <c r="AX39" s="86">
        <v>11533</v>
      </c>
      <c r="AY39" s="86">
        <v>10653</v>
      </c>
      <c r="AZ39" s="86">
        <v>5866</v>
      </c>
      <c r="BA39" s="87">
        <v>17856</v>
      </c>
      <c r="BB39" s="18"/>
      <c r="BC39" s="18"/>
      <c r="BD39" s="84"/>
      <c r="BE39" s="17"/>
      <c r="BF39" s="17"/>
      <c r="BG39" s="17"/>
      <c r="BH39" s="81"/>
      <c r="BI39" s="80"/>
      <c r="BJ39" s="82"/>
      <c r="BK39" s="18"/>
      <c r="BL39" s="18"/>
      <c r="BM39" s="18"/>
      <c r="BN39" s="18"/>
      <c r="BO39" s="18"/>
      <c r="BP39" s="18"/>
      <c r="BQ39" s="37">
        <v>41089</v>
      </c>
      <c r="BR39" s="38">
        <v>23270.789100000002</v>
      </c>
      <c r="BS39" s="17"/>
      <c r="BT39" s="37">
        <v>41089</v>
      </c>
      <c r="BU39" s="38">
        <v>1600</v>
      </c>
      <c r="BV39" s="18"/>
      <c r="BW39" s="37"/>
      <c r="BX39" s="38"/>
      <c r="BY39" s="18"/>
      <c r="BZ39" s="39">
        <f t="shared" si="0"/>
        <v>41089</v>
      </c>
      <c r="CA39" s="40">
        <f t="shared" si="1"/>
        <v>23270.789100000002</v>
      </c>
      <c r="CB39" s="17"/>
      <c r="CC39" s="39">
        <f t="shared" si="2"/>
        <v>41089</v>
      </c>
      <c r="CD39" s="40">
        <f t="shared" si="3"/>
        <v>16</v>
      </c>
      <c r="CE39" s="18"/>
      <c r="CF39" s="18"/>
      <c r="CG39" s="18"/>
      <c r="CH39" s="18"/>
      <c r="CI39" s="18"/>
      <c r="CJ39" s="18"/>
      <c r="CK39" s="18"/>
      <c r="CL39" s="18"/>
      <c r="CM39" s="18"/>
      <c r="CN39" s="37"/>
      <c r="CO39" s="38"/>
      <c r="CP39" s="17"/>
      <c r="CQ39" s="37"/>
      <c r="CR39" s="38"/>
      <c r="CS39" s="18"/>
      <c r="CT39" s="18"/>
      <c r="CU39" s="18"/>
      <c r="CV39" s="18"/>
      <c r="CW39" s="18"/>
      <c r="CX39" s="18"/>
      <c r="CY39" s="37">
        <v>44813</v>
      </c>
      <c r="CZ39" s="38">
        <v>17.383099999999999</v>
      </c>
      <c r="DA39" s="18"/>
      <c r="DB39" s="37">
        <v>44813</v>
      </c>
      <c r="DC39" s="38">
        <v>18.033899999999999</v>
      </c>
      <c r="DD39" s="18"/>
      <c r="DE39" s="37">
        <v>44813</v>
      </c>
      <c r="DF39" s="38">
        <v>17.3064</v>
      </c>
      <c r="DG39" s="18"/>
      <c r="DH39" s="37">
        <v>44813</v>
      </c>
      <c r="DI39" s="38">
        <v>20.066199999999998</v>
      </c>
      <c r="DJ39" s="18"/>
      <c r="DK39" s="37">
        <v>44813</v>
      </c>
      <c r="DL39" s="38">
        <v>0.12130000000000001</v>
      </c>
      <c r="DM39" s="18"/>
      <c r="DN39" s="18"/>
      <c r="DO39" s="18"/>
      <c r="DP39" s="18"/>
      <c r="DQ39" s="18"/>
      <c r="DR39" s="18"/>
      <c r="DS39" s="18"/>
      <c r="DT39" s="18"/>
      <c r="DU39" s="18"/>
      <c r="DV39" s="18"/>
      <c r="DW39" s="18"/>
      <c r="DX39" s="18"/>
      <c r="DY39" s="18"/>
      <c r="DZ39" s="18"/>
    </row>
    <row r="40" spans="1:130" ht="15" customHeight="1" x14ac:dyDescent="0.3">
      <c r="A40" s="30" t="s">
        <v>147</v>
      </c>
      <c r="B40" s="90" t="s">
        <v>434</v>
      </c>
      <c r="C40" s="91">
        <v>2282</v>
      </c>
      <c r="D40" s="91">
        <v>2076</v>
      </c>
      <c r="E40" s="91">
        <v>1567</v>
      </c>
      <c r="F40" s="91">
        <v>3640</v>
      </c>
      <c r="G40" s="91">
        <v>1942</v>
      </c>
      <c r="H40" s="91">
        <v>3534</v>
      </c>
      <c r="I40" s="91">
        <v>4148</v>
      </c>
      <c r="J40" s="91">
        <v>3728</v>
      </c>
      <c r="K40" s="91">
        <v>3253</v>
      </c>
      <c r="L40" s="91">
        <v>6254</v>
      </c>
      <c r="M40" s="92">
        <v>-6961</v>
      </c>
      <c r="N40" s="227"/>
      <c r="O40" s="17"/>
      <c r="P40" s="17"/>
      <c r="Q40" s="17"/>
      <c r="R40" s="17"/>
      <c r="S40" s="17"/>
      <c r="T40" s="17"/>
      <c r="U40" s="18"/>
      <c r="V40" s="18"/>
      <c r="W40" s="18"/>
      <c r="X40" s="18"/>
      <c r="Y40" s="18"/>
      <c r="Z40" s="18"/>
      <c r="AA40" s="18"/>
      <c r="AB40" s="18"/>
      <c r="AC40" s="18"/>
      <c r="AD40" s="18"/>
      <c r="AE40" s="85" t="str">
        <f t="shared" si="9"/>
        <v>Operating profit (loss)</v>
      </c>
      <c r="AF40" s="85">
        <f t="shared" si="10"/>
        <v>0</v>
      </c>
      <c r="AG40" s="85">
        <f t="shared" si="10"/>
        <v>0</v>
      </c>
      <c r="AH40" s="85">
        <f t="shared" si="10"/>
        <v>0</v>
      </c>
      <c r="AI40" s="85">
        <f t="shared" si="10"/>
        <v>0</v>
      </c>
      <c r="AJ40" s="85">
        <f t="shared" si="10"/>
        <v>0</v>
      </c>
      <c r="AK40" s="85">
        <f t="shared" si="10"/>
        <v>0</v>
      </c>
      <c r="AL40" s="85">
        <f t="shared" si="10"/>
        <v>0</v>
      </c>
      <c r="AM40" s="85">
        <f t="shared" si="10"/>
        <v>0</v>
      </c>
      <c r="AN40" s="18"/>
      <c r="AO40" s="18"/>
      <c r="AP40" s="102" t="s">
        <v>434</v>
      </c>
      <c r="AQ40" s="86">
        <f>_xll.BDH($B$10,"IS_OPER_INC","-10FY","","Per=fy","Days=W","Fill=E","Curr=","DtFmt=P","Sort=D","Dts=H","Dir=H","FILING_STATUS,EQY_CONSOLIDATED","MR,","cols=11;rows=1")</f>
        <v>2282</v>
      </c>
      <c r="AR40" s="86">
        <v>2076</v>
      </c>
      <c r="AS40" s="86">
        <v>1567</v>
      </c>
      <c r="AT40" s="86">
        <v>3640</v>
      </c>
      <c r="AU40" s="86">
        <v>1942</v>
      </c>
      <c r="AV40" s="86">
        <v>3534</v>
      </c>
      <c r="AW40" s="86">
        <v>4148</v>
      </c>
      <c r="AX40" s="86">
        <v>3728</v>
      </c>
      <c r="AY40" s="86">
        <v>3253</v>
      </c>
      <c r="AZ40" s="86">
        <v>6254</v>
      </c>
      <c r="BA40" s="87">
        <v>-6961</v>
      </c>
      <c r="BB40" s="18"/>
      <c r="BC40" s="18"/>
      <c r="BD40" s="84"/>
      <c r="BE40" s="17"/>
      <c r="BF40" s="17"/>
      <c r="BG40" s="17"/>
      <c r="BH40" s="103"/>
      <c r="BI40" s="80"/>
      <c r="BJ40" s="82"/>
      <c r="BK40" s="18"/>
      <c r="BL40" s="18"/>
      <c r="BM40" s="18"/>
      <c r="BN40" s="18"/>
      <c r="BO40" s="18"/>
      <c r="BP40" s="18"/>
      <c r="BQ40" s="37">
        <v>41121</v>
      </c>
      <c r="BR40" s="38">
        <v>23628.516100000001</v>
      </c>
      <c r="BS40" s="17"/>
      <c r="BT40" s="37">
        <v>41121</v>
      </c>
      <c r="BU40" s="38">
        <v>1624</v>
      </c>
      <c r="BV40" s="18"/>
      <c r="BW40" s="37"/>
      <c r="BX40" s="38"/>
      <c r="BY40" s="18"/>
      <c r="BZ40" s="39">
        <f t="shared" si="0"/>
        <v>41121</v>
      </c>
      <c r="CA40" s="40">
        <f t="shared" si="1"/>
        <v>23628.516100000001</v>
      </c>
      <c r="CB40" s="17"/>
      <c r="CC40" s="39">
        <f t="shared" si="2"/>
        <v>41121</v>
      </c>
      <c r="CD40" s="40">
        <f t="shared" si="3"/>
        <v>16.240000000000002</v>
      </c>
      <c r="CE40" s="18"/>
      <c r="CF40" s="18"/>
      <c r="CG40" s="18"/>
      <c r="CH40" s="18"/>
      <c r="CI40" s="18"/>
      <c r="CJ40" s="18"/>
      <c r="CK40" s="18"/>
      <c r="CL40" s="18"/>
      <c r="CM40" s="18"/>
      <c r="CN40" s="37"/>
      <c r="CO40" s="38"/>
      <c r="CP40" s="17"/>
      <c r="CQ40" s="37"/>
      <c r="CR40" s="38"/>
      <c r="CS40" s="18"/>
      <c r="CT40" s="18"/>
      <c r="CU40" s="18"/>
      <c r="CV40" s="18"/>
      <c r="CW40" s="18"/>
      <c r="CX40" s="18"/>
      <c r="CY40" s="37">
        <v>44816</v>
      </c>
      <c r="CZ40" s="38">
        <v>17.327999999999999</v>
      </c>
      <c r="DA40" s="18"/>
      <c r="DB40" s="37">
        <v>44816</v>
      </c>
      <c r="DC40" s="38">
        <v>17.956600000000002</v>
      </c>
      <c r="DD40" s="18"/>
      <c r="DE40" s="37">
        <v>44816</v>
      </c>
      <c r="DF40" s="38">
        <v>17.1097</v>
      </c>
      <c r="DG40" s="18"/>
      <c r="DH40" s="37">
        <v>44816</v>
      </c>
      <c r="DI40" s="38">
        <v>20.0032</v>
      </c>
      <c r="DJ40" s="18"/>
      <c r="DK40" s="37">
        <v>44816</v>
      </c>
      <c r="DL40" s="38">
        <v>0.12</v>
      </c>
      <c r="DM40" s="18"/>
      <c r="DN40" s="18"/>
      <c r="DO40" s="18"/>
      <c r="DP40" s="18"/>
      <c r="DQ40" s="18"/>
      <c r="DR40" s="18"/>
      <c r="DS40" s="18"/>
      <c r="DT40" s="18"/>
      <c r="DU40" s="18"/>
      <c r="DV40" s="18"/>
      <c r="DW40" s="18"/>
      <c r="DX40" s="18"/>
      <c r="DY40" s="18"/>
      <c r="DZ40" s="18"/>
    </row>
    <row r="41" spans="1:130" ht="15" customHeight="1" x14ac:dyDescent="0.3">
      <c r="A41" s="30" t="s">
        <v>149</v>
      </c>
      <c r="B41" s="90" t="s">
        <v>423</v>
      </c>
      <c r="C41" s="91">
        <v>827</v>
      </c>
      <c r="D41" s="91">
        <v>844</v>
      </c>
      <c r="E41" s="91">
        <v>979</v>
      </c>
      <c r="F41" s="91">
        <v>602</v>
      </c>
      <c r="G41" s="91">
        <v>548</v>
      </c>
      <c r="H41" s="91">
        <v>450</v>
      </c>
      <c r="I41" s="91">
        <v>678</v>
      </c>
      <c r="J41" s="91">
        <v>599</v>
      </c>
      <c r="K41" s="91">
        <v>564</v>
      </c>
      <c r="L41" s="91">
        <v>754</v>
      </c>
      <c r="M41" s="92">
        <v>1993</v>
      </c>
      <c r="N41" s="227"/>
      <c r="O41" s="17"/>
      <c r="P41" s="17"/>
      <c r="Q41" s="17"/>
      <c r="R41" s="17"/>
      <c r="S41" s="17"/>
      <c r="T41" s="17"/>
      <c r="U41" s="18"/>
      <c r="V41" s="18"/>
      <c r="W41" s="18"/>
      <c r="X41" s="18"/>
      <c r="Y41" s="18"/>
      <c r="Z41" s="18"/>
      <c r="AA41" s="18"/>
      <c r="AB41" s="18"/>
      <c r="AC41" s="18"/>
      <c r="AD41" s="18"/>
      <c r="AE41" s="85" t="str">
        <f t="shared" si="9"/>
        <v>Interest Expense</v>
      </c>
      <c r="AF41" s="85">
        <f t="shared" si="10"/>
        <v>0</v>
      </c>
      <c r="AG41" s="85">
        <f t="shared" si="10"/>
        <v>0</v>
      </c>
      <c r="AH41" s="85">
        <f t="shared" si="10"/>
        <v>0</v>
      </c>
      <c r="AI41" s="85">
        <f t="shared" si="10"/>
        <v>0</v>
      </c>
      <c r="AJ41" s="85">
        <f t="shared" si="10"/>
        <v>0</v>
      </c>
      <c r="AK41" s="85">
        <f t="shared" si="10"/>
        <v>0</v>
      </c>
      <c r="AL41" s="85">
        <f t="shared" si="10"/>
        <v>0</v>
      </c>
      <c r="AM41" s="85">
        <f t="shared" si="10"/>
        <v>0</v>
      </c>
      <c r="AN41" s="18"/>
      <c r="AO41" s="18"/>
      <c r="AP41" s="77" t="s">
        <v>423</v>
      </c>
      <c r="AQ41" s="18">
        <f>_xll.BDH($B$10,"IS_INT_EXPENSE","-10FY","","Per=fy","Days=W","Fill=E","Curr=","DtFmt=P","Sort=D","Dts=H","Dir=H","FILING_STATUS,EQY_CONSOLIDATED","MR,","cols=11;rows=1")</f>
        <v>827</v>
      </c>
      <c r="AR41" s="18">
        <v>844</v>
      </c>
      <c r="AS41" s="18">
        <v>979</v>
      </c>
      <c r="AT41" s="18">
        <v>602</v>
      </c>
      <c r="AU41" s="18">
        <v>548</v>
      </c>
      <c r="AV41" s="18">
        <v>450</v>
      </c>
      <c r="AW41" s="18">
        <v>678</v>
      </c>
      <c r="AX41" s="18">
        <v>599</v>
      </c>
      <c r="AY41" s="18">
        <v>564</v>
      </c>
      <c r="AZ41" s="18">
        <v>754</v>
      </c>
      <c r="BA41" s="78">
        <v>1993</v>
      </c>
      <c r="BB41" s="18"/>
      <c r="BC41" s="18"/>
      <c r="BD41" s="84"/>
      <c r="BE41" s="17"/>
      <c r="BF41" s="17"/>
      <c r="BG41" s="17"/>
      <c r="BH41" s="103"/>
      <c r="BI41" s="80"/>
      <c r="BJ41" s="82"/>
      <c r="BK41" s="18"/>
      <c r="BL41" s="18"/>
      <c r="BM41" s="18"/>
      <c r="BN41" s="18"/>
      <c r="BO41" s="18"/>
      <c r="BP41" s="18"/>
      <c r="BQ41" s="37">
        <v>41152</v>
      </c>
      <c r="BR41" s="38">
        <v>25534.000700000001</v>
      </c>
      <c r="BS41" s="17"/>
      <c r="BT41" s="37">
        <v>41152</v>
      </c>
      <c r="BU41" s="38">
        <v>1753</v>
      </c>
      <c r="BV41" s="18"/>
      <c r="BW41" s="37"/>
      <c r="BX41" s="38"/>
      <c r="BY41" s="18"/>
      <c r="BZ41" s="39">
        <f t="shared" si="0"/>
        <v>41152</v>
      </c>
      <c r="CA41" s="40">
        <f t="shared" si="1"/>
        <v>25534.000700000001</v>
      </c>
      <c r="CB41" s="17"/>
      <c r="CC41" s="39">
        <f t="shared" si="2"/>
        <v>41152</v>
      </c>
      <c r="CD41" s="40">
        <f t="shared" si="3"/>
        <v>17.53</v>
      </c>
      <c r="CE41" s="18"/>
      <c r="CF41" s="18"/>
      <c r="CG41" s="18"/>
      <c r="CH41" s="18"/>
      <c r="CI41" s="18"/>
      <c r="CJ41" s="18"/>
      <c r="CK41" s="18"/>
      <c r="CL41" s="18"/>
      <c r="CM41" s="18"/>
      <c r="CN41" s="37"/>
      <c r="CO41" s="38"/>
      <c r="CP41" s="17"/>
      <c r="CQ41" s="37"/>
      <c r="CR41" s="38"/>
      <c r="CS41" s="18"/>
      <c r="CT41" s="18"/>
      <c r="CU41" s="18"/>
      <c r="CV41" s="18"/>
      <c r="CW41" s="18"/>
      <c r="CX41" s="18"/>
      <c r="CY41" s="37">
        <v>44817</v>
      </c>
      <c r="CZ41" s="38">
        <v>17.405000000000001</v>
      </c>
      <c r="DA41" s="18"/>
      <c r="DB41" s="37">
        <v>44817</v>
      </c>
      <c r="DC41" s="38">
        <v>18.158799999999999</v>
      </c>
      <c r="DD41" s="18"/>
      <c r="DE41" s="37">
        <v>44817</v>
      </c>
      <c r="DF41" s="38">
        <v>17.443999999999999</v>
      </c>
      <c r="DG41" s="18"/>
      <c r="DH41" s="37">
        <v>44817</v>
      </c>
      <c r="DI41" s="38">
        <v>20.0685</v>
      </c>
      <c r="DJ41" s="18"/>
      <c r="DK41" s="37">
        <v>44817</v>
      </c>
      <c r="DL41" s="38">
        <v>0.1208</v>
      </c>
      <c r="DM41" s="18"/>
      <c r="DN41" s="18"/>
      <c r="DO41" s="18"/>
      <c r="DP41" s="18"/>
      <c r="DQ41" s="18"/>
      <c r="DR41" s="18"/>
      <c r="DS41" s="18"/>
      <c r="DT41" s="18"/>
      <c r="DU41" s="18"/>
      <c r="DV41" s="18"/>
      <c r="DW41" s="18"/>
      <c r="DX41" s="18"/>
      <c r="DY41" s="18"/>
      <c r="DZ41" s="18"/>
    </row>
    <row r="42" spans="1:130" ht="15" customHeight="1" x14ac:dyDescent="0.3">
      <c r="A42" s="30" t="s">
        <v>185</v>
      </c>
      <c r="B42" s="73" t="s">
        <v>38</v>
      </c>
      <c r="C42" s="74">
        <v>115</v>
      </c>
      <c r="D42" s="74">
        <v>116</v>
      </c>
      <c r="E42" s="74">
        <v>156</v>
      </c>
      <c r="F42" s="74">
        <v>172</v>
      </c>
      <c r="G42" s="74">
        <v>271</v>
      </c>
      <c r="H42" s="74">
        <v>343</v>
      </c>
      <c r="I42" s="74">
        <v>339</v>
      </c>
      <c r="J42" s="74">
        <v>290</v>
      </c>
      <c r="K42" s="74">
        <v>143</v>
      </c>
      <c r="L42" s="74">
        <v>230</v>
      </c>
      <c r="M42" s="75">
        <v>185</v>
      </c>
      <c r="N42" s="227"/>
      <c r="O42" s="17"/>
      <c r="P42" s="17"/>
      <c r="Q42" s="17"/>
      <c r="R42" s="17"/>
      <c r="S42" s="17"/>
      <c r="T42" s="17"/>
      <c r="U42" s="18"/>
      <c r="V42" s="18"/>
      <c r="W42" s="18"/>
      <c r="X42" s="18"/>
      <c r="Y42" s="18"/>
      <c r="Z42" s="18"/>
      <c r="AA42" s="18"/>
      <c r="AB42" s="18"/>
      <c r="AC42" s="18"/>
      <c r="AD42" s="18"/>
      <c r="AE42" s="85"/>
      <c r="AF42" s="85"/>
      <c r="AG42" s="85"/>
      <c r="AH42" s="85"/>
      <c r="AI42" s="85"/>
      <c r="AJ42" s="85"/>
      <c r="AK42" s="85"/>
      <c r="AL42" s="85"/>
      <c r="AM42" s="85"/>
      <c r="AN42" s="18"/>
      <c r="AO42" s="18"/>
      <c r="AP42" s="77"/>
      <c r="AQ42" s="18"/>
      <c r="AR42" s="18"/>
      <c r="AS42" s="18"/>
      <c r="AT42" s="18"/>
      <c r="AU42" s="18"/>
      <c r="AV42" s="18"/>
      <c r="AW42" s="18"/>
      <c r="AX42" s="18"/>
      <c r="AY42" s="18"/>
      <c r="AZ42" s="18"/>
      <c r="BA42" s="78"/>
      <c r="BB42" s="18"/>
      <c r="BC42" s="18"/>
      <c r="BD42" s="84"/>
      <c r="BE42" s="17"/>
      <c r="BF42" s="17"/>
      <c r="BG42" s="17"/>
      <c r="BH42" s="103"/>
      <c r="BI42" s="80"/>
      <c r="BJ42" s="82"/>
      <c r="BK42" s="18"/>
      <c r="BL42" s="18"/>
      <c r="BM42" s="18"/>
      <c r="BN42" s="18"/>
      <c r="BO42" s="18"/>
      <c r="BP42" s="18"/>
      <c r="BQ42" s="37">
        <v>41180</v>
      </c>
      <c r="BR42" s="38">
        <v>26100.9182</v>
      </c>
      <c r="BS42" s="17"/>
      <c r="BT42" s="37">
        <v>41180</v>
      </c>
      <c r="BU42" s="38">
        <v>1790</v>
      </c>
      <c r="BV42" s="18"/>
      <c r="BW42" s="37"/>
      <c r="BX42" s="38"/>
      <c r="BY42" s="18"/>
      <c r="BZ42" s="39">
        <f t="shared" si="0"/>
        <v>41180</v>
      </c>
      <c r="CA42" s="40">
        <f t="shared" si="1"/>
        <v>26100.9182</v>
      </c>
      <c r="CB42" s="17"/>
      <c r="CC42" s="39">
        <f t="shared" si="2"/>
        <v>41180</v>
      </c>
      <c r="CD42" s="40">
        <f t="shared" si="3"/>
        <v>17.900000000000002</v>
      </c>
      <c r="CE42" s="18"/>
      <c r="CF42" s="18"/>
      <c r="CG42" s="18"/>
      <c r="CH42" s="18"/>
      <c r="CI42" s="18"/>
      <c r="CJ42" s="18"/>
      <c r="CK42" s="18"/>
      <c r="CL42" s="18"/>
      <c r="CM42" s="18"/>
      <c r="CN42" s="37"/>
      <c r="CO42" s="38"/>
      <c r="CP42" s="17"/>
      <c r="CQ42" s="37"/>
      <c r="CR42" s="38"/>
      <c r="CS42" s="18"/>
      <c r="CT42" s="18"/>
      <c r="CU42" s="18"/>
      <c r="CV42" s="18"/>
      <c r="CW42" s="18"/>
      <c r="CX42" s="18"/>
      <c r="CY42" s="37">
        <v>44818</v>
      </c>
      <c r="CZ42" s="38">
        <v>17.444700000000001</v>
      </c>
      <c r="DA42" s="18"/>
      <c r="DB42" s="37">
        <v>44818</v>
      </c>
      <c r="DC42" s="38">
        <v>18.170100000000001</v>
      </c>
      <c r="DD42" s="18"/>
      <c r="DE42" s="37">
        <v>44818</v>
      </c>
      <c r="DF42" s="38">
        <v>17.4833</v>
      </c>
      <c r="DG42" s="18"/>
      <c r="DH42" s="37">
        <v>44818</v>
      </c>
      <c r="DI42" s="38">
        <v>20.184000000000001</v>
      </c>
      <c r="DJ42" s="18"/>
      <c r="DK42" s="37">
        <v>44818</v>
      </c>
      <c r="DL42" s="38">
        <v>0.12230000000000001</v>
      </c>
      <c r="DM42" s="18"/>
      <c r="DN42" s="18"/>
      <c r="DO42" s="18"/>
      <c r="DP42" s="18"/>
      <c r="DQ42" s="18"/>
      <c r="DR42" s="18"/>
      <c r="DS42" s="18"/>
      <c r="DT42" s="18"/>
      <c r="DU42" s="18"/>
      <c r="DV42" s="18"/>
      <c r="DW42" s="18"/>
      <c r="DX42" s="18"/>
      <c r="DY42" s="18"/>
      <c r="DZ42" s="18"/>
    </row>
    <row r="43" spans="1:130" ht="15" customHeight="1" x14ac:dyDescent="0.3">
      <c r="A43" s="30" t="s">
        <v>347</v>
      </c>
      <c r="B43" s="73" t="s">
        <v>188</v>
      </c>
      <c r="C43" s="74" t="s">
        <v>615</v>
      </c>
      <c r="D43" s="74" t="s">
        <v>615</v>
      </c>
      <c r="E43" s="74" t="s">
        <v>615</v>
      </c>
      <c r="F43" s="74">
        <v>-128</v>
      </c>
      <c r="G43" s="74" t="s">
        <v>615</v>
      </c>
      <c r="H43" s="74" t="s">
        <v>615</v>
      </c>
      <c r="I43" s="74" t="s">
        <v>615</v>
      </c>
      <c r="J43" s="74" t="s">
        <v>615</v>
      </c>
      <c r="K43" s="74" t="s">
        <v>615</v>
      </c>
      <c r="L43" s="74" t="s">
        <v>615</v>
      </c>
      <c r="M43" s="75" t="s">
        <v>615</v>
      </c>
      <c r="N43" s="227"/>
      <c r="O43" s="17"/>
      <c r="P43" s="17"/>
      <c r="Q43" s="17"/>
      <c r="R43" s="17"/>
      <c r="S43" s="17"/>
      <c r="T43" s="17"/>
      <c r="U43" s="18"/>
      <c r="V43" s="18"/>
      <c r="W43" s="18"/>
      <c r="X43" s="18"/>
      <c r="Y43" s="18"/>
      <c r="Z43" s="18"/>
      <c r="AA43" s="18"/>
      <c r="AB43" s="18"/>
      <c r="AC43" s="18"/>
      <c r="AD43" s="18"/>
      <c r="AE43" s="85" t="str">
        <f t="shared" ref="AE43:AE63" si="11">B43</f>
        <v>Foreign Exchange Losses (Gains)</v>
      </c>
      <c r="AF43" s="85" t="e">
        <f t="shared" ref="AF43:AF62" si="12">C43-AQ43</f>
        <v>#VALUE!</v>
      </c>
      <c r="AG43" s="85" t="e">
        <f t="shared" ref="AG43:AG62" si="13">D43-AR43</f>
        <v>#VALUE!</v>
      </c>
      <c r="AH43" s="85" t="e">
        <f t="shared" ref="AH43:AH62" si="14">E43-AS43</f>
        <v>#VALUE!</v>
      </c>
      <c r="AI43" s="85">
        <f t="shared" ref="AI43:AI62" si="15">F43-AT43</f>
        <v>0</v>
      </c>
      <c r="AJ43" s="85" t="e">
        <f t="shared" ref="AJ43:AJ62" si="16">G43-AU43</f>
        <v>#VALUE!</v>
      </c>
      <c r="AK43" s="85" t="e">
        <f t="shared" ref="AK43:AK62" si="17">H43-AV43</f>
        <v>#VALUE!</v>
      </c>
      <c r="AL43" s="85" t="e">
        <f t="shared" ref="AL43:AL62" si="18">I43-AW43</f>
        <v>#VALUE!</v>
      </c>
      <c r="AM43" s="85" t="e">
        <f t="shared" ref="AM43:AM62" si="19">J43-AX43</f>
        <v>#VALUE!</v>
      </c>
      <c r="AN43" s="18"/>
      <c r="AO43" s="18"/>
      <c r="AP43" s="77" t="s">
        <v>188</v>
      </c>
      <c r="AQ43" s="18">
        <f>_xll.BDH($B$10,"IS_FOREIGN_EXCH_LOSS","-10FY","","Per=fy","Days=W","Fill=E","Curr=","DtFmt=P","Sort=D","Dts=H","Dir=H","FILING_STATUS,EQY_CONSOLIDATED","MR,","cols=11;rows=1")</f>
        <v>0</v>
      </c>
      <c r="AR43" s="18">
        <v>0</v>
      </c>
      <c r="AS43" s="18">
        <v>0</v>
      </c>
      <c r="AT43" s="18">
        <v>-128</v>
      </c>
      <c r="AU43" s="18">
        <v>0</v>
      </c>
      <c r="AV43" s="18">
        <v>0</v>
      </c>
      <c r="AW43" s="18">
        <v>0</v>
      </c>
      <c r="AX43" s="18">
        <v>0</v>
      </c>
      <c r="AY43" s="18">
        <v>0</v>
      </c>
      <c r="AZ43" s="18">
        <v>0</v>
      </c>
      <c r="BA43" s="78">
        <v>0</v>
      </c>
      <c r="BB43" s="18"/>
      <c r="BC43" s="18"/>
      <c r="BD43" s="84"/>
      <c r="BE43" s="17"/>
      <c r="BF43" s="17"/>
      <c r="BG43" s="17"/>
      <c r="BH43" s="103"/>
      <c r="BI43" s="80"/>
      <c r="BJ43" s="82"/>
      <c r="BK43" s="18"/>
      <c r="BL43" s="18"/>
      <c r="BM43" s="18"/>
      <c r="BN43" s="18"/>
      <c r="BO43" s="18"/>
      <c r="BP43" s="18"/>
      <c r="BQ43" s="37">
        <v>41213</v>
      </c>
      <c r="BR43" s="38">
        <v>26270.613300000001</v>
      </c>
      <c r="BS43" s="17"/>
      <c r="BT43" s="37">
        <v>41213</v>
      </c>
      <c r="BU43" s="38">
        <v>1800</v>
      </c>
      <c r="BV43" s="18"/>
      <c r="BW43" s="37"/>
      <c r="BX43" s="38"/>
      <c r="BY43" s="18"/>
      <c r="BZ43" s="39">
        <f t="shared" si="0"/>
        <v>41213</v>
      </c>
      <c r="CA43" s="40">
        <f t="shared" si="1"/>
        <v>26270.613300000001</v>
      </c>
      <c r="CB43" s="17"/>
      <c r="CC43" s="39">
        <f t="shared" si="2"/>
        <v>41213</v>
      </c>
      <c r="CD43" s="40">
        <f t="shared" si="3"/>
        <v>18</v>
      </c>
      <c r="CE43" s="18"/>
      <c r="CF43" s="18"/>
      <c r="CG43" s="18"/>
      <c r="CH43" s="18"/>
      <c r="CI43" s="18"/>
      <c r="CJ43" s="18"/>
      <c r="CK43" s="18"/>
      <c r="CL43" s="18"/>
      <c r="CM43" s="18"/>
      <c r="CN43" s="37"/>
      <c r="CO43" s="38"/>
      <c r="CP43" s="17"/>
      <c r="CQ43" s="37"/>
      <c r="CR43" s="38"/>
      <c r="CS43" s="18"/>
      <c r="CT43" s="18"/>
      <c r="CU43" s="18"/>
      <c r="CV43" s="18"/>
      <c r="CW43" s="18"/>
      <c r="CX43" s="18"/>
      <c r="CY43" s="37">
        <v>44819</v>
      </c>
      <c r="CZ43" s="38">
        <v>17.569099999999999</v>
      </c>
      <c r="DA43" s="18"/>
      <c r="DB43" s="37">
        <v>44819</v>
      </c>
      <c r="DC43" s="38">
        <v>18.289100000000001</v>
      </c>
      <c r="DD43" s="18"/>
      <c r="DE43" s="37">
        <v>44819</v>
      </c>
      <c r="DF43" s="38">
        <v>17.591799999999999</v>
      </c>
      <c r="DG43" s="18"/>
      <c r="DH43" s="37">
        <v>44819</v>
      </c>
      <c r="DI43" s="38">
        <v>20.148</v>
      </c>
      <c r="DJ43" s="18"/>
      <c r="DK43" s="37">
        <v>44819</v>
      </c>
      <c r="DL43" s="38">
        <v>0.1227</v>
      </c>
      <c r="DM43" s="18"/>
      <c r="DN43" s="18"/>
      <c r="DO43" s="18"/>
      <c r="DP43" s="18"/>
      <c r="DQ43" s="18"/>
      <c r="DR43" s="18"/>
      <c r="DS43" s="18"/>
      <c r="DT43" s="18"/>
      <c r="DU43" s="18"/>
      <c r="DV43" s="18"/>
      <c r="DW43" s="18"/>
      <c r="DX43" s="18"/>
      <c r="DY43" s="18"/>
      <c r="DZ43" s="18"/>
    </row>
    <row r="44" spans="1:130" ht="15" customHeight="1" thickBot="1" x14ac:dyDescent="0.35">
      <c r="A44" s="30" t="s">
        <v>162</v>
      </c>
      <c r="B44" s="73" t="s">
        <v>435</v>
      </c>
      <c r="C44" s="74">
        <v>-79</v>
      </c>
      <c r="D44" s="74">
        <v>56</v>
      </c>
      <c r="E44" s="74">
        <v>-142</v>
      </c>
      <c r="F44" s="74">
        <v>-191</v>
      </c>
      <c r="G44" s="74">
        <v>-294</v>
      </c>
      <c r="H44" s="74">
        <v>-396</v>
      </c>
      <c r="I44" s="74">
        <v>1586</v>
      </c>
      <c r="J44" s="74">
        <v>-246</v>
      </c>
      <c r="K44" s="74">
        <v>-208</v>
      </c>
      <c r="L44" s="74">
        <v>-190</v>
      </c>
      <c r="M44" s="75">
        <v>2775</v>
      </c>
      <c r="N44" s="227"/>
      <c r="O44" s="17"/>
      <c r="P44" s="17"/>
      <c r="Q44" s="17"/>
      <c r="R44" s="17"/>
      <c r="S44" s="17"/>
      <c r="T44" s="17"/>
      <c r="U44" s="18"/>
      <c r="V44" s="18"/>
      <c r="W44" s="18"/>
      <c r="X44" s="18"/>
      <c r="Y44" s="18"/>
      <c r="Z44" s="18"/>
      <c r="AA44" s="18"/>
      <c r="AB44" s="18"/>
      <c r="AC44" s="18"/>
      <c r="AD44" s="18"/>
      <c r="AE44" s="85" t="str">
        <f t="shared" si="11"/>
        <v>Net Non-Operating Losses (Gains)</v>
      </c>
      <c r="AF44" s="85">
        <f t="shared" si="12"/>
        <v>0</v>
      </c>
      <c r="AG44" s="85">
        <f t="shared" si="13"/>
        <v>0</v>
      </c>
      <c r="AH44" s="85">
        <f t="shared" si="14"/>
        <v>0</v>
      </c>
      <c r="AI44" s="85">
        <f t="shared" si="15"/>
        <v>0</v>
      </c>
      <c r="AJ44" s="85">
        <f t="shared" si="16"/>
        <v>0</v>
      </c>
      <c r="AK44" s="85">
        <f t="shared" si="17"/>
        <v>0</v>
      </c>
      <c r="AL44" s="85">
        <f t="shared" si="18"/>
        <v>0</v>
      </c>
      <c r="AM44" s="85">
        <f t="shared" si="19"/>
        <v>0</v>
      </c>
      <c r="AN44" s="18"/>
      <c r="AO44" s="18"/>
      <c r="AP44" s="104" t="s">
        <v>435</v>
      </c>
      <c r="AQ44" s="86">
        <f>_xll.BDH($B$10,"IS_NET_NON_OPER_LOSS","-10FY","","Per=fy","Days=W","Fill=E","Curr=","DtFmt=P","Sort=D","Dts=H","Dir=H","FILING_STATUS,EQY_CONSOLIDATED","MR,","cols=11;rows=1")</f>
        <v>-79</v>
      </c>
      <c r="AR44" s="86">
        <v>56</v>
      </c>
      <c r="AS44" s="86">
        <v>-142</v>
      </c>
      <c r="AT44" s="86">
        <v>-191</v>
      </c>
      <c r="AU44" s="86">
        <v>-294</v>
      </c>
      <c r="AV44" s="86">
        <v>-396</v>
      </c>
      <c r="AW44" s="86">
        <v>1586</v>
      </c>
      <c r="AX44" s="86">
        <v>-246</v>
      </c>
      <c r="AY44" s="86">
        <v>-208</v>
      </c>
      <c r="AZ44" s="86">
        <v>-190</v>
      </c>
      <c r="BA44" s="87">
        <v>2775</v>
      </c>
      <c r="BB44" s="18"/>
      <c r="BC44" s="18"/>
      <c r="BD44" s="84"/>
      <c r="BE44" s="17"/>
      <c r="BF44" s="17"/>
      <c r="BG44" s="17"/>
      <c r="BH44" s="103"/>
      <c r="BI44" s="80"/>
      <c r="BJ44" s="82"/>
      <c r="BK44" s="18"/>
      <c r="BL44" s="18"/>
      <c r="BM44" s="18"/>
      <c r="BN44" s="18"/>
      <c r="BO44" s="18"/>
      <c r="BP44" s="18"/>
      <c r="BQ44" s="37">
        <v>41243</v>
      </c>
      <c r="BR44" s="38">
        <v>25818.174900000002</v>
      </c>
      <c r="BS44" s="17"/>
      <c r="BT44" s="37">
        <v>41243</v>
      </c>
      <c r="BU44" s="38">
        <v>1769</v>
      </c>
      <c r="BV44" s="18"/>
      <c r="BW44" s="37"/>
      <c r="BX44" s="38"/>
      <c r="BY44" s="18"/>
      <c r="BZ44" s="39">
        <f t="shared" si="0"/>
        <v>41243</v>
      </c>
      <c r="CA44" s="40">
        <f t="shared" si="1"/>
        <v>25818.174900000002</v>
      </c>
      <c r="CB44" s="17"/>
      <c r="CC44" s="39">
        <f t="shared" si="2"/>
        <v>41243</v>
      </c>
      <c r="CD44" s="40">
        <f t="shared" si="3"/>
        <v>17.690000000000001</v>
      </c>
      <c r="CE44" s="18"/>
      <c r="CF44" s="18"/>
      <c r="CG44" s="18"/>
      <c r="CH44" s="18"/>
      <c r="CI44" s="18"/>
      <c r="CJ44" s="18"/>
      <c r="CK44" s="18"/>
      <c r="CL44" s="18"/>
      <c r="CM44" s="18"/>
      <c r="CN44" s="37"/>
      <c r="CO44" s="38"/>
      <c r="CP44" s="17"/>
      <c r="CQ44" s="37"/>
      <c r="CR44" s="38"/>
      <c r="CS44" s="18"/>
      <c r="CT44" s="18"/>
      <c r="CU44" s="18"/>
      <c r="CV44" s="18"/>
      <c r="CW44" s="18"/>
      <c r="CX44" s="18"/>
      <c r="CY44" s="37">
        <v>44820</v>
      </c>
      <c r="CZ44" s="38">
        <v>17.641300000000001</v>
      </c>
      <c r="DA44" s="18"/>
      <c r="DB44" s="37">
        <v>44820</v>
      </c>
      <c r="DC44" s="38">
        <v>18.244399999999999</v>
      </c>
      <c r="DD44" s="18"/>
      <c r="DE44" s="37">
        <v>44820</v>
      </c>
      <c r="DF44" s="38">
        <v>17.610299999999999</v>
      </c>
      <c r="DG44" s="18"/>
      <c r="DH44" s="37">
        <v>44820</v>
      </c>
      <c r="DI44" s="38">
        <v>20.105799999999999</v>
      </c>
      <c r="DJ44" s="18"/>
      <c r="DK44" s="37">
        <v>44820</v>
      </c>
      <c r="DL44" s="38">
        <v>0.1232</v>
      </c>
      <c r="DM44" s="18"/>
      <c r="DN44" s="18"/>
      <c r="DO44" s="18"/>
      <c r="DP44" s="18"/>
      <c r="DQ44" s="18"/>
      <c r="DR44" s="18"/>
      <c r="DS44" s="18"/>
      <c r="DT44" s="18"/>
      <c r="DU44" s="18"/>
      <c r="DV44" s="18"/>
      <c r="DW44" s="18"/>
      <c r="DX44" s="18"/>
      <c r="DY44" s="18"/>
      <c r="DZ44" s="18"/>
    </row>
    <row r="45" spans="1:130" ht="15" customHeight="1" x14ac:dyDescent="0.3">
      <c r="A45" s="30" t="s">
        <v>150</v>
      </c>
      <c r="B45" s="90" t="s">
        <v>436</v>
      </c>
      <c r="C45" s="91">
        <v>1534</v>
      </c>
      <c r="D45" s="91">
        <v>1176</v>
      </c>
      <c r="E45" s="91">
        <v>730</v>
      </c>
      <c r="F45" s="91">
        <v>3357</v>
      </c>
      <c r="G45" s="91">
        <v>1688</v>
      </c>
      <c r="H45" s="91">
        <v>3480</v>
      </c>
      <c r="I45" s="91">
        <v>1884</v>
      </c>
      <c r="J45" s="91">
        <v>3375</v>
      </c>
      <c r="K45" s="91">
        <v>2897</v>
      </c>
      <c r="L45" s="91">
        <v>5690</v>
      </c>
      <c r="M45" s="92">
        <v>-11729</v>
      </c>
      <c r="N45" s="227"/>
      <c r="O45" s="17"/>
      <c r="P45" s="17"/>
      <c r="Q45" s="17"/>
      <c r="R45" s="17"/>
      <c r="S45" s="17"/>
      <c r="T45" s="17"/>
      <c r="U45" s="18"/>
      <c r="V45" s="18"/>
      <c r="W45" s="18"/>
      <c r="X45" s="18"/>
      <c r="Y45" s="18"/>
      <c r="Z45" s="18"/>
      <c r="AA45" s="18"/>
      <c r="AB45" s="18"/>
      <c r="AC45" s="18"/>
      <c r="AD45" s="18"/>
      <c r="AE45" s="85" t="str">
        <f t="shared" si="11"/>
        <v>Pretax Income</v>
      </c>
      <c r="AF45" s="85">
        <f t="shared" si="12"/>
        <v>0</v>
      </c>
      <c r="AG45" s="85">
        <f t="shared" si="13"/>
        <v>0</v>
      </c>
      <c r="AH45" s="85">
        <f t="shared" si="14"/>
        <v>0</v>
      </c>
      <c r="AI45" s="85">
        <f t="shared" si="15"/>
        <v>0</v>
      </c>
      <c r="AJ45" s="85">
        <f t="shared" si="16"/>
        <v>0</v>
      </c>
      <c r="AK45" s="85">
        <f t="shared" si="17"/>
        <v>0</v>
      </c>
      <c r="AL45" s="85">
        <f t="shared" si="18"/>
        <v>0</v>
      </c>
      <c r="AM45" s="85">
        <f t="shared" si="19"/>
        <v>0</v>
      </c>
      <c r="AN45" s="18"/>
      <c r="AO45" s="18"/>
      <c r="AP45" s="77" t="s">
        <v>436</v>
      </c>
      <c r="AQ45" s="18">
        <f>_xll.BDH($B$10,"PRETAX_INC","-10FY","","Per=fy","Days=W","Fill=E","Curr=","DtFmt=P","Sort=D","Dts=H","Dir=H","FILING_STATUS,EQY_CONSOLIDATED","MR,","cols=11;rows=1")</f>
        <v>1534</v>
      </c>
      <c r="AR45" s="18">
        <v>1176</v>
      </c>
      <c r="AS45" s="18">
        <v>730</v>
      </c>
      <c r="AT45" s="18">
        <v>3357</v>
      </c>
      <c r="AU45" s="18">
        <v>1688</v>
      </c>
      <c r="AV45" s="18">
        <v>3480</v>
      </c>
      <c r="AW45" s="18">
        <v>1884</v>
      </c>
      <c r="AX45" s="18">
        <v>3375</v>
      </c>
      <c r="AY45" s="18">
        <v>2897</v>
      </c>
      <c r="AZ45" s="18">
        <v>5690</v>
      </c>
      <c r="BA45" s="78">
        <v>-11729</v>
      </c>
      <c r="BB45" s="18"/>
      <c r="BC45" s="18"/>
      <c r="BD45" s="84"/>
      <c r="BE45" s="17"/>
      <c r="BF45" s="17"/>
      <c r="BG45" s="17"/>
      <c r="BH45" s="103"/>
      <c r="BI45" s="80"/>
      <c r="BJ45" s="82"/>
      <c r="BK45" s="18"/>
      <c r="BL45" s="18"/>
      <c r="BM45" s="18"/>
      <c r="BN45" s="18"/>
      <c r="BO45" s="18"/>
      <c r="BP45" s="18"/>
      <c r="BQ45" s="37">
        <v>41274</v>
      </c>
      <c r="BR45" s="38">
        <v>28814.928400000001</v>
      </c>
      <c r="BS45" s="17"/>
      <c r="BT45" s="37">
        <v>41274</v>
      </c>
      <c r="BU45" s="38">
        <v>1965</v>
      </c>
      <c r="BV45" s="18"/>
      <c r="BW45" s="37"/>
      <c r="BX45" s="38"/>
      <c r="BY45" s="18"/>
      <c r="BZ45" s="39">
        <f t="shared" si="0"/>
        <v>41274</v>
      </c>
      <c r="CA45" s="40">
        <f t="shared" si="1"/>
        <v>28814.928400000001</v>
      </c>
      <c r="CB45" s="17"/>
      <c r="CC45" s="39">
        <f t="shared" si="2"/>
        <v>41274</v>
      </c>
      <c r="CD45" s="40">
        <f t="shared" si="3"/>
        <v>19.650000000000002</v>
      </c>
      <c r="CE45" s="18"/>
      <c r="CF45" s="18"/>
      <c r="CG45" s="18"/>
      <c r="CH45" s="18"/>
      <c r="CI45" s="18"/>
      <c r="CJ45" s="18"/>
      <c r="CK45" s="18"/>
      <c r="CL45" s="18"/>
      <c r="CM45" s="18"/>
      <c r="CN45" s="17"/>
      <c r="CO45" s="17"/>
      <c r="CP45" s="17"/>
      <c r="CQ45" s="18"/>
      <c r="CR45" s="18"/>
      <c r="CS45" s="18"/>
      <c r="CT45" s="18"/>
      <c r="CU45" s="18"/>
      <c r="CV45" s="18"/>
      <c r="CW45" s="18"/>
      <c r="CX45" s="18"/>
      <c r="CY45" s="37">
        <v>44823</v>
      </c>
      <c r="CZ45" s="38">
        <v>17.724299999999999</v>
      </c>
      <c r="DA45" s="18"/>
      <c r="DB45" s="37">
        <v>44823</v>
      </c>
      <c r="DC45" s="38">
        <v>18.3293</v>
      </c>
      <c r="DD45" s="18"/>
      <c r="DE45" s="37">
        <v>44823</v>
      </c>
      <c r="DF45" s="38">
        <v>17.670400000000001</v>
      </c>
      <c r="DG45" s="18"/>
      <c r="DH45" s="37">
        <v>44823</v>
      </c>
      <c r="DI45" s="38">
        <v>20.226900000000001</v>
      </c>
      <c r="DJ45" s="18"/>
      <c r="DK45" s="37">
        <v>44823</v>
      </c>
      <c r="DL45" s="38">
        <v>0.1234</v>
      </c>
      <c r="DM45" s="18"/>
      <c r="DN45" s="18"/>
      <c r="DO45" s="18"/>
      <c r="DP45" s="18"/>
      <c r="DQ45" s="18"/>
      <c r="DR45" s="18"/>
      <c r="DS45" s="18"/>
      <c r="DT45" s="18"/>
      <c r="DU45" s="18"/>
      <c r="DV45" s="18"/>
      <c r="DW45" s="18"/>
      <c r="DX45" s="18"/>
      <c r="DY45" s="18"/>
      <c r="DZ45" s="18"/>
    </row>
    <row r="46" spans="1:130" ht="15" customHeight="1" x14ac:dyDescent="0.3">
      <c r="A46" s="30" t="s">
        <v>151</v>
      </c>
      <c r="B46" s="73" t="s">
        <v>437</v>
      </c>
      <c r="C46" s="74">
        <v>484</v>
      </c>
      <c r="D46" s="74">
        <v>416</v>
      </c>
      <c r="E46" s="74">
        <v>291</v>
      </c>
      <c r="F46" s="74">
        <v>879</v>
      </c>
      <c r="G46" s="74">
        <v>682</v>
      </c>
      <c r="H46" s="74">
        <v>942</v>
      </c>
      <c r="I46" s="74">
        <v>836</v>
      </c>
      <c r="J46" s="74">
        <v>936</v>
      </c>
      <c r="K46" s="74">
        <v>801</v>
      </c>
      <c r="L46" s="74">
        <v>640</v>
      </c>
      <c r="M46" s="75">
        <v>-2016</v>
      </c>
      <c r="N46" s="227"/>
      <c r="O46" s="17"/>
      <c r="P46" s="17"/>
      <c r="Q46" s="17"/>
      <c r="R46" s="17"/>
      <c r="S46" s="17"/>
      <c r="T46" s="17"/>
      <c r="U46" s="18"/>
      <c r="V46" s="18"/>
      <c r="W46" s="18"/>
      <c r="X46" s="18"/>
      <c r="Y46" s="18"/>
      <c r="Z46" s="18"/>
      <c r="AA46" s="18"/>
      <c r="AB46" s="18"/>
      <c r="AC46" s="18"/>
      <c r="AD46" s="18"/>
      <c r="AE46" s="85" t="str">
        <f t="shared" si="11"/>
        <v>Income Tax Expense</v>
      </c>
      <c r="AF46" s="85">
        <f t="shared" si="12"/>
        <v>0</v>
      </c>
      <c r="AG46" s="85">
        <f t="shared" si="13"/>
        <v>0</v>
      </c>
      <c r="AH46" s="85">
        <f t="shared" si="14"/>
        <v>0</v>
      </c>
      <c r="AI46" s="85">
        <f t="shared" si="15"/>
        <v>0</v>
      </c>
      <c r="AJ46" s="85">
        <f t="shared" si="16"/>
        <v>0</v>
      </c>
      <c r="AK46" s="85">
        <f t="shared" si="17"/>
        <v>0</v>
      </c>
      <c r="AL46" s="85">
        <f t="shared" si="18"/>
        <v>0</v>
      </c>
      <c r="AM46" s="85">
        <f t="shared" si="19"/>
        <v>0</v>
      </c>
      <c r="AN46" s="18"/>
      <c r="AO46" s="18"/>
      <c r="AP46" s="77" t="s">
        <v>437</v>
      </c>
      <c r="AQ46" s="18">
        <f>_xll.BDH($B$10,"IS_INC_TAX_EXP","-10FY","","Per=fy","Days=W","Fill=E","Curr=","DtFmt=P","Sort=D","Dts=H","Dir=H","FILING_STATUS,EQY_CONSOLIDATED","MR,","cols=11;rows=1")</f>
        <v>484</v>
      </c>
      <c r="AR46" s="18">
        <v>416</v>
      </c>
      <c r="AS46" s="18">
        <v>291</v>
      </c>
      <c r="AT46" s="18">
        <v>879</v>
      </c>
      <c r="AU46" s="18">
        <v>682</v>
      </c>
      <c r="AV46" s="18">
        <v>942</v>
      </c>
      <c r="AW46" s="18">
        <v>836</v>
      </c>
      <c r="AX46" s="18">
        <v>936</v>
      </c>
      <c r="AY46" s="18">
        <v>801</v>
      </c>
      <c r="AZ46" s="18">
        <v>640</v>
      </c>
      <c r="BA46" s="78">
        <v>-2016</v>
      </c>
      <c r="BB46" s="18"/>
      <c r="BC46" s="18"/>
      <c r="BD46" s="84"/>
      <c r="BE46" s="17"/>
      <c r="BF46" s="17"/>
      <c r="BG46" s="17"/>
      <c r="BH46" s="103"/>
      <c r="BI46" s="80"/>
      <c r="BJ46" s="82"/>
      <c r="BK46" s="18"/>
      <c r="BL46" s="18"/>
      <c r="BM46" s="18"/>
      <c r="BN46" s="18"/>
      <c r="BO46" s="18"/>
      <c r="BP46" s="18"/>
      <c r="BQ46" s="37">
        <v>41305</v>
      </c>
      <c r="BR46" s="38">
        <v>28757.578399999999</v>
      </c>
      <c r="BS46" s="17"/>
      <c r="BT46" s="37">
        <v>41305</v>
      </c>
      <c r="BU46" s="38">
        <v>1960</v>
      </c>
      <c r="BV46" s="18"/>
      <c r="BW46" s="37"/>
      <c r="BX46" s="38"/>
      <c r="BY46" s="18"/>
      <c r="BZ46" s="39">
        <f t="shared" si="0"/>
        <v>41305</v>
      </c>
      <c r="CA46" s="40">
        <f t="shared" si="1"/>
        <v>28757.578399999999</v>
      </c>
      <c r="CB46" s="17"/>
      <c r="CC46" s="39">
        <f t="shared" si="2"/>
        <v>41305</v>
      </c>
      <c r="CD46" s="40">
        <f t="shared" si="3"/>
        <v>19.600000000000001</v>
      </c>
      <c r="CE46" s="18"/>
      <c r="CF46" s="18"/>
      <c r="CG46" s="18"/>
      <c r="CH46" s="18"/>
      <c r="CI46" s="18"/>
      <c r="CJ46" s="18"/>
      <c r="CK46" s="18"/>
      <c r="CL46" s="18"/>
      <c r="CM46" s="18"/>
      <c r="CN46" s="17"/>
      <c r="CO46" s="17"/>
      <c r="CP46" s="17"/>
      <c r="CQ46" s="18"/>
      <c r="CR46" s="18"/>
      <c r="CS46" s="18"/>
      <c r="CT46" s="18"/>
      <c r="CU46" s="18"/>
      <c r="CV46" s="18"/>
      <c r="CW46" s="18"/>
      <c r="CX46" s="18"/>
      <c r="CY46" s="37">
        <v>44824</v>
      </c>
      <c r="CZ46" s="38">
        <v>17.662299999999998</v>
      </c>
      <c r="DA46" s="18"/>
      <c r="DB46" s="37">
        <v>44824</v>
      </c>
      <c r="DC46" s="38">
        <v>18.370100000000001</v>
      </c>
      <c r="DD46" s="18"/>
      <c r="DE46" s="37">
        <v>44824</v>
      </c>
      <c r="DF46" s="38">
        <v>17.706800000000001</v>
      </c>
      <c r="DG46" s="18"/>
      <c r="DH46" s="37">
        <v>44824</v>
      </c>
      <c r="DI46" s="38">
        <v>20.157399999999999</v>
      </c>
      <c r="DJ46" s="18"/>
      <c r="DK46" s="37">
        <v>44824</v>
      </c>
      <c r="DL46" s="38">
        <v>0.12330000000000001</v>
      </c>
      <c r="DM46" s="18"/>
      <c r="DN46" s="18"/>
      <c r="DO46" s="18"/>
      <c r="DP46" s="18"/>
      <c r="DQ46" s="18"/>
      <c r="DR46" s="18"/>
      <c r="DS46" s="18"/>
      <c r="DT46" s="18"/>
      <c r="DU46" s="18"/>
      <c r="DV46" s="18"/>
      <c r="DW46" s="18"/>
      <c r="DX46" s="18"/>
      <c r="DY46" s="18"/>
      <c r="DZ46" s="18"/>
    </row>
    <row r="47" spans="1:130" ht="15" customHeight="1" x14ac:dyDescent="0.3">
      <c r="A47" s="30" t="s">
        <v>348</v>
      </c>
      <c r="B47" s="73" t="s">
        <v>189</v>
      </c>
      <c r="C47" s="74">
        <v>1050</v>
      </c>
      <c r="D47" s="74">
        <v>760</v>
      </c>
      <c r="E47" s="74">
        <v>439</v>
      </c>
      <c r="F47" s="74">
        <v>2478</v>
      </c>
      <c r="G47" s="74">
        <v>1006</v>
      </c>
      <c r="H47" s="74">
        <v>2538</v>
      </c>
      <c r="I47" s="74">
        <v>1048</v>
      </c>
      <c r="J47" s="74">
        <v>2439</v>
      </c>
      <c r="K47" s="74">
        <v>2096</v>
      </c>
      <c r="L47" s="74">
        <v>5050</v>
      </c>
      <c r="M47" s="75">
        <v>-9713</v>
      </c>
      <c r="N47" s="227"/>
      <c r="O47" s="17"/>
      <c r="P47" s="17"/>
      <c r="Q47" s="17"/>
      <c r="R47" s="17"/>
      <c r="S47" s="17"/>
      <c r="T47" s="17"/>
      <c r="U47" s="18"/>
      <c r="V47" s="18"/>
      <c r="W47" s="18"/>
      <c r="X47" s="18"/>
      <c r="Y47" s="18"/>
      <c r="Z47" s="18"/>
      <c r="AA47" s="18"/>
      <c r="AB47" s="18"/>
      <c r="AC47" s="18"/>
      <c r="AD47" s="18"/>
      <c r="AE47" s="85" t="str">
        <f t="shared" si="11"/>
        <v>Income Before XO Items</v>
      </c>
      <c r="AF47" s="85">
        <f t="shared" si="12"/>
        <v>0</v>
      </c>
      <c r="AG47" s="85">
        <f t="shared" si="13"/>
        <v>0</v>
      </c>
      <c r="AH47" s="85">
        <f t="shared" si="14"/>
        <v>0</v>
      </c>
      <c r="AI47" s="85">
        <f t="shared" si="15"/>
        <v>0</v>
      </c>
      <c r="AJ47" s="85">
        <f t="shared" si="16"/>
        <v>0</v>
      </c>
      <c r="AK47" s="85">
        <f t="shared" si="17"/>
        <v>0</v>
      </c>
      <c r="AL47" s="85">
        <f t="shared" si="18"/>
        <v>0</v>
      </c>
      <c r="AM47" s="85">
        <f t="shared" si="19"/>
        <v>0</v>
      </c>
      <c r="AN47" s="18"/>
      <c r="AO47" s="18"/>
      <c r="AP47" s="77" t="s">
        <v>189</v>
      </c>
      <c r="AQ47" s="18">
        <f>_xll.BDH($B$10,"IS_INC_BEF_XO_ITEM","-10FY","","Per=fy","Days=W","Fill=E","Curr=","DtFmt=P","Sort=D","Dts=H","Dir=H","FILING_STATUS,EQY_CONSOLIDATED","MR,","cols=11;rows=1")</f>
        <v>1050</v>
      </c>
      <c r="AR47" s="18">
        <v>760</v>
      </c>
      <c r="AS47" s="18">
        <v>439</v>
      </c>
      <c r="AT47" s="18">
        <v>2478</v>
      </c>
      <c r="AU47" s="18">
        <v>1006</v>
      </c>
      <c r="AV47" s="18">
        <v>2538</v>
      </c>
      <c r="AW47" s="18">
        <v>1048</v>
      </c>
      <c r="AX47" s="18">
        <v>2439</v>
      </c>
      <c r="AY47" s="18">
        <v>2096</v>
      </c>
      <c r="AZ47" s="18">
        <v>5050</v>
      </c>
      <c r="BA47" s="78">
        <v>-9713</v>
      </c>
      <c r="BB47" s="18"/>
      <c r="BC47" s="18"/>
      <c r="BD47" s="84"/>
      <c r="BE47" s="18"/>
      <c r="BF47" s="103"/>
      <c r="BG47" s="103"/>
      <c r="BH47" s="103"/>
      <c r="BI47" s="80"/>
      <c r="BJ47" s="82"/>
      <c r="BK47" s="18"/>
      <c r="BL47" s="18"/>
      <c r="BM47" s="18"/>
      <c r="BN47" s="18"/>
      <c r="BO47" s="18"/>
      <c r="BP47" s="18"/>
      <c r="BQ47" s="37">
        <v>41333</v>
      </c>
      <c r="BR47" s="38">
        <v>29344.467799999999</v>
      </c>
      <c r="BS47" s="17"/>
      <c r="BT47" s="37">
        <v>41333</v>
      </c>
      <c r="BU47" s="38">
        <v>2000</v>
      </c>
      <c r="BV47" s="18"/>
      <c r="BW47" s="37"/>
      <c r="BX47" s="38"/>
      <c r="BY47" s="18"/>
      <c r="BZ47" s="39">
        <f t="shared" si="0"/>
        <v>41333</v>
      </c>
      <c r="CA47" s="40">
        <f t="shared" si="1"/>
        <v>29344.467799999999</v>
      </c>
      <c r="CB47" s="17"/>
      <c r="CC47" s="39">
        <f t="shared" si="2"/>
        <v>41333</v>
      </c>
      <c r="CD47" s="40">
        <f t="shared" si="3"/>
        <v>20</v>
      </c>
      <c r="CE47" s="18"/>
      <c r="CF47" s="18"/>
      <c r="CG47" s="18"/>
      <c r="CH47" s="18"/>
      <c r="CI47" s="18"/>
      <c r="CJ47" s="18"/>
      <c r="CK47" s="18"/>
      <c r="CL47" s="18"/>
      <c r="CM47" s="18"/>
      <c r="CN47" s="17"/>
      <c r="CO47" s="17"/>
      <c r="CP47" s="17"/>
      <c r="CQ47" s="18"/>
      <c r="CR47" s="18"/>
      <c r="CS47" s="18"/>
      <c r="CT47" s="18"/>
      <c r="CU47" s="18"/>
      <c r="CV47" s="18"/>
      <c r="CW47" s="18"/>
      <c r="CX47" s="18"/>
      <c r="CY47" s="37">
        <v>44825</v>
      </c>
      <c r="CZ47" s="38">
        <v>17.451499999999999</v>
      </c>
      <c r="DA47" s="18"/>
      <c r="DB47" s="37">
        <v>44825</v>
      </c>
      <c r="DC47" s="38">
        <v>18.352900000000002</v>
      </c>
      <c r="DD47" s="18"/>
      <c r="DE47" s="37">
        <v>44825</v>
      </c>
      <c r="DF47" s="38">
        <v>17.743400000000001</v>
      </c>
      <c r="DG47" s="18"/>
      <c r="DH47" s="37">
        <v>44825</v>
      </c>
      <c r="DI47" s="38">
        <v>19.9754</v>
      </c>
      <c r="DJ47" s="18"/>
      <c r="DK47" s="37">
        <v>44825</v>
      </c>
      <c r="DL47" s="38">
        <v>0.1232</v>
      </c>
      <c r="DM47" s="18"/>
      <c r="DN47" s="18"/>
      <c r="DO47" s="18"/>
      <c r="DP47" s="18"/>
      <c r="DQ47" s="18"/>
      <c r="DR47" s="18"/>
      <c r="DS47" s="18"/>
      <c r="DT47" s="18"/>
      <c r="DU47" s="18"/>
      <c r="DV47" s="18"/>
      <c r="DW47" s="18"/>
      <c r="DX47" s="18"/>
      <c r="DY47" s="18"/>
      <c r="DZ47" s="18"/>
    </row>
    <row r="48" spans="1:130" ht="15" customHeight="1" x14ac:dyDescent="0.3">
      <c r="A48" s="30" t="s">
        <v>160</v>
      </c>
      <c r="B48" s="73" t="s">
        <v>438</v>
      </c>
      <c r="C48" s="74" t="s">
        <v>615</v>
      </c>
      <c r="D48" s="74" t="s">
        <v>615</v>
      </c>
      <c r="E48" s="74" t="s">
        <v>615</v>
      </c>
      <c r="F48" s="74" t="s">
        <v>615</v>
      </c>
      <c r="G48" s="74">
        <v>-3738</v>
      </c>
      <c r="H48" s="74">
        <v>5267</v>
      </c>
      <c r="I48" s="74" t="s">
        <v>615</v>
      </c>
      <c r="J48" s="74" t="s">
        <v>615</v>
      </c>
      <c r="K48" s="74" t="s">
        <v>615</v>
      </c>
      <c r="L48" s="74" t="s">
        <v>615</v>
      </c>
      <c r="M48" s="75">
        <v>-413</v>
      </c>
      <c r="N48" s="227"/>
      <c r="O48" s="17"/>
      <c r="P48" s="17"/>
      <c r="Q48" s="17"/>
      <c r="R48" s="17"/>
      <c r="S48" s="17"/>
      <c r="T48" s="17"/>
      <c r="U48" s="18"/>
      <c r="V48" s="18"/>
      <c r="W48" s="18"/>
      <c r="X48" s="18"/>
      <c r="Y48" s="18"/>
      <c r="Z48" s="18"/>
      <c r="AA48" s="18"/>
      <c r="AB48" s="18"/>
      <c r="AC48" s="18"/>
      <c r="AD48" s="18"/>
      <c r="AE48" s="85" t="str">
        <f t="shared" si="11"/>
        <v>Extraordinary Loss Net of Tax</v>
      </c>
      <c r="AF48" s="85" t="e">
        <f t="shared" si="12"/>
        <v>#VALUE!</v>
      </c>
      <c r="AG48" s="85" t="e">
        <f t="shared" si="13"/>
        <v>#VALUE!</v>
      </c>
      <c r="AH48" s="85" t="e">
        <f t="shared" si="14"/>
        <v>#VALUE!</v>
      </c>
      <c r="AI48" s="85" t="e">
        <f t="shared" si="15"/>
        <v>#VALUE!</v>
      </c>
      <c r="AJ48" s="85">
        <f t="shared" si="16"/>
        <v>0</v>
      </c>
      <c r="AK48" s="85">
        <f t="shared" si="17"/>
        <v>0</v>
      </c>
      <c r="AL48" s="85" t="e">
        <f t="shared" si="18"/>
        <v>#VALUE!</v>
      </c>
      <c r="AM48" s="85" t="e">
        <f t="shared" si="19"/>
        <v>#VALUE!</v>
      </c>
      <c r="AN48" s="18"/>
      <c r="AO48" s="18"/>
      <c r="AP48" s="77" t="s">
        <v>438</v>
      </c>
      <c r="AQ48" s="18">
        <f>_xll.BDH($B$10,"XO_GL_NET_OF_TAX","-10FY","","Per=fy","Days=W","Fill=E","Curr=","DtFmt=P","Sort=D","Dts=H","Dir=H","FILING_STATUS,EQY_CONSOLIDATED","MR,","cols=11;rows=1")</f>
        <v>0</v>
      </c>
      <c r="AR48" s="18">
        <v>0</v>
      </c>
      <c r="AS48" s="18">
        <v>0</v>
      </c>
      <c r="AT48" s="18">
        <v>0</v>
      </c>
      <c r="AU48" s="18">
        <v>-3738</v>
      </c>
      <c r="AV48" s="18">
        <v>5267</v>
      </c>
      <c r="AW48" s="18">
        <v>0</v>
      </c>
      <c r="AX48" s="18">
        <v>0</v>
      </c>
      <c r="AY48" s="18">
        <v>0</v>
      </c>
      <c r="AZ48" s="18">
        <v>0</v>
      </c>
      <c r="BA48" s="78">
        <v>-413</v>
      </c>
      <c r="BB48" s="18"/>
      <c r="BC48" s="18"/>
      <c r="BD48" s="84"/>
      <c r="BE48" s="18"/>
      <c r="BF48" s="103"/>
      <c r="BG48" s="103"/>
      <c r="BH48" s="103"/>
      <c r="BI48" s="80"/>
      <c r="BJ48" s="82"/>
      <c r="BK48" s="18"/>
      <c r="BL48" s="18"/>
      <c r="BM48" s="18"/>
      <c r="BN48" s="18"/>
      <c r="BO48" s="18"/>
      <c r="BP48" s="18"/>
      <c r="BQ48" s="37">
        <v>41361</v>
      </c>
      <c r="BR48" s="38">
        <v>29096.7415</v>
      </c>
      <c r="BS48" s="17"/>
      <c r="BT48" s="37">
        <v>41361</v>
      </c>
      <c r="BU48" s="38">
        <v>1983</v>
      </c>
      <c r="BV48" s="18"/>
      <c r="BW48" s="37"/>
      <c r="BX48" s="38"/>
      <c r="BY48" s="18"/>
      <c r="BZ48" s="39">
        <f t="shared" si="0"/>
        <v>41361</v>
      </c>
      <c r="CA48" s="40">
        <f t="shared" si="1"/>
        <v>29096.7415</v>
      </c>
      <c r="CB48" s="17"/>
      <c r="CC48" s="39">
        <f t="shared" si="2"/>
        <v>41361</v>
      </c>
      <c r="CD48" s="40">
        <f t="shared" si="3"/>
        <v>19.830000000000002</v>
      </c>
      <c r="CE48" s="18"/>
      <c r="CF48" s="18"/>
      <c r="CG48" s="18"/>
      <c r="CH48" s="18"/>
      <c r="CI48" s="18"/>
      <c r="CJ48" s="18"/>
      <c r="CK48" s="18"/>
      <c r="CL48" s="18"/>
      <c r="CM48" s="18"/>
      <c r="CN48" s="17"/>
      <c r="CO48" s="17"/>
      <c r="CP48" s="17"/>
      <c r="CQ48" s="18"/>
      <c r="CR48" s="18"/>
      <c r="CS48" s="18"/>
      <c r="CT48" s="18"/>
      <c r="CU48" s="18"/>
      <c r="CV48" s="18"/>
      <c r="CW48" s="18"/>
      <c r="CX48" s="18"/>
      <c r="CY48" s="37">
        <v>44826</v>
      </c>
      <c r="CZ48" s="38">
        <v>17.315100000000001</v>
      </c>
      <c r="DA48" s="18"/>
      <c r="DB48" s="37">
        <v>44826</v>
      </c>
      <c r="DC48" s="38">
        <v>18.0305</v>
      </c>
      <c r="DD48" s="18"/>
      <c r="DE48" s="37">
        <v>44826</v>
      </c>
      <c r="DF48" s="38">
        <v>17.5992</v>
      </c>
      <c r="DG48" s="18"/>
      <c r="DH48" s="37">
        <v>44826</v>
      </c>
      <c r="DI48" s="38">
        <v>19.818300000000001</v>
      </c>
      <c r="DJ48" s="18"/>
      <c r="DK48" s="37">
        <v>44826</v>
      </c>
      <c r="DL48" s="38">
        <v>0.1237</v>
      </c>
      <c r="DM48" s="18"/>
      <c r="DN48" s="18"/>
      <c r="DO48" s="18"/>
      <c r="DP48" s="18"/>
      <c r="DQ48" s="18"/>
      <c r="DR48" s="18"/>
      <c r="DS48" s="18"/>
      <c r="DT48" s="18"/>
      <c r="DU48" s="18"/>
      <c r="DV48" s="18"/>
      <c r="DW48" s="18"/>
      <c r="DX48" s="18"/>
      <c r="DY48" s="18"/>
      <c r="DZ48" s="18"/>
    </row>
    <row r="49" spans="1:130" ht="15" customHeight="1" x14ac:dyDescent="0.3">
      <c r="A49" s="100" t="s">
        <v>152</v>
      </c>
      <c r="B49" s="73" t="s">
        <v>190</v>
      </c>
      <c r="C49" s="74">
        <v>37</v>
      </c>
      <c r="D49" s="74">
        <v>-9</v>
      </c>
      <c r="E49" s="74">
        <v>-7</v>
      </c>
      <c r="F49" s="74">
        <v>31</v>
      </c>
      <c r="G49" s="74">
        <v>-196</v>
      </c>
      <c r="H49" s="74">
        <v>-2236</v>
      </c>
      <c r="I49" s="74">
        <v>-671</v>
      </c>
      <c r="J49" s="74">
        <v>-22</v>
      </c>
      <c r="K49" s="74">
        <v>-57</v>
      </c>
      <c r="L49" s="74">
        <v>-41</v>
      </c>
      <c r="M49" s="75">
        <v>-5111</v>
      </c>
      <c r="N49" s="227"/>
      <c r="O49" s="17"/>
      <c r="P49" s="17"/>
      <c r="Q49" s="17"/>
      <c r="R49" s="17"/>
      <c r="S49" s="17"/>
      <c r="T49" s="17"/>
      <c r="U49" s="18"/>
      <c r="V49" s="18"/>
      <c r="W49" s="18"/>
      <c r="X49" s="18"/>
      <c r="Y49" s="18"/>
      <c r="Z49" s="18"/>
      <c r="AA49" s="18"/>
      <c r="AB49" s="18"/>
      <c r="AC49" s="18"/>
      <c r="AD49" s="18"/>
      <c r="AE49" s="85" t="str">
        <f t="shared" si="11"/>
        <v>Minority Interests</v>
      </c>
      <c r="AF49" s="85">
        <f t="shared" si="12"/>
        <v>0</v>
      </c>
      <c r="AG49" s="85">
        <f t="shared" si="13"/>
        <v>0</v>
      </c>
      <c r="AH49" s="85">
        <f t="shared" si="14"/>
        <v>0</v>
      </c>
      <c r="AI49" s="85">
        <f t="shared" si="15"/>
        <v>0</v>
      </c>
      <c r="AJ49" s="85">
        <f t="shared" si="16"/>
        <v>0</v>
      </c>
      <c r="AK49" s="85">
        <f t="shared" si="17"/>
        <v>0</v>
      </c>
      <c r="AL49" s="85">
        <f t="shared" si="18"/>
        <v>0</v>
      </c>
      <c r="AM49" s="85">
        <f t="shared" si="19"/>
        <v>0</v>
      </c>
      <c r="AN49" s="18"/>
      <c r="AO49" s="18"/>
      <c r="AP49" s="77" t="s">
        <v>190</v>
      </c>
      <c r="AQ49" s="86">
        <f>_xll.BDH($B$10,"IS_MINORITY_INT","-10FY","","Per=fy","Days=W","Fill=E","Curr=","DtFmt=P","Sort=D","Dts=H","Dir=H","FILING_STATUS,EQY_CONSOLIDATED","MR,","cols=11;rows=1")</f>
        <v>37</v>
      </c>
      <c r="AR49" s="86">
        <v>-9</v>
      </c>
      <c r="AS49" s="86">
        <v>-7</v>
      </c>
      <c r="AT49" s="86">
        <v>31</v>
      </c>
      <c r="AU49" s="86">
        <v>-196</v>
      </c>
      <c r="AV49" s="86">
        <v>-2236</v>
      </c>
      <c r="AW49" s="86">
        <v>-671</v>
      </c>
      <c r="AX49" s="86">
        <v>-22</v>
      </c>
      <c r="AY49" s="86">
        <v>-57</v>
      </c>
      <c r="AZ49" s="86">
        <v>-41</v>
      </c>
      <c r="BA49" s="87">
        <v>-5111</v>
      </c>
      <c r="BB49" s="18"/>
      <c r="BC49" s="18"/>
      <c r="BD49" s="77"/>
      <c r="BE49" s="18"/>
      <c r="BF49" s="18"/>
      <c r="BG49" s="18"/>
      <c r="BH49" s="18"/>
      <c r="BI49" s="80"/>
      <c r="BJ49" s="82"/>
      <c r="BK49" s="18"/>
      <c r="BL49" s="18"/>
      <c r="BM49" s="18"/>
      <c r="BN49" s="18"/>
      <c r="BO49" s="18"/>
      <c r="BP49" s="18"/>
      <c r="BQ49" s="37">
        <v>41394</v>
      </c>
      <c r="BR49" s="38">
        <v>29933.107800000002</v>
      </c>
      <c r="BS49" s="17"/>
      <c r="BT49" s="37">
        <v>41394</v>
      </c>
      <c r="BU49" s="38">
        <v>2040</v>
      </c>
      <c r="BV49" s="18"/>
      <c r="BW49" s="37"/>
      <c r="BX49" s="38"/>
      <c r="BY49" s="18"/>
      <c r="BZ49" s="39">
        <f t="shared" si="0"/>
        <v>41394</v>
      </c>
      <c r="CA49" s="40">
        <f t="shared" si="1"/>
        <v>29933.107800000002</v>
      </c>
      <c r="CB49" s="17"/>
      <c r="CC49" s="39">
        <f t="shared" si="2"/>
        <v>41394</v>
      </c>
      <c r="CD49" s="40">
        <f t="shared" si="3"/>
        <v>20.400000000000002</v>
      </c>
      <c r="CE49" s="18"/>
      <c r="CF49" s="18"/>
      <c r="CG49" s="18"/>
      <c r="CH49" s="18"/>
      <c r="CI49" s="18"/>
      <c r="CJ49" s="18"/>
      <c r="CK49" s="18"/>
      <c r="CL49" s="18"/>
      <c r="CM49" s="18"/>
      <c r="CN49" s="17"/>
      <c r="CO49" s="17"/>
      <c r="CP49" s="17"/>
      <c r="CQ49" s="18"/>
      <c r="CR49" s="18"/>
      <c r="CS49" s="18"/>
      <c r="CT49" s="18"/>
      <c r="CU49" s="18"/>
      <c r="CV49" s="18"/>
      <c r="CW49" s="18"/>
      <c r="CX49" s="18"/>
      <c r="CY49" s="37">
        <v>44827</v>
      </c>
      <c r="CZ49" s="38">
        <v>17.3855</v>
      </c>
      <c r="DA49" s="18"/>
      <c r="DB49" s="37">
        <v>44827</v>
      </c>
      <c r="DC49" s="38">
        <v>18.2788</v>
      </c>
      <c r="DD49" s="18"/>
      <c r="DE49" s="37">
        <v>44827</v>
      </c>
      <c r="DF49" s="38">
        <v>17.95</v>
      </c>
      <c r="DG49" s="18"/>
      <c r="DH49" s="37">
        <v>44827</v>
      </c>
      <c r="DI49" s="38">
        <v>19.483899999999998</v>
      </c>
      <c r="DJ49" s="18"/>
      <c r="DK49" s="37">
        <v>44827</v>
      </c>
      <c r="DL49" s="38">
        <v>0.12529999999999999</v>
      </c>
      <c r="DM49" s="18"/>
      <c r="DN49" s="18"/>
      <c r="DO49" s="18"/>
      <c r="DP49" s="18"/>
      <c r="DQ49" s="18"/>
      <c r="DR49" s="18"/>
      <c r="DS49" s="18"/>
      <c r="DT49" s="18"/>
      <c r="DU49" s="18"/>
      <c r="DV49" s="18"/>
      <c r="DW49" s="18"/>
      <c r="DX49" s="18"/>
      <c r="DY49" s="18"/>
      <c r="DZ49" s="18"/>
    </row>
    <row r="50" spans="1:130" ht="15" customHeight="1" thickBot="1" x14ac:dyDescent="0.35">
      <c r="A50" s="30" t="s">
        <v>346</v>
      </c>
      <c r="B50" s="90" t="s">
        <v>191</v>
      </c>
      <c r="C50" s="91">
        <v>1013</v>
      </c>
      <c r="D50" s="91">
        <v>769</v>
      </c>
      <c r="E50" s="91">
        <v>446</v>
      </c>
      <c r="F50" s="91">
        <v>2447</v>
      </c>
      <c r="G50" s="91">
        <v>4940</v>
      </c>
      <c r="H50" s="91">
        <v>-493</v>
      </c>
      <c r="I50" s="91">
        <v>1719</v>
      </c>
      <c r="J50" s="91">
        <v>2461</v>
      </c>
      <c r="K50" s="91">
        <v>2153</v>
      </c>
      <c r="L50" s="91">
        <v>5091</v>
      </c>
      <c r="M50" s="92">
        <v>-4189</v>
      </c>
      <c r="N50" s="227"/>
      <c r="O50" s="17"/>
      <c r="P50" s="17"/>
      <c r="Q50" s="17"/>
      <c r="R50" s="17"/>
      <c r="S50" s="17"/>
      <c r="T50" s="17"/>
      <c r="U50" s="18"/>
      <c r="V50" s="18"/>
      <c r="W50" s="18"/>
      <c r="X50" s="18"/>
      <c r="Y50" s="18"/>
      <c r="Z50" s="18"/>
      <c r="AA50" s="18"/>
      <c r="AB50" s="18"/>
      <c r="AC50" s="18"/>
      <c r="AD50" s="18"/>
      <c r="AE50" s="85" t="str">
        <f t="shared" si="11"/>
        <v>Net profit (loss)</v>
      </c>
      <c r="AF50" s="85">
        <f t="shared" si="12"/>
        <v>0</v>
      </c>
      <c r="AG50" s="85">
        <f t="shared" si="13"/>
        <v>0</v>
      </c>
      <c r="AH50" s="85">
        <f t="shared" si="14"/>
        <v>0</v>
      </c>
      <c r="AI50" s="85">
        <f t="shared" si="15"/>
        <v>0</v>
      </c>
      <c r="AJ50" s="85">
        <f t="shared" si="16"/>
        <v>0</v>
      </c>
      <c r="AK50" s="85">
        <f t="shared" si="17"/>
        <v>0</v>
      </c>
      <c r="AL50" s="85">
        <f t="shared" si="18"/>
        <v>0</v>
      </c>
      <c r="AM50" s="85">
        <f t="shared" si="19"/>
        <v>0</v>
      </c>
      <c r="AN50" s="18"/>
      <c r="AO50" s="18"/>
      <c r="AP50" s="105" t="s">
        <v>191</v>
      </c>
      <c r="AQ50" s="86">
        <f>_xll.BDH($B$10,"NET_INCOME","-10FY","","Per=fy","Days=W","Fill=E","Curr=","DtFmt=P","Sort=D","Dts=H","Dir=H","FILING_STATUS,EQY_CONSOLIDATED","MR,","cols=11;rows=1")</f>
        <v>1013</v>
      </c>
      <c r="AR50" s="86">
        <v>769</v>
      </c>
      <c r="AS50" s="86">
        <v>446</v>
      </c>
      <c r="AT50" s="86">
        <v>2447</v>
      </c>
      <c r="AU50" s="86">
        <v>4940</v>
      </c>
      <c r="AV50" s="86">
        <v>-493</v>
      </c>
      <c r="AW50" s="86">
        <v>1719</v>
      </c>
      <c r="AX50" s="86">
        <v>2461</v>
      </c>
      <c r="AY50" s="86">
        <v>2153</v>
      </c>
      <c r="AZ50" s="86">
        <v>5091</v>
      </c>
      <c r="BA50" s="87">
        <v>-4189</v>
      </c>
      <c r="BB50" s="18"/>
      <c r="BC50" s="18"/>
      <c r="BD50" s="106"/>
      <c r="BE50" s="107"/>
      <c r="BF50" s="107"/>
      <c r="BG50" s="107"/>
      <c r="BH50" s="107"/>
      <c r="BI50" s="107"/>
      <c r="BJ50" s="108"/>
      <c r="BK50" s="18"/>
      <c r="BL50" s="18"/>
      <c r="BM50" s="18"/>
      <c r="BN50" s="18"/>
      <c r="BO50" s="18"/>
      <c r="BP50" s="18"/>
      <c r="BQ50" s="37">
        <v>41425</v>
      </c>
      <c r="BR50" s="38">
        <v>34335.035400000001</v>
      </c>
      <c r="BS50" s="17"/>
      <c r="BT50" s="37">
        <v>41425</v>
      </c>
      <c r="BU50" s="38">
        <v>2340</v>
      </c>
      <c r="BV50" s="18"/>
      <c r="BW50" s="37"/>
      <c r="BX50" s="38"/>
      <c r="BY50" s="18"/>
      <c r="BZ50" s="39">
        <f t="shared" si="0"/>
        <v>41425</v>
      </c>
      <c r="CA50" s="40">
        <f t="shared" si="1"/>
        <v>34335.035400000001</v>
      </c>
      <c r="CB50" s="17"/>
      <c r="CC50" s="39">
        <f t="shared" si="2"/>
        <v>41425</v>
      </c>
      <c r="CD50" s="40">
        <f t="shared" si="3"/>
        <v>23.400000000000002</v>
      </c>
      <c r="CE50" s="18"/>
      <c r="CF50" s="18"/>
      <c r="CG50" s="18"/>
      <c r="CH50" s="18"/>
      <c r="CI50" s="18"/>
      <c r="CJ50" s="18"/>
      <c r="CK50" s="18"/>
      <c r="CL50" s="18"/>
      <c r="CM50" s="18"/>
      <c r="CN50" s="17"/>
      <c r="CO50" s="17"/>
      <c r="CP50" s="17"/>
      <c r="CQ50" s="18"/>
      <c r="CR50" s="18"/>
      <c r="CS50" s="18"/>
      <c r="CT50" s="18"/>
      <c r="CU50" s="18"/>
      <c r="CV50" s="18"/>
      <c r="CW50" s="18"/>
      <c r="CX50" s="18"/>
      <c r="CY50" s="37">
        <v>44830</v>
      </c>
      <c r="CZ50" s="38">
        <v>17.387799999999999</v>
      </c>
      <c r="DA50" s="18"/>
      <c r="DB50" s="37">
        <v>44830</v>
      </c>
      <c r="DC50" s="38">
        <v>18.210799999999999</v>
      </c>
      <c r="DD50" s="18"/>
      <c r="DE50" s="37">
        <v>44830</v>
      </c>
      <c r="DF50" s="38">
        <v>18.071200000000001</v>
      </c>
      <c r="DG50" s="18"/>
      <c r="DH50" s="37">
        <v>44830</v>
      </c>
      <c r="DI50" s="38">
        <v>19.456499999999998</v>
      </c>
      <c r="DJ50" s="18"/>
      <c r="DK50" s="37">
        <v>44830</v>
      </c>
      <c r="DL50" s="38">
        <v>0.12509999999999999</v>
      </c>
      <c r="DM50" s="18"/>
      <c r="DN50" s="18"/>
      <c r="DO50" s="18"/>
      <c r="DP50" s="18"/>
      <c r="DQ50" s="18"/>
      <c r="DR50" s="18"/>
      <c r="DS50" s="18"/>
      <c r="DT50" s="18"/>
      <c r="DU50" s="18"/>
      <c r="DV50" s="18"/>
      <c r="DW50" s="18"/>
      <c r="DX50" s="18"/>
      <c r="DY50" s="18"/>
      <c r="DZ50" s="18"/>
    </row>
    <row r="51" spans="1:130" ht="15" customHeight="1" x14ac:dyDescent="0.3">
      <c r="A51" s="30" t="s">
        <v>153</v>
      </c>
      <c r="B51" s="90" t="s">
        <v>439</v>
      </c>
      <c r="C51" s="91">
        <v>38</v>
      </c>
      <c r="D51" s="91">
        <v>39</v>
      </c>
      <c r="E51" s="91">
        <v>54</v>
      </c>
      <c r="F51" s="91">
        <v>54</v>
      </c>
      <c r="G51" s="91">
        <v>55</v>
      </c>
      <c r="H51" s="91">
        <v>56</v>
      </c>
      <c r="I51" s="91">
        <v>52</v>
      </c>
      <c r="J51" s="91">
        <v>49</v>
      </c>
      <c r="K51" s="91">
        <v>46</v>
      </c>
      <c r="L51" s="91">
        <v>47</v>
      </c>
      <c r="M51" s="92">
        <v>46</v>
      </c>
      <c r="N51" s="227"/>
      <c r="O51" s="17"/>
      <c r="P51" s="17"/>
      <c r="Q51" s="17"/>
      <c r="R51" s="17"/>
      <c r="S51" s="17"/>
      <c r="T51" s="17"/>
      <c r="U51" s="18"/>
      <c r="V51" s="18"/>
      <c r="W51" s="18"/>
      <c r="X51" s="18"/>
      <c r="Y51" s="18"/>
      <c r="Z51" s="18"/>
      <c r="AA51" s="18"/>
      <c r="AB51" s="18"/>
      <c r="AC51" s="18"/>
      <c r="AD51" s="18"/>
      <c r="AE51" s="85" t="str">
        <f t="shared" si="11"/>
        <v>Total Cash Preferred Dividends</v>
      </c>
      <c r="AF51" s="85">
        <f t="shared" si="12"/>
        <v>0</v>
      </c>
      <c r="AG51" s="85">
        <f t="shared" si="13"/>
        <v>0</v>
      </c>
      <c r="AH51" s="85">
        <f t="shared" si="14"/>
        <v>0</v>
      </c>
      <c r="AI51" s="85">
        <f t="shared" si="15"/>
        <v>0</v>
      </c>
      <c r="AJ51" s="85">
        <f t="shared" si="16"/>
        <v>0</v>
      </c>
      <c r="AK51" s="85">
        <f t="shared" si="17"/>
        <v>0</v>
      </c>
      <c r="AL51" s="85">
        <f t="shared" si="18"/>
        <v>0</v>
      </c>
      <c r="AM51" s="85">
        <f t="shared" si="19"/>
        <v>0</v>
      </c>
      <c r="AN51" s="18"/>
      <c r="AO51" s="18"/>
      <c r="AP51" s="77" t="s">
        <v>439</v>
      </c>
      <c r="AQ51" s="18">
        <f>_xll.BDH($B$10,"IS_TOT_CASH_PFD_DVD","-10FY","","Per=fy","Days=W","Fill=E","Curr=","DtFmt=P","Sort=D","Dts=H","Dir=H","FILING_STATUS,EQY_CONSOLIDATED","MR,","cols=11;rows=1")</f>
        <v>38</v>
      </c>
      <c r="AR51" s="18">
        <v>39</v>
      </c>
      <c r="AS51" s="18">
        <v>54</v>
      </c>
      <c r="AT51" s="18">
        <v>54</v>
      </c>
      <c r="AU51" s="18">
        <v>55</v>
      </c>
      <c r="AV51" s="18">
        <v>56</v>
      </c>
      <c r="AW51" s="18">
        <v>52</v>
      </c>
      <c r="AX51" s="18">
        <v>49</v>
      </c>
      <c r="AY51" s="18">
        <v>46</v>
      </c>
      <c r="AZ51" s="18">
        <v>47</v>
      </c>
      <c r="BA51" s="78">
        <v>46</v>
      </c>
      <c r="BB51" s="18"/>
      <c r="BC51" s="18"/>
      <c r="BD51" s="18"/>
      <c r="BE51" s="18"/>
      <c r="BF51" s="18"/>
      <c r="BG51" s="18"/>
      <c r="BH51" s="18"/>
      <c r="BI51" s="18"/>
      <c r="BJ51" s="18"/>
      <c r="BK51" s="18"/>
      <c r="BL51" s="18"/>
      <c r="BM51" s="18"/>
      <c r="BN51" s="18"/>
      <c r="BO51" s="18"/>
      <c r="BP51" s="18"/>
      <c r="BQ51" s="37">
        <v>41453</v>
      </c>
      <c r="BR51" s="38">
        <v>33845.253700000001</v>
      </c>
      <c r="BS51" s="17"/>
      <c r="BT51" s="37">
        <v>41453</v>
      </c>
      <c r="BU51" s="38">
        <v>2304</v>
      </c>
      <c r="BV51" s="18"/>
      <c r="BW51" s="37"/>
      <c r="BX51" s="38"/>
      <c r="BY51" s="18"/>
      <c r="BZ51" s="39">
        <f t="shared" si="0"/>
        <v>41453</v>
      </c>
      <c r="CA51" s="40">
        <f t="shared" si="1"/>
        <v>33845.253700000001</v>
      </c>
      <c r="CB51" s="17"/>
      <c r="CC51" s="39">
        <f t="shared" si="2"/>
        <v>41453</v>
      </c>
      <c r="CD51" s="40">
        <f t="shared" si="3"/>
        <v>23.04</v>
      </c>
      <c r="CE51" s="18"/>
      <c r="CF51" s="18"/>
      <c r="CG51" s="18"/>
      <c r="CH51" s="18"/>
      <c r="CI51" s="18"/>
      <c r="CJ51" s="18"/>
      <c r="CK51" s="18"/>
      <c r="CL51" s="18"/>
      <c r="CM51" s="18"/>
      <c r="CN51" s="17"/>
      <c r="CO51" s="17"/>
      <c r="CP51" s="17"/>
      <c r="CQ51" s="18"/>
      <c r="CR51" s="18"/>
      <c r="CS51" s="18"/>
      <c r="CT51" s="18"/>
      <c r="CU51" s="18"/>
      <c r="CV51" s="18"/>
      <c r="CW51" s="18"/>
      <c r="CX51" s="18"/>
      <c r="CY51" s="37">
        <v>44831</v>
      </c>
      <c r="CZ51" s="38">
        <v>17.293600000000001</v>
      </c>
      <c r="DA51" s="18"/>
      <c r="DB51" s="37">
        <v>44831</v>
      </c>
      <c r="DC51" s="38">
        <v>18.168299999999999</v>
      </c>
      <c r="DD51" s="18"/>
      <c r="DE51" s="37">
        <v>44831</v>
      </c>
      <c r="DF51" s="38">
        <v>18.022400000000001</v>
      </c>
      <c r="DG51" s="18"/>
      <c r="DH51" s="37">
        <v>44831</v>
      </c>
      <c r="DI51" s="38">
        <v>19.333400000000001</v>
      </c>
      <c r="DJ51" s="18"/>
      <c r="DK51" s="37">
        <v>44831</v>
      </c>
      <c r="DL51" s="38">
        <v>0.1245</v>
      </c>
      <c r="DM51" s="18"/>
      <c r="DN51" s="18"/>
      <c r="DO51" s="18"/>
      <c r="DP51" s="18"/>
      <c r="DQ51" s="18"/>
      <c r="DR51" s="18"/>
      <c r="DS51" s="18"/>
      <c r="DT51" s="18"/>
      <c r="DU51" s="18"/>
      <c r="DV51" s="18"/>
      <c r="DW51" s="18"/>
      <c r="DX51" s="18"/>
      <c r="DY51" s="18"/>
      <c r="DZ51" s="18"/>
    </row>
    <row r="52" spans="1:130" ht="15" customHeight="1" x14ac:dyDescent="0.3">
      <c r="A52" s="30" t="s">
        <v>155</v>
      </c>
      <c r="B52" s="73" t="s">
        <v>440</v>
      </c>
      <c r="C52" s="74">
        <v>975</v>
      </c>
      <c r="D52" s="74">
        <v>730</v>
      </c>
      <c r="E52" s="74">
        <v>392</v>
      </c>
      <c r="F52" s="74">
        <v>2393</v>
      </c>
      <c r="G52" s="74">
        <v>4885</v>
      </c>
      <c r="H52" s="74">
        <v>-549</v>
      </c>
      <c r="I52" s="74">
        <v>1667</v>
      </c>
      <c r="J52" s="74">
        <v>2412</v>
      </c>
      <c r="K52" s="74">
        <v>2107</v>
      </c>
      <c r="L52" s="74">
        <v>5044</v>
      </c>
      <c r="M52" s="75">
        <v>-4235</v>
      </c>
      <c r="N52" s="227"/>
      <c r="O52" s="17"/>
      <c r="P52" s="17"/>
      <c r="Q52" s="17"/>
      <c r="R52" s="17"/>
      <c r="S52" s="17"/>
      <c r="T52" s="17"/>
      <c r="U52" s="18"/>
      <c r="V52" s="18"/>
      <c r="W52" s="18"/>
      <c r="X52" s="18"/>
      <c r="Y52" s="18"/>
      <c r="Z52" s="18"/>
      <c r="AA52" s="18"/>
      <c r="AB52" s="18"/>
      <c r="AC52" s="18"/>
      <c r="AD52" s="18"/>
      <c r="AE52" s="85" t="str">
        <f t="shared" si="11"/>
        <v>Net Inc Avail to Common Shareholders</v>
      </c>
      <c r="AF52" s="85">
        <f t="shared" si="12"/>
        <v>0</v>
      </c>
      <c r="AG52" s="85">
        <f t="shared" si="13"/>
        <v>0</v>
      </c>
      <c r="AH52" s="85">
        <f t="shared" si="14"/>
        <v>0</v>
      </c>
      <c r="AI52" s="85">
        <f t="shared" si="15"/>
        <v>0</v>
      </c>
      <c r="AJ52" s="85">
        <f t="shared" si="16"/>
        <v>0</v>
      </c>
      <c r="AK52" s="85">
        <f t="shared" si="17"/>
        <v>0</v>
      </c>
      <c r="AL52" s="85">
        <f t="shared" si="18"/>
        <v>0</v>
      </c>
      <c r="AM52" s="85">
        <f t="shared" si="19"/>
        <v>0</v>
      </c>
      <c r="AN52" s="18"/>
      <c r="AO52" s="18"/>
      <c r="AP52" s="77" t="s">
        <v>440</v>
      </c>
      <c r="AQ52" s="18">
        <f>_xll.BDH($B$10,"EARN_FOR_COMMON","-10FY","","Per=fy","Days=W","Fill=E","Curr=","DtFmt=P","Sort=D","Dts=H","Dir=H","FILING_STATUS,EQY_CONSOLIDATED","MR,","cols=11;rows=1")</f>
        <v>975</v>
      </c>
      <c r="AR52" s="18">
        <v>730</v>
      </c>
      <c r="AS52" s="18">
        <v>392</v>
      </c>
      <c r="AT52" s="18">
        <v>2393</v>
      </c>
      <c r="AU52" s="18">
        <v>4885</v>
      </c>
      <c r="AV52" s="18">
        <v>-549</v>
      </c>
      <c r="AW52" s="18">
        <v>1667</v>
      </c>
      <c r="AX52" s="18">
        <v>2412</v>
      </c>
      <c r="AY52" s="18">
        <v>2107</v>
      </c>
      <c r="AZ52" s="18">
        <v>5044</v>
      </c>
      <c r="BA52" s="78">
        <v>-4235</v>
      </c>
      <c r="BB52" s="18"/>
      <c r="BC52" s="18"/>
      <c r="BD52" s="18"/>
      <c r="BE52" s="18"/>
      <c r="BF52" s="18"/>
      <c r="BG52" s="18"/>
      <c r="BH52" s="18"/>
      <c r="BI52" s="18"/>
      <c r="BJ52" s="18"/>
      <c r="BK52" s="18"/>
      <c r="BL52" s="18"/>
      <c r="BM52" s="18"/>
      <c r="BN52" s="18"/>
      <c r="BO52" s="18"/>
      <c r="BP52" s="18"/>
      <c r="BQ52" s="37">
        <v>41486</v>
      </c>
      <c r="BR52" s="38">
        <v>34482.650800000003</v>
      </c>
      <c r="BS52" s="17"/>
      <c r="BT52" s="37">
        <v>41486</v>
      </c>
      <c r="BU52" s="38">
        <v>2340</v>
      </c>
      <c r="BV52" s="18"/>
      <c r="BW52" s="37"/>
      <c r="BX52" s="38"/>
      <c r="BY52" s="18"/>
      <c r="BZ52" s="39">
        <f t="shared" si="0"/>
        <v>41486</v>
      </c>
      <c r="CA52" s="40">
        <f t="shared" si="1"/>
        <v>34482.650800000003</v>
      </c>
      <c r="CB52" s="17"/>
      <c r="CC52" s="39">
        <f t="shared" si="2"/>
        <v>41486</v>
      </c>
      <c r="CD52" s="40">
        <f t="shared" si="3"/>
        <v>23.400000000000002</v>
      </c>
      <c r="CE52" s="18"/>
      <c r="CF52" s="18"/>
      <c r="CG52" s="18"/>
      <c r="CH52" s="18"/>
      <c r="CI52" s="18"/>
      <c r="CJ52" s="18"/>
      <c r="CK52" s="18"/>
      <c r="CL52" s="18"/>
      <c r="CM52" s="18"/>
      <c r="CN52" s="17"/>
      <c r="CO52" s="17"/>
      <c r="CP52" s="17"/>
      <c r="CQ52" s="18"/>
      <c r="CR52" s="18"/>
      <c r="CS52" s="18"/>
      <c r="CT52" s="18"/>
      <c r="CU52" s="18"/>
      <c r="CV52" s="18"/>
      <c r="CW52" s="18"/>
      <c r="CX52" s="18"/>
      <c r="CY52" s="37">
        <v>44832</v>
      </c>
      <c r="CZ52" s="38">
        <v>17.334199999999999</v>
      </c>
      <c r="DA52" s="18"/>
      <c r="DB52" s="37">
        <v>44832</v>
      </c>
      <c r="DC52" s="38">
        <v>18.2666</v>
      </c>
      <c r="DD52" s="18"/>
      <c r="DE52" s="37">
        <v>44832</v>
      </c>
      <c r="DF52" s="38">
        <v>17.848299999999998</v>
      </c>
      <c r="DG52" s="18"/>
      <c r="DH52" s="37">
        <v>44832</v>
      </c>
      <c r="DI52" s="38">
        <v>19.3477</v>
      </c>
      <c r="DJ52" s="18"/>
      <c r="DK52" s="37">
        <v>44832</v>
      </c>
      <c r="DL52" s="38">
        <v>0.1237</v>
      </c>
      <c r="DM52" s="18"/>
      <c r="DN52" s="18"/>
      <c r="DO52" s="18"/>
      <c r="DP52" s="18"/>
      <c r="DQ52" s="18"/>
      <c r="DR52" s="18"/>
      <c r="DS52" s="18"/>
      <c r="DT52" s="18"/>
      <c r="DU52" s="18"/>
      <c r="DV52" s="18"/>
      <c r="DW52" s="18"/>
      <c r="DX52" s="18"/>
      <c r="DY52" s="18"/>
      <c r="DZ52" s="18"/>
    </row>
    <row r="53" spans="1:130" ht="15" customHeight="1" x14ac:dyDescent="0.3">
      <c r="A53" s="30" t="s">
        <v>349</v>
      </c>
      <c r="B53" s="73" t="s">
        <v>192</v>
      </c>
      <c r="C53" s="74">
        <v>274</v>
      </c>
      <c r="D53" s="74">
        <v>272</v>
      </c>
      <c r="E53" s="74">
        <v>-195</v>
      </c>
      <c r="F53" s="74">
        <v>39</v>
      </c>
      <c r="G53" s="74">
        <v>237</v>
      </c>
      <c r="H53" s="74">
        <v>4568</v>
      </c>
      <c r="I53" s="74">
        <v>1980</v>
      </c>
      <c r="J53" s="74">
        <v>158</v>
      </c>
      <c r="K53" s="74">
        <v>194</v>
      </c>
      <c r="L53" s="74">
        <v>-3201</v>
      </c>
      <c r="M53" s="75">
        <v>10759</v>
      </c>
      <c r="N53" s="227"/>
      <c r="O53" s="17"/>
      <c r="P53" s="17"/>
      <c r="Q53" s="17"/>
      <c r="R53" s="17"/>
      <c r="S53" s="17"/>
      <c r="T53" s="17"/>
      <c r="U53" s="18"/>
      <c r="V53" s="18"/>
      <c r="W53" s="18"/>
      <c r="X53" s="18"/>
      <c r="Y53" s="18"/>
      <c r="Z53" s="18"/>
      <c r="AA53" s="18"/>
      <c r="AB53" s="18"/>
      <c r="AC53" s="18"/>
      <c r="AD53" s="18"/>
      <c r="AE53" s="85" t="str">
        <f t="shared" si="11"/>
        <v>Abnormal Losses (Gains)</v>
      </c>
      <c r="AF53" s="85">
        <f t="shared" si="12"/>
        <v>0</v>
      </c>
      <c r="AG53" s="85">
        <f t="shared" si="13"/>
        <v>0</v>
      </c>
      <c r="AH53" s="85">
        <f t="shared" si="14"/>
        <v>0</v>
      </c>
      <c r="AI53" s="85">
        <f t="shared" si="15"/>
        <v>0</v>
      </c>
      <c r="AJ53" s="85">
        <f t="shared" si="16"/>
        <v>0</v>
      </c>
      <c r="AK53" s="85">
        <f t="shared" si="17"/>
        <v>0</v>
      </c>
      <c r="AL53" s="85">
        <f t="shared" si="18"/>
        <v>0</v>
      </c>
      <c r="AM53" s="85">
        <f t="shared" si="19"/>
        <v>0</v>
      </c>
      <c r="AN53" s="18"/>
      <c r="AO53" s="18"/>
      <c r="AP53" s="77" t="s">
        <v>192</v>
      </c>
      <c r="AQ53" s="18">
        <f>_xll.BDH($B$10,"IS_ABNORMAL_ITEM","-10FY","","Per=fy","Days=W","Fill=E","Curr=","DtFmt=P","Sort=D","Dts=H","Dir=H","FILING_STATUS,EQY_CONSOLIDATED","MR,","cols=11;rows=1")</f>
        <v>274</v>
      </c>
      <c r="AR53" s="18">
        <v>272</v>
      </c>
      <c r="AS53" s="18">
        <v>-195</v>
      </c>
      <c r="AT53" s="18">
        <v>39</v>
      </c>
      <c r="AU53" s="18">
        <v>237</v>
      </c>
      <c r="AV53" s="18">
        <v>4568</v>
      </c>
      <c r="AW53" s="18">
        <v>1980</v>
      </c>
      <c r="AX53" s="18">
        <v>158</v>
      </c>
      <c r="AY53" s="18">
        <v>194</v>
      </c>
      <c r="AZ53" s="18">
        <v>-3201</v>
      </c>
      <c r="BA53" s="78">
        <v>10759</v>
      </c>
      <c r="BB53" s="18"/>
      <c r="BC53" s="18"/>
      <c r="BD53" s="18"/>
      <c r="BE53" s="18"/>
      <c r="BF53" s="18"/>
      <c r="BG53" s="18"/>
      <c r="BH53" s="18"/>
      <c r="BI53" s="18"/>
      <c r="BJ53" s="18"/>
      <c r="BK53" s="18"/>
      <c r="BL53" s="18"/>
      <c r="BM53" s="18"/>
      <c r="BN53" s="18"/>
      <c r="BO53" s="18"/>
      <c r="BP53" s="18"/>
      <c r="BQ53" s="37">
        <v>41516</v>
      </c>
      <c r="BR53" s="38">
        <v>34217.399599999997</v>
      </c>
      <c r="BS53" s="17"/>
      <c r="BT53" s="37">
        <v>41516</v>
      </c>
      <c r="BU53" s="38">
        <v>2322</v>
      </c>
      <c r="BV53" s="18"/>
      <c r="BW53" s="37"/>
      <c r="BX53" s="38"/>
      <c r="BY53" s="18"/>
      <c r="BZ53" s="39">
        <f t="shared" si="0"/>
        <v>41516</v>
      </c>
      <c r="CA53" s="40">
        <f t="shared" si="1"/>
        <v>34217.399599999997</v>
      </c>
      <c r="CB53" s="17"/>
      <c r="CC53" s="39">
        <f t="shared" si="2"/>
        <v>41516</v>
      </c>
      <c r="CD53" s="40">
        <f t="shared" si="3"/>
        <v>23.22</v>
      </c>
      <c r="CE53" s="18"/>
      <c r="CF53" s="18"/>
      <c r="CG53" s="18"/>
      <c r="CH53" s="18"/>
      <c r="CI53" s="18"/>
      <c r="CJ53" s="18"/>
      <c r="CK53" s="18"/>
      <c r="CL53" s="18"/>
      <c r="CM53" s="18"/>
      <c r="CN53" s="17"/>
      <c r="CO53" s="17"/>
      <c r="CP53" s="17"/>
      <c r="CQ53" s="18"/>
      <c r="CR53" s="18"/>
      <c r="CS53" s="18"/>
      <c r="CT53" s="18"/>
      <c r="CU53" s="18"/>
      <c r="CV53" s="18"/>
      <c r="CW53" s="18"/>
      <c r="CX53" s="18"/>
      <c r="CY53" s="37">
        <v>44833</v>
      </c>
      <c r="CZ53" s="38">
        <v>17.698399999999999</v>
      </c>
      <c r="DA53" s="18"/>
      <c r="DB53" s="37">
        <v>44833</v>
      </c>
      <c r="DC53" s="38">
        <v>18.456900000000001</v>
      </c>
      <c r="DD53" s="18"/>
      <c r="DE53" s="37">
        <v>44833</v>
      </c>
      <c r="DF53" s="38">
        <v>18.004100000000001</v>
      </c>
      <c r="DG53" s="18"/>
      <c r="DH53" s="37">
        <v>44833</v>
      </c>
      <c r="DI53" s="38">
        <v>20.097000000000001</v>
      </c>
      <c r="DJ53" s="18"/>
      <c r="DK53" s="37">
        <v>44833</v>
      </c>
      <c r="DL53" s="38">
        <v>0.1246</v>
      </c>
      <c r="DM53" s="18"/>
      <c r="DN53" s="18"/>
      <c r="DO53" s="18"/>
      <c r="DP53" s="18"/>
      <c r="DQ53" s="18"/>
      <c r="DR53" s="18"/>
      <c r="DS53" s="18"/>
      <c r="DT53" s="18"/>
      <c r="DU53" s="18"/>
      <c r="DV53" s="18"/>
      <c r="DW53" s="18"/>
      <c r="DX53" s="18"/>
      <c r="DY53" s="18"/>
      <c r="DZ53" s="18"/>
    </row>
    <row r="54" spans="1:130" ht="15" customHeight="1" x14ac:dyDescent="0.3">
      <c r="A54" s="30" t="s">
        <v>350</v>
      </c>
      <c r="B54" s="73" t="s">
        <v>193</v>
      </c>
      <c r="C54" s="74">
        <v>-276</v>
      </c>
      <c r="D54" s="74">
        <v>-33.909999999999997</v>
      </c>
      <c r="E54" s="74">
        <v>157.78</v>
      </c>
      <c r="F54" s="74">
        <v>6</v>
      </c>
      <c r="G54" s="74">
        <v>-74</v>
      </c>
      <c r="H54" s="74">
        <v>-2026</v>
      </c>
      <c r="I54" s="74">
        <v>-951</v>
      </c>
      <c r="J54" s="74">
        <v>-55.69</v>
      </c>
      <c r="K54" s="74">
        <v>-44.08</v>
      </c>
      <c r="L54" s="74">
        <v>-14.88</v>
      </c>
      <c r="M54" s="75">
        <v>1</v>
      </c>
      <c r="N54" s="227"/>
      <c r="O54" s="17"/>
      <c r="P54" s="17"/>
      <c r="Q54" s="17"/>
      <c r="R54" s="17"/>
      <c r="S54" s="17"/>
      <c r="T54" s="17"/>
      <c r="U54" s="18"/>
      <c r="V54" s="18"/>
      <c r="W54" s="18"/>
      <c r="X54" s="18"/>
      <c r="Y54" s="18"/>
      <c r="Z54" s="18"/>
      <c r="AA54" s="18"/>
      <c r="AB54" s="18"/>
      <c r="AC54" s="18"/>
      <c r="AD54" s="18"/>
      <c r="AE54" s="85" t="str">
        <f t="shared" si="11"/>
        <v>Tax Effect on Abnormal Items</v>
      </c>
      <c r="AF54" s="85">
        <f t="shared" si="12"/>
        <v>0</v>
      </c>
      <c r="AG54" s="85">
        <f t="shared" si="13"/>
        <v>-3.7999999999982492E-3</v>
      </c>
      <c r="AH54" s="85">
        <f t="shared" si="14"/>
        <v>0</v>
      </c>
      <c r="AI54" s="85">
        <f t="shared" si="15"/>
        <v>0</v>
      </c>
      <c r="AJ54" s="85">
        <f t="shared" si="16"/>
        <v>0</v>
      </c>
      <c r="AK54" s="85">
        <f t="shared" si="17"/>
        <v>0</v>
      </c>
      <c r="AL54" s="85">
        <f t="shared" si="18"/>
        <v>0</v>
      </c>
      <c r="AM54" s="85">
        <f t="shared" si="19"/>
        <v>-1.5999999999962711E-3</v>
      </c>
      <c r="AN54" s="18"/>
      <c r="AO54" s="18"/>
      <c r="AP54" s="77" t="s">
        <v>193</v>
      </c>
      <c r="AQ54" s="86">
        <f>_xll.BDH($B$10,"IS_TAX_EFF_ON_ABNORMAL_ITEM","-10FY","","Per=fy","Days=W","Fill=E","Curr=","DtFmt=P","Sort=D","Dts=H","Dir=H","FILING_STATUS,EQY_CONSOLIDATED","MR,","cols=11;rows=1")</f>
        <v>-276</v>
      </c>
      <c r="AR54" s="86">
        <v>-33.906199999999998</v>
      </c>
      <c r="AS54" s="86">
        <v>157.78</v>
      </c>
      <c r="AT54" s="86">
        <v>6</v>
      </c>
      <c r="AU54" s="86">
        <v>-74</v>
      </c>
      <c r="AV54" s="86">
        <v>-2026</v>
      </c>
      <c r="AW54" s="86">
        <v>-951</v>
      </c>
      <c r="AX54" s="86">
        <v>-55.688400000000001</v>
      </c>
      <c r="AY54" s="86">
        <v>-44.076799999999999</v>
      </c>
      <c r="AZ54" s="86">
        <v>-14.88</v>
      </c>
      <c r="BA54" s="87">
        <v>1</v>
      </c>
      <c r="BB54" s="18"/>
      <c r="BC54" s="18"/>
      <c r="BD54" s="18"/>
      <c r="BE54" s="18"/>
      <c r="BF54" s="18"/>
      <c r="BG54" s="18"/>
      <c r="BH54" s="18"/>
      <c r="BI54" s="18"/>
      <c r="BJ54" s="18"/>
      <c r="BK54" s="18"/>
      <c r="BL54" s="18"/>
      <c r="BM54" s="18"/>
      <c r="BN54" s="18"/>
      <c r="BO54" s="18"/>
      <c r="BP54" s="18"/>
      <c r="BQ54" s="37">
        <v>41547</v>
      </c>
      <c r="BR54" s="38">
        <v>35402.551800000001</v>
      </c>
      <c r="BS54" s="17"/>
      <c r="BT54" s="37">
        <v>41547</v>
      </c>
      <c r="BU54" s="38">
        <v>2400</v>
      </c>
      <c r="BV54" s="18"/>
      <c r="BW54" s="37"/>
      <c r="BX54" s="38"/>
      <c r="BY54" s="18"/>
      <c r="BZ54" s="39">
        <f t="shared" si="0"/>
        <v>41547</v>
      </c>
      <c r="CA54" s="40">
        <f t="shared" si="1"/>
        <v>35402.551800000001</v>
      </c>
      <c r="CB54" s="17"/>
      <c r="CC54" s="39">
        <f t="shared" si="2"/>
        <v>41547</v>
      </c>
      <c r="CD54" s="40">
        <f t="shared" si="3"/>
        <v>24</v>
      </c>
      <c r="CE54" s="18"/>
      <c r="CF54" s="18"/>
      <c r="CG54" s="18"/>
      <c r="CH54" s="18"/>
      <c r="CI54" s="18"/>
      <c r="CJ54" s="18"/>
      <c r="CK54" s="18"/>
      <c r="CL54" s="18"/>
      <c r="CM54" s="18"/>
      <c r="CN54" s="17"/>
      <c r="CO54" s="17"/>
      <c r="CP54" s="17"/>
      <c r="CQ54" s="18"/>
      <c r="CR54" s="18"/>
      <c r="CS54" s="18"/>
      <c r="CT54" s="18"/>
      <c r="CU54" s="18"/>
      <c r="CV54" s="18"/>
      <c r="CW54" s="18"/>
      <c r="CX54" s="18"/>
      <c r="CY54" s="37">
        <v>44834</v>
      </c>
      <c r="CZ54" s="38">
        <v>17.735199999999999</v>
      </c>
      <c r="DA54" s="18"/>
      <c r="DB54" s="37">
        <v>44834</v>
      </c>
      <c r="DC54" s="38">
        <v>18.324100000000001</v>
      </c>
      <c r="DD54" s="18"/>
      <c r="DE54" s="37">
        <v>44834</v>
      </c>
      <c r="DF54" s="38">
        <v>18.0855</v>
      </c>
      <c r="DG54" s="18"/>
      <c r="DH54" s="37">
        <v>44834</v>
      </c>
      <c r="DI54" s="38">
        <v>20.2056</v>
      </c>
      <c r="DJ54" s="18"/>
      <c r="DK54" s="37">
        <v>44834</v>
      </c>
      <c r="DL54" s="38">
        <v>0.125</v>
      </c>
      <c r="DM54" s="18"/>
      <c r="DN54" s="18"/>
      <c r="DO54" s="18"/>
      <c r="DP54" s="18"/>
      <c r="DQ54" s="18"/>
      <c r="DR54" s="18"/>
      <c r="DS54" s="18"/>
      <c r="DT54" s="18"/>
      <c r="DU54" s="18"/>
      <c r="DV54" s="18"/>
      <c r="DW54" s="18"/>
      <c r="DX54" s="18"/>
      <c r="DY54" s="18"/>
      <c r="DZ54" s="18"/>
    </row>
    <row r="55" spans="1:130" ht="15" customHeight="1" thickBot="1" x14ac:dyDescent="0.35">
      <c r="A55" s="30" t="s">
        <v>154</v>
      </c>
      <c r="B55" s="90" t="s">
        <v>441</v>
      </c>
      <c r="C55" s="91">
        <v>973</v>
      </c>
      <c r="D55" s="91">
        <v>968.09</v>
      </c>
      <c r="E55" s="91">
        <v>354.78</v>
      </c>
      <c r="F55" s="91">
        <v>2438</v>
      </c>
      <c r="G55" s="91">
        <v>1310</v>
      </c>
      <c r="H55" s="91">
        <v>7260</v>
      </c>
      <c r="I55" s="91">
        <v>2696</v>
      </c>
      <c r="J55" s="91">
        <v>2514.31</v>
      </c>
      <c r="K55" s="91">
        <v>2256.92</v>
      </c>
      <c r="L55" s="91">
        <v>1828.12</v>
      </c>
      <c r="M55" s="92">
        <v>6112</v>
      </c>
      <c r="N55" s="227"/>
      <c r="O55" s="17"/>
      <c r="P55" s="17"/>
      <c r="Q55" s="17"/>
      <c r="R55" s="17"/>
      <c r="S55" s="17"/>
      <c r="T55" s="17"/>
      <c r="U55" s="18"/>
      <c r="V55" s="18"/>
      <c r="W55" s="18"/>
      <c r="X55" s="18"/>
      <c r="Y55" s="18"/>
      <c r="Z55" s="18"/>
      <c r="AA55" s="18"/>
      <c r="AB55" s="18"/>
      <c r="AC55" s="18"/>
      <c r="AD55" s="18"/>
      <c r="AE55" s="85" t="str">
        <f t="shared" si="11"/>
        <v>Normalized Income</v>
      </c>
      <c r="AF55" s="85">
        <f t="shared" si="12"/>
        <v>0</v>
      </c>
      <c r="AG55" s="85">
        <f t="shared" si="13"/>
        <v>-3.7999999999556167E-3</v>
      </c>
      <c r="AH55" s="85">
        <f t="shared" si="14"/>
        <v>0</v>
      </c>
      <c r="AI55" s="85">
        <f t="shared" si="15"/>
        <v>0</v>
      </c>
      <c r="AJ55" s="85">
        <f t="shared" si="16"/>
        <v>0</v>
      </c>
      <c r="AK55" s="85">
        <f t="shared" si="17"/>
        <v>0</v>
      </c>
      <c r="AL55" s="85">
        <f t="shared" si="18"/>
        <v>0</v>
      </c>
      <c r="AM55" s="85">
        <f t="shared" si="19"/>
        <v>-1.6000000000531145E-3</v>
      </c>
      <c r="AN55" s="18"/>
      <c r="AO55" s="18"/>
      <c r="AP55" s="105" t="s">
        <v>441</v>
      </c>
      <c r="AQ55" s="86">
        <f>_xll.BDH($B$10,"NORMALIZED_INCOME","-10FY","","Per=fy","Days=W","Fill=E","Curr=","DtFmt=P","Sort=D","Dts=H","Dir=H","FILING_STATUS,EQY_CONSOLIDATED","MR,","cols=11;rows=1")</f>
        <v>973</v>
      </c>
      <c r="AR55" s="86">
        <v>968.09379999999999</v>
      </c>
      <c r="AS55" s="86">
        <v>354.78</v>
      </c>
      <c r="AT55" s="86">
        <v>2438</v>
      </c>
      <c r="AU55" s="86">
        <v>1310</v>
      </c>
      <c r="AV55" s="86">
        <v>7260</v>
      </c>
      <c r="AW55" s="86">
        <v>2696</v>
      </c>
      <c r="AX55" s="86">
        <v>2514.3116</v>
      </c>
      <c r="AY55" s="86">
        <v>2256.9232000000002</v>
      </c>
      <c r="AZ55" s="86">
        <v>1828.12</v>
      </c>
      <c r="BA55" s="87">
        <v>6112</v>
      </c>
      <c r="BB55" s="18"/>
      <c r="BC55" s="18"/>
      <c r="BD55" s="18"/>
      <c r="BE55" s="18"/>
      <c r="BF55" s="18"/>
      <c r="BG55" s="18"/>
      <c r="BH55" s="18"/>
      <c r="BI55" s="18"/>
      <c r="BJ55" s="18"/>
      <c r="BK55" s="18"/>
      <c r="BL55" s="18"/>
      <c r="BM55" s="18"/>
      <c r="BN55" s="18"/>
      <c r="BO55" s="18"/>
      <c r="BP55" s="18"/>
      <c r="BQ55" s="37">
        <v>41578</v>
      </c>
      <c r="BR55" s="38">
        <v>36759.649599999997</v>
      </c>
      <c r="BS55" s="17"/>
      <c r="BT55" s="37">
        <v>41578</v>
      </c>
      <c r="BU55" s="38">
        <v>2492</v>
      </c>
      <c r="BV55" s="18"/>
      <c r="BW55" s="37"/>
      <c r="BX55" s="38"/>
      <c r="BY55" s="18"/>
      <c r="BZ55" s="39">
        <f t="shared" si="0"/>
        <v>41578</v>
      </c>
      <c r="CA55" s="40">
        <f t="shared" si="1"/>
        <v>36759.649599999997</v>
      </c>
      <c r="CB55" s="17"/>
      <c r="CC55" s="39">
        <f t="shared" si="2"/>
        <v>41578</v>
      </c>
      <c r="CD55" s="40">
        <f t="shared" si="3"/>
        <v>24.92</v>
      </c>
      <c r="CE55" s="18"/>
      <c r="CF55" s="18"/>
      <c r="CG55" s="18"/>
      <c r="CH55" s="18"/>
      <c r="CI55" s="18"/>
      <c r="CJ55" s="18"/>
      <c r="CK55" s="18"/>
      <c r="CL55" s="18"/>
      <c r="CM55" s="18"/>
      <c r="CN55" s="17"/>
      <c r="CO55" s="17"/>
      <c r="CP55" s="17"/>
      <c r="CQ55" s="18"/>
      <c r="CR55" s="18"/>
      <c r="CS55" s="18"/>
      <c r="CT55" s="18"/>
      <c r="CU55" s="18"/>
      <c r="CV55" s="18"/>
      <c r="CW55" s="18"/>
      <c r="CX55" s="18"/>
      <c r="CY55" s="37">
        <v>44837</v>
      </c>
      <c r="CZ55" s="38">
        <v>17.554200000000002</v>
      </c>
      <c r="DA55" s="18"/>
      <c r="DB55" s="37">
        <v>44837</v>
      </c>
      <c r="DC55" s="38">
        <v>17.9711</v>
      </c>
      <c r="DD55" s="18"/>
      <c r="DE55" s="37">
        <v>44837</v>
      </c>
      <c r="DF55" s="38">
        <v>17.8506</v>
      </c>
      <c r="DG55" s="18"/>
      <c r="DH55" s="37">
        <v>44837</v>
      </c>
      <c r="DI55" s="38">
        <v>20.235199999999999</v>
      </c>
      <c r="DJ55" s="18"/>
      <c r="DK55" s="37">
        <v>44837</v>
      </c>
      <c r="DL55" s="38">
        <v>0.1235</v>
      </c>
      <c r="DM55" s="18"/>
      <c r="DN55" s="18"/>
      <c r="DO55" s="18"/>
      <c r="DP55" s="18"/>
      <c r="DQ55" s="18"/>
      <c r="DR55" s="18"/>
      <c r="DS55" s="18"/>
      <c r="DT55" s="18"/>
      <c r="DU55" s="18"/>
      <c r="DV55" s="18"/>
      <c r="DW55" s="18"/>
      <c r="DX55" s="18"/>
      <c r="DY55" s="18"/>
      <c r="DZ55" s="18"/>
    </row>
    <row r="56" spans="1:130" ht="15" customHeight="1" x14ac:dyDescent="0.3">
      <c r="A56" s="30" t="s">
        <v>159</v>
      </c>
      <c r="B56" s="90" t="s">
        <v>442</v>
      </c>
      <c r="C56" s="91">
        <v>0.72199999999999998</v>
      </c>
      <c r="D56" s="91">
        <v>0.72399999999999998</v>
      </c>
      <c r="E56" s="91">
        <v>0.255</v>
      </c>
      <c r="F56" s="91">
        <v>1.8129999999999999</v>
      </c>
      <c r="G56" s="91">
        <v>0.96199999999999997</v>
      </c>
      <c r="H56" s="91">
        <v>5.3419999999999996</v>
      </c>
      <c r="I56" s="91">
        <v>1.9910000000000001</v>
      </c>
      <c r="J56" s="91">
        <v>1.869</v>
      </c>
      <c r="K56" s="91">
        <v>1.6919999999999999</v>
      </c>
      <c r="L56" s="91">
        <v>1.383</v>
      </c>
      <c r="M56" s="92">
        <v>4.8209999999999997</v>
      </c>
      <c r="N56" s="227"/>
      <c r="O56" s="17"/>
      <c r="P56" s="17"/>
      <c r="Q56" s="17"/>
      <c r="R56" s="17"/>
      <c r="S56" s="17"/>
      <c r="T56" s="17"/>
      <c r="U56" s="18"/>
      <c r="V56" s="18"/>
      <c r="W56" s="18"/>
      <c r="X56" s="18"/>
      <c r="Y56" s="18"/>
      <c r="Z56" s="18"/>
      <c r="AA56" s="18"/>
      <c r="AB56" s="18"/>
      <c r="AC56" s="18"/>
      <c r="AD56" s="18"/>
      <c r="AE56" s="85" t="str">
        <f t="shared" si="11"/>
        <v>Basic EPS Before Abnormal Items</v>
      </c>
      <c r="AF56" s="85">
        <f t="shared" si="12"/>
        <v>4.9999999999994493E-4</v>
      </c>
      <c r="AG56" s="85">
        <f t="shared" si="13"/>
        <v>-9.9999999999988987E-5</v>
      </c>
      <c r="AH56" s="85">
        <f t="shared" si="14"/>
        <v>-9.9999999999988987E-5</v>
      </c>
      <c r="AI56" s="85">
        <f t="shared" si="15"/>
        <v>1.2499999999999956E-2</v>
      </c>
      <c r="AJ56" s="85">
        <f t="shared" si="16"/>
        <v>1.9999999999997797E-4</v>
      </c>
      <c r="AK56" s="85">
        <f t="shared" si="17"/>
        <v>-2.0000000000042206E-4</v>
      </c>
      <c r="AL56" s="85">
        <f t="shared" si="18"/>
        <v>-9.9999999999988987E-5</v>
      </c>
      <c r="AM56" s="85">
        <f t="shared" si="19"/>
        <v>-3.9999999999995595E-4</v>
      </c>
      <c r="AN56" s="18"/>
      <c r="AO56" s="18"/>
      <c r="AP56" s="77" t="s">
        <v>442</v>
      </c>
      <c r="AQ56" s="18">
        <f>_xll.BDH($B$10,"IS_BASIC_EPS_CONT_OPS","-10FY","","Per=fy","Days=W","Fill=E","Curr=","DtFmt=P","Sort=D","Dts=H","Dir=H","FILING_STATUS,EQY_CONSOLIDATED","MR,","cols=11;rows=1")</f>
        <v>0.72150000000000003</v>
      </c>
      <c r="AR56" s="18">
        <v>0.72409999999999997</v>
      </c>
      <c r="AS56" s="18">
        <v>0.25509999999999999</v>
      </c>
      <c r="AT56" s="18">
        <v>1.8005</v>
      </c>
      <c r="AU56" s="18">
        <v>0.96179999999999999</v>
      </c>
      <c r="AV56" s="18">
        <v>5.3422000000000001</v>
      </c>
      <c r="AW56" s="18">
        <v>1.9911000000000001</v>
      </c>
      <c r="AX56" s="18">
        <v>1.8694</v>
      </c>
      <c r="AY56" s="18">
        <v>1.6918</v>
      </c>
      <c r="AZ56" s="18">
        <v>1.3828</v>
      </c>
      <c r="BA56" s="78">
        <v>4.8211000000000004</v>
      </c>
      <c r="BB56" s="18"/>
      <c r="BC56" s="18"/>
      <c r="BD56" s="18"/>
      <c r="BE56" s="18"/>
      <c r="BF56" s="18"/>
      <c r="BG56" s="18"/>
      <c r="BH56" s="18"/>
      <c r="BI56" s="18"/>
      <c r="BJ56" s="18"/>
      <c r="BK56" s="18"/>
      <c r="BL56" s="18"/>
      <c r="BM56" s="18"/>
      <c r="BN56" s="18"/>
      <c r="BO56" s="18"/>
      <c r="BP56" s="18"/>
      <c r="BQ56" s="37">
        <v>41607</v>
      </c>
      <c r="BR56" s="38">
        <v>36580.640099999997</v>
      </c>
      <c r="BS56" s="17"/>
      <c r="BT56" s="37">
        <v>41607</v>
      </c>
      <c r="BU56" s="38">
        <v>2478</v>
      </c>
      <c r="BV56" s="18"/>
      <c r="BW56" s="37"/>
      <c r="BX56" s="38"/>
      <c r="BY56" s="18"/>
      <c r="BZ56" s="39">
        <f t="shared" si="0"/>
        <v>41607</v>
      </c>
      <c r="CA56" s="40">
        <f t="shared" si="1"/>
        <v>36580.640099999997</v>
      </c>
      <c r="CB56" s="17"/>
      <c r="CC56" s="39">
        <f t="shared" si="2"/>
        <v>41607</v>
      </c>
      <c r="CD56" s="40">
        <f t="shared" si="3"/>
        <v>24.78</v>
      </c>
      <c r="CE56" s="18"/>
      <c r="CF56" s="18"/>
      <c r="CG56" s="18"/>
      <c r="CH56" s="18"/>
      <c r="CI56" s="18"/>
      <c r="CJ56" s="18"/>
      <c r="CK56" s="18"/>
      <c r="CL56" s="18"/>
      <c r="CM56" s="18"/>
      <c r="CN56" s="17"/>
      <c r="CO56" s="17"/>
      <c r="CP56" s="17"/>
      <c r="CQ56" s="18"/>
      <c r="CR56" s="18"/>
      <c r="CS56" s="18"/>
      <c r="CT56" s="18"/>
      <c r="CU56" s="18"/>
      <c r="CV56" s="18"/>
      <c r="CW56" s="18"/>
      <c r="CX56" s="18"/>
      <c r="CY56" s="37">
        <v>44838</v>
      </c>
      <c r="CZ56" s="38">
        <v>17.585699999999999</v>
      </c>
      <c r="DA56" s="18"/>
      <c r="DB56" s="37">
        <v>44838</v>
      </c>
      <c r="DC56" s="38">
        <v>18.016200000000001</v>
      </c>
      <c r="DD56" s="18"/>
      <c r="DE56" s="37">
        <v>44838</v>
      </c>
      <c r="DF56" s="38">
        <v>17.653400000000001</v>
      </c>
      <c r="DG56" s="18"/>
      <c r="DH56" s="37">
        <v>44838</v>
      </c>
      <c r="DI56" s="38">
        <v>20.195900000000002</v>
      </c>
      <c r="DJ56" s="18"/>
      <c r="DK56" s="37">
        <v>44838</v>
      </c>
      <c r="DL56" s="38">
        <v>0.1226</v>
      </c>
      <c r="DM56" s="18"/>
      <c r="DN56" s="18"/>
      <c r="DO56" s="18"/>
      <c r="DP56" s="18"/>
      <c r="DQ56" s="18"/>
      <c r="DR56" s="18"/>
      <c r="DS56" s="18"/>
      <c r="DT56" s="18"/>
      <c r="DU56" s="18"/>
      <c r="DV56" s="18"/>
      <c r="DW56" s="18"/>
      <c r="DX56" s="18"/>
      <c r="DY56" s="18"/>
      <c r="DZ56" s="18"/>
    </row>
    <row r="57" spans="1:130" ht="15" customHeight="1" x14ac:dyDescent="0.3">
      <c r="A57" s="30" t="s">
        <v>351</v>
      </c>
      <c r="B57" s="73" t="s">
        <v>194</v>
      </c>
      <c r="C57" s="74">
        <v>0.72299999999999998</v>
      </c>
      <c r="D57" s="74">
        <v>0.54600000000000004</v>
      </c>
      <c r="E57" s="74">
        <v>0.28299999999999997</v>
      </c>
      <c r="F57" s="74">
        <v>1.7669999999999999</v>
      </c>
      <c r="G57" s="74">
        <v>0.84199999999999997</v>
      </c>
      <c r="H57" s="74">
        <v>3.472</v>
      </c>
      <c r="I57" s="74">
        <v>1.226</v>
      </c>
      <c r="J57" s="74">
        <v>1.7889999999999999</v>
      </c>
      <c r="K57" s="74">
        <v>1.575</v>
      </c>
      <c r="L57" s="74">
        <v>3.8119999999999998</v>
      </c>
      <c r="M57" s="75">
        <v>-3.4049999999999998</v>
      </c>
      <c r="N57" s="227"/>
      <c r="O57" s="17"/>
      <c r="P57" s="17"/>
      <c r="Q57" s="17"/>
      <c r="R57" s="17"/>
      <c r="S57" s="17"/>
      <c r="T57" s="17"/>
      <c r="U57" s="18"/>
      <c r="V57" s="18"/>
      <c r="W57" s="18"/>
      <c r="X57" s="18"/>
      <c r="Y57" s="18"/>
      <c r="Z57" s="18"/>
      <c r="AA57" s="18"/>
      <c r="AB57" s="18"/>
      <c r="AC57" s="18"/>
      <c r="AD57" s="18"/>
      <c r="AE57" s="85" t="str">
        <f t="shared" si="11"/>
        <v>Basic EPS Before XO Items</v>
      </c>
      <c r="AF57" s="85">
        <f t="shared" si="12"/>
        <v>0</v>
      </c>
      <c r="AG57" s="85">
        <f t="shared" si="13"/>
        <v>0</v>
      </c>
      <c r="AH57" s="85">
        <f t="shared" si="14"/>
        <v>0</v>
      </c>
      <c r="AI57" s="85">
        <f t="shared" si="15"/>
        <v>0</v>
      </c>
      <c r="AJ57" s="85">
        <f t="shared" si="16"/>
        <v>-9.9999999999988987E-5</v>
      </c>
      <c r="AK57" s="85">
        <f t="shared" si="17"/>
        <v>3.00000000000189E-4</v>
      </c>
      <c r="AL57" s="85">
        <f t="shared" si="18"/>
        <v>0</v>
      </c>
      <c r="AM57" s="85">
        <f t="shared" si="19"/>
        <v>0</v>
      </c>
      <c r="AN57" s="18"/>
      <c r="AO57" s="18"/>
      <c r="AP57" s="77" t="s">
        <v>194</v>
      </c>
      <c r="AQ57" s="18">
        <f>_xll.BDH($B$10,"IS_EARN_BEF_XO_ITEMS_PER_SH","-10FY","","Per=fy","Days=W","Fill=E","Curr=","DtFmt=P","Sort=D","Dts=H","Dir=H","FILING_STATUS,EQY_CONSOLIDATED","MR,","cols=11;rows=1")</f>
        <v>0.72299999999999998</v>
      </c>
      <c r="AR57" s="18">
        <v>0.54600000000000004</v>
      </c>
      <c r="AS57" s="18">
        <v>0.28299999999999997</v>
      </c>
      <c r="AT57" s="18">
        <v>1.7669999999999999</v>
      </c>
      <c r="AU57" s="18">
        <v>0.84209999999999996</v>
      </c>
      <c r="AV57" s="18">
        <v>3.4716999999999998</v>
      </c>
      <c r="AW57" s="18">
        <v>1.226</v>
      </c>
      <c r="AX57" s="18">
        <v>1.7889999999999999</v>
      </c>
      <c r="AY57" s="18">
        <v>1.575</v>
      </c>
      <c r="AZ57" s="18">
        <v>3.8119999999999998</v>
      </c>
      <c r="BA57" s="78">
        <v>-3.4049999999999998</v>
      </c>
      <c r="BB57" s="18"/>
      <c r="BC57" s="18"/>
      <c r="BD57" s="18"/>
      <c r="BE57" s="18"/>
      <c r="BF57" s="18"/>
      <c r="BG57" s="18"/>
      <c r="BH57" s="18"/>
      <c r="BI57" s="18"/>
      <c r="BJ57" s="18"/>
      <c r="BK57" s="18"/>
      <c r="BL57" s="18"/>
      <c r="BM57" s="18"/>
      <c r="BN57" s="18"/>
      <c r="BO57" s="18"/>
      <c r="BP57" s="18"/>
      <c r="BQ57" s="37">
        <v>41639</v>
      </c>
      <c r="BR57" s="38">
        <v>38411.148300000001</v>
      </c>
      <c r="BS57" s="17"/>
      <c r="BT57" s="37">
        <v>41639</v>
      </c>
      <c r="BU57" s="38">
        <v>2602</v>
      </c>
      <c r="BV57" s="18"/>
      <c r="BW57" s="37"/>
      <c r="BX57" s="38"/>
      <c r="BY57" s="18"/>
      <c r="BZ57" s="39">
        <f t="shared" si="0"/>
        <v>41639</v>
      </c>
      <c r="CA57" s="40">
        <f t="shared" si="1"/>
        <v>38411.148300000001</v>
      </c>
      <c r="CB57" s="17"/>
      <c r="CC57" s="39">
        <f t="shared" si="2"/>
        <v>41639</v>
      </c>
      <c r="CD57" s="40">
        <f t="shared" si="3"/>
        <v>26.02</v>
      </c>
      <c r="CE57" s="18"/>
      <c r="CF57" s="18"/>
      <c r="CG57" s="18"/>
      <c r="CH57" s="18"/>
      <c r="CI57" s="18"/>
      <c r="CJ57" s="18"/>
      <c r="CK57" s="18"/>
      <c r="CL57" s="18"/>
      <c r="CM57" s="18"/>
      <c r="CN57" s="17"/>
      <c r="CO57" s="17"/>
      <c r="CP57" s="17"/>
      <c r="CQ57" s="18"/>
      <c r="CR57" s="18"/>
      <c r="CS57" s="18"/>
      <c r="CT57" s="18"/>
      <c r="CU57" s="18"/>
      <c r="CV57" s="18"/>
      <c r="CW57" s="18"/>
      <c r="CX57" s="18"/>
      <c r="CY57" s="37">
        <v>44839</v>
      </c>
      <c r="CZ57" s="38">
        <v>17.627600000000001</v>
      </c>
      <c r="DA57" s="18"/>
      <c r="DB57" s="37">
        <v>44839</v>
      </c>
      <c r="DC57" s="38">
        <v>18.145199999999999</v>
      </c>
      <c r="DD57" s="18"/>
      <c r="DE57" s="37">
        <v>44839</v>
      </c>
      <c r="DF57" s="38">
        <v>17.799099999999999</v>
      </c>
      <c r="DG57" s="18"/>
      <c r="DH57" s="37">
        <v>44839</v>
      </c>
      <c r="DI57" s="38">
        <v>20.219899999999999</v>
      </c>
      <c r="DJ57" s="18"/>
      <c r="DK57" s="37">
        <v>44839</v>
      </c>
      <c r="DL57" s="38">
        <v>0.12330000000000001</v>
      </c>
      <c r="DM57" s="18"/>
      <c r="DN57" s="18"/>
      <c r="DO57" s="18"/>
      <c r="DP57" s="18"/>
      <c r="DQ57" s="18"/>
      <c r="DR57" s="18"/>
      <c r="DS57" s="18"/>
      <c r="DT57" s="18"/>
      <c r="DU57" s="18"/>
      <c r="DV57" s="18"/>
      <c r="DW57" s="18"/>
      <c r="DX57" s="18"/>
      <c r="DY57" s="18"/>
      <c r="DZ57" s="18"/>
    </row>
    <row r="58" spans="1:130" ht="15" customHeight="1" x14ac:dyDescent="0.3">
      <c r="A58" s="30" t="s">
        <v>352</v>
      </c>
      <c r="B58" s="73" t="s">
        <v>195</v>
      </c>
      <c r="C58" s="74">
        <v>0.72299999999999998</v>
      </c>
      <c r="D58" s="74">
        <v>0.54600000000000004</v>
      </c>
      <c r="E58" s="74">
        <v>0.28299999999999997</v>
      </c>
      <c r="F58" s="74">
        <v>1.7669999999999999</v>
      </c>
      <c r="G58" s="74">
        <v>3.577</v>
      </c>
      <c r="H58" s="74">
        <v>-0.40899999999999997</v>
      </c>
      <c r="I58" s="74">
        <v>1.226</v>
      </c>
      <c r="J58" s="74">
        <v>1.7889999999999999</v>
      </c>
      <c r="K58" s="74">
        <v>1.575</v>
      </c>
      <c r="L58" s="74">
        <v>3.8119999999999998</v>
      </c>
      <c r="M58" s="75">
        <v>-3.238</v>
      </c>
      <c r="N58" s="227"/>
      <c r="O58" s="17"/>
      <c r="P58" s="17"/>
      <c r="Q58" s="17"/>
      <c r="R58" s="17"/>
      <c r="S58" s="17"/>
      <c r="T58" s="17"/>
      <c r="U58" s="18"/>
      <c r="V58" s="18"/>
      <c r="W58" s="18"/>
      <c r="X58" s="18"/>
      <c r="Y58" s="18"/>
      <c r="Z58" s="18"/>
      <c r="AA58" s="18"/>
      <c r="AB58" s="18"/>
      <c r="AC58" s="18"/>
      <c r="AD58" s="18"/>
      <c r="AE58" s="85" t="str">
        <f t="shared" si="11"/>
        <v>Basic EPS</v>
      </c>
      <c r="AF58" s="85">
        <f t="shared" si="12"/>
        <v>0</v>
      </c>
      <c r="AG58" s="85">
        <f t="shared" si="13"/>
        <v>0</v>
      </c>
      <c r="AH58" s="85">
        <f t="shared" si="14"/>
        <v>0</v>
      </c>
      <c r="AI58" s="85">
        <f t="shared" si="15"/>
        <v>0</v>
      </c>
      <c r="AJ58" s="85">
        <f t="shared" si="16"/>
        <v>0</v>
      </c>
      <c r="AK58" s="85">
        <f t="shared" si="17"/>
        <v>0</v>
      </c>
      <c r="AL58" s="85">
        <f t="shared" si="18"/>
        <v>0</v>
      </c>
      <c r="AM58" s="85">
        <f t="shared" si="19"/>
        <v>0</v>
      </c>
      <c r="AN58" s="18"/>
      <c r="AO58" s="18"/>
      <c r="AP58" s="77" t="s">
        <v>195</v>
      </c>
      <c r="AQ58" s="18">
        <f>_xll.BDH($B$10,"IS_EPS","-10FY","","Per=fy","Days=W","Fill=E","Curr=","DtFmt=P","Sort=D","Dts=H","Dir=H","FILING_STATUS,EQY_CONSOLIDATED","MR,","cols=11;rows=1")</f>
        <v>0.72299999999999998</v>
      </c>
      <c r="AR58" s="18">
        <v>0.54600000000000004</v>
      </c>
      <c r="AS58" s="18">
        <v>0.28299999999999997</v>
      </c>
      <c r="AT58" s="18">
        <v>1.7669999999999999</v>
      </c>
      <c r="AU58" s="18">
        <v>3.577</v>
      </c>
      <c r="AV58" s="18">
        <v>-0.40899999999999997</v>
      </c>
      <c r="AW58" s="18">
        <v>1.226</v>
      </c>
      <c r="AX58" s="18">
        <v>1.7889999999999999</v>
      </c>
      <c r="AY58" s="18">
        <v>1.575</v>
      </c>
      <c r="AZ58" s="18">
        <v>3.8119999999999998</v>
      </c>
      <c r="BA58" s="78">
        <v>-3.238</v>
      </c>
      <c r="BB58" s="18"/>
      <c r="BC58" s="18"/>
      <c r="BD58" s="18"/>
      <c r="BE58" s="18"/>
      <c r="BF58" s="18"/>
      <c r="BG58" s="18"/>
      <c r="BH58" s="18"/>
      <c r="BI58" s="18"/>
      <c r="BJ58" s="18"/>
      <c r="BK58" s="18"/>
      <c r="BL58" s="18"/>
      <c r="BM58" s="18"/>
      <c r="BN58" s="18"/>
      <c r="BO58" s="18"/>
      <c r="BP58" s="18"/>
      <c r="BQ58" s="37">
        <v>41670</v>
      </c>
      <c r="BR58" s="38">
        <v>32849.039599999996</v>
      </c>
      <c r="BS58" s="17"/>
      <c r="BT58" s="37">
        <v>41670</v>
      </c>
      <c r="BU58" s="38">
        <v>2225</v>
      </c>
      <c r="BV58" s="18"/>
      <c r="BW58" s="37"/>
      <c r="BX58" s="38"/>
      <c r="BY58" s="18"/>
      <c r="BZ58" s="39">
        <f t="shared" si="0"/>
        <v>41670</v>
      </c>
      <c r="CA58" s="40">
        <f t="shared" si="1"/>
        <v>32849.039599999996</v>
      </c>
      <c r="CB58" s="17"/>
      <c r="CC58" s="39">
        <f t="shared" si="2"/>
        <v>41670</v>
      </c>
      <c r="CD58" s="40">
        <f t="shared" si="3"/>
        <v>22.25</v>
      </c>
      <c r="CE58" s="18"/>
      <c r="CF58" s="18"/>
      <c r="CG58" s="18"/>
      <c r="CH58" s="18"/>
      <c r="CI58" s="18"/>
      <c r="CJ58" s="18"/>
      <c r="CK58" s="18"/>
      <c r="CL58" s="18"/>
      <c r="CM58" s="18"/>
      <c r="CN58" s="17"/>
      <c r="CO58" s="17"/>
      <c r="CP58" s="17"/>
      <c r="CQ58" s="18"/>
      <c r="CR58" s="18"/>
      <c r="CS58" s="18"/>
      <c r="CT58" s="18"/>
      <c r="CU58" s="18"/>
      <c r="CV58" s="18"/>
      <c r="CW58" s="18"/>
      <c r="CX58" s="18"/>
      <c r="CY58" s="37">
        <v>44840</v>
      </c>
      <c r="CZ58" s="38">
        <v>17.6006</v>
      </c>
      <c r="DA58" s="18"/>
      <c r="DB58" s="37">
        <v>44840</v>
      </c>
      <c r="DC58" s="38">
        <v>18.152100000000001</v>
      </c>
      <c r="DD58" s="18"/>
      <c r="DE58" s="37">
        <v>44840</v>
      </c>
      <c r="DF58" s="38">
        <v>17.977399999999999</v>
      </c>
      <c r="DG58" s="18"/>
      <c r="DH58" s="37">
        <v>44840</v>
      </c>
      <c r="DI58" s="38">
        <v>20.062799999999999</v>
      </c>
      <c r="DJ58" s="18"/>
      <c r="DK58" s="37">
        <v>44840</v>
      </c>
      <c r="DL58" s="38">
        <v>0.1239</v>
      </c>
      <c r="DM58" s="18"/>
      <c r="DN58" s="18"/>
      <c r="DO58" s="18"/>
      <c r="DP58" s="18"/>
      <c r="DQ58" s="18"/>
      <c r="DR58" s="18"/>
      <c r="DS58" s="18"/>
      <c r="DT58" s="18"/>
      <c r="DU58" s="18"/>
      <c r="DV58" s="18"/>
      <c r="DW58" s="18"/>
      <c r="DX58" s="18"/>
      <c r="DY58" s="18"/>
      <c r="DZ58" s="18"/>
    </row>
    <row r="59" spans="1:130" ht="15" customHeight="1" x14ac:dyDescent="0.3">
      <c r="A59" s="30" t="s">
        <v>353</v>
      </c>
      <c r="B59" s="73" t="s">
        <v>198</v>
      </c>
      <c r="C59" s="74">
        <v>1338</v>
      </c>
      <c r="D59" s="74">
        <v>1336.9960000000001</v>
      </c>
      <c r="E59" s="74">
        <v>1336</v>
      </c>
      <c r="F59" s="74">
        <v>1345</v>
      </c>
      <c r="G59" s="74">
        <v>1362</v>
      </c>
      <c r="H59" s="74">
        <v>1359</v>
      </c>
      <c r="I59" s="74">
        <v>1354</v>
      </c>
      <c r="J59" s="74">
        <v>1345</v>
      </c>
      <c r="K59" s="74">
        <v>1334</v>
      </c>
      <c r="L59" s="74">
        <v>1322</v>
      </c>
      <c r="M59" s="75">
        <v>1308</v>
      </c>
      <c r="N59" s="227"/>
      <c r="O59" s="17"/>
      <c r="P59" s="17"/>
      <c r="Q59" s="17"/>
      <c r="R59" s="17"/>
      <c r="S59" s="17"/>
      <c r="T59" s="17"/>
      <c r="U59" s="18"/>
      <c r="V59" s="18"/>
      <c r="W59" s="18"/>
      <c r="X59" s="18"/>
      <c r="Y59" s="18"/>
      <c r="Z59" s="18"/>
      <c r="AA59" s="18"/>
      <c r="AB59" s="18"/>
      <c r="AC59" s="18"/>
      <c r="AD59" s="18"/>
      <c r="AE59" s="85" t="str">
        <f t="shared" si="11"/>
        <v>Diluted Weighted Avg Shares</v>
      </c>
      <c r="AF59" s="85">
        <f t="shared" si="12"/>
        <v>0</v>
      </c>
      <c r="AG59" s="85">
        <f t="shared" si="13"/>
        <v>-2.9999999992469384E-4</v>
      </c>
      <c r="AH59" s="85">
        <f t="shared" si="14"/>
        <v>0</v>
      </c>
      <c r="AI59" s="85">
        <f t="shared" si="15"/>
        <v>0</v>
      </c>
      <c r="AJ59" s="85">
        <f t="shared" si="16"/>
        <v>0</v>
      </c>
      <c r="AK59" s="85">
        <f t="shared" si="17"/>
        <v>0</v>
      </c>
      <c r="AL59" s="85">
        <f t="shared" si="18"/>
        <v>0</v>
      </c>
      <c r="AM59" s="85">
        <f t="shared" si="19"/>
        <v>0</v>
      </c>
      <c r="AN59" s="18"/>
      <c r="AO59" s="18"/>
      <c r="AP59" s="77" t="s">
        <v>196</v>
      </c>
      <c r="AQ59" s="18">
        <f>_xll.BDH($B$10,"IS_AVG_NUM_SH_FOR_EPS","-10FY","","Per=fy","Days=W","Fill=E","Curr=","DtFmt=P","Sort=D","Dts=H","Dir=H","FILING_STATUS,EQY_CONSOLIDATED","MR,","cols=11;rows=1")</f>
        <v>1338</v>
      </c>
      <c r="AR59" s="18">
        <v>1336.9963</v>
      </c>
      <c r="AS59" s="18">
        <v>1336</v>
      </c>
      <c r="AT59" s="18">
        <v>1345</v>
      </c>
      <c r="AU59" s="18">
        <v>1362</v>
      </c>
      <c r="AV59" s="18">
        <v>1359</v>
      </c>
      <c r="AW59" s="18">
        <v>1354</v>
      </c>
      <c r="AX59" s="18">
        <v>1345</v>
      </c>
      <c r="AY59" s="18">
        <v>1334</v>
      </c>
      <c r="AZ59" s="18">
        <v>1322</v>
      </c>
      <c r="BA59" s="78">
        <v>1308</v>
      </c>
      <c r="BB59" s="18"/>
      <c r="BC59" s="18"/>
      <c r="BD59" s="18"/>
      <c r="BE59" s="18"/>
      <c r="BF59" s="18"/>
      <c r="BG59" s="18"/>
      <c r="BH59" s="18"/>
      <c r="BI59" s="18"/>
      <c r="BJ59" s="18"/>
      <c r="BK59" s="18"/>
      <c r="BL59" s="18"/>
      <c r="BM59" s="18"/>
      <c r="BN59" s="18"/>
      <c r="BO59" s="18"/>
      <c r="BP59" s="18"/>
      <c r="BQ59" s="37">
        <v>41698</v>
      </c>
      <c r="BR59" s="38">
        <v>33291.947899999999</v>
      </c>
      <c r="BS59" s="17"/>
      <c r="BT59" s="37">
        <v>41698</v>
      </c>
      <c r="BU59" s="38">
        <v>2255</v>
      </c>
      <c r="BV59" s="18"/>
      <c r="BW59" s="37"/>
      <c r="BX59" s="38"/>
      <c r="BY59" s="18"/>
      <c r="BZ59" s="39">
        <f t="shared" si="0"/>
        <v>41698</v>
      </c>
      <c r="CA59" s="40">
        <f t="shared" si="1"/>
        <v>33291.947899999999</v>
      </c>
      <c r="CB59" s="17"/>
      <c r="CC59" s="39">
        <f t="shared" si="2"/>
        <v>41698</v>
      </c>
      <c r="CD59" s="40">
        <f t="shared" si="3"/>
        <v>22.55</v>
      </c>
      <c r="CE59" s="18"/>
      <c r="CF59" s="18"/>
      <c r="CG59" s="18"/>
      <c r="CH59" s="18"/>
      <c r="CI59" s="18"/>
      <c r="CJ59" s="18"/>
      <c r="CK59" s="18"/>
      <c r="CL59" s="18"/>
      <c r="CM59" s="18"/>
      <c r="CN59" s="17"/>
      <c r="CO59" s="17"/>
      <c r="CP59" s="17"/>
      <c r="CQ59" s="18"/>
      <c r="CR59" s="18"/>
      <c r="CS59" s="18"/>
      <c r="CT59" s="18"/>
      <c r="CU59" s="18"/>
      <c r="CV59" s="18"/>
      <c r="CW59" s="18"/>
      <c r="CX59" s="18"/>
      <c r="CY59" s="37">
        <v>44841</v>
      </c>
      <c r="CZ59" s="38">
        <v>17.640999999999998</v>
      </c>
      <c r="DA59" s="18"/>
      <c r="DB59" s="37">
        <v>44841</v>
      </c>
      <c r="DC59" s="38">
        <v>18.1951</v>
      </c>
      <c r="DD59" s="18"/>
      <c r="DE59" s="37">
        <v>44841</v>
      </c>
      <c r="DF59" s="38">
        <v>18.096</v>
      </c>
      <c r="DG59" s="18"/>
      <c r="DH59" s="37">
        <v>44841</v>
      </c>
      <c r="DI59" s="38">
        <v>20.078800000000001</v>
      </c>
      <c r="DJ59" s="18"/>
      <c r="DK59" s="37">
        <v>44841</v>
      </c>
      <c r="DL59" s="38">
        <v>0.1246</v>
      </c>
      <c r="DM59" s="18"/>
      <c r="DN59" s="18"/>
      <c r="DO59" s="18"/>
      <c r="DP59" s="18"/>
      <c r="DQ59" s="18"/>
      <c r="DR59" s="18"/>
      <c r="DS59" s="18"/>
      <c r="DT59" s="18"/>
      <c r="DU59" s="18"/>
      <c r="DV59" s="18"/>
      <c r="DW59" s="18"/>
      <c r="DX59" s="18"/>
      <c r="DY59" s="18"/>
      <c r="DZ59" s="18"/>
    </row>
    <row r="60" spans="1:130" ht="15" customHeight="1" x14ac:dyDescent="0.3">
      <c r="A60" s="30" t="s">
        <v>158</v>
      </c>
      <c r="B60" s="73" t="s">
        <v>443</v>
      </c>
      <c r="C60" s="74">
        <v>0.71599999999999997</v>
      </c>
      <c r="D60" s="74">
        <v>0.72</v>
      </c>
      <c r="E60" s="74">
        <v>0.255</v>
      </c>
      <c r="F60" s="74">
        <v>1.7829999999999999</v>
      </c>
      <c r="G60" s="74">
        <v>0.94199999999999995</v>
      </c>
      <c r="H60" s="74">
        <v>5.274</v>
      </c>
      <c r="I60" s="74">
        <v>1.954</v>
      </c>
      <c r="J60" s="74">
        <v>1.8220000000000001</v>
      </c>
      <c r="K60" s="74">
        <v>1.6519999999999999</v>
      </c>
      <c r="L60" s="74">
        <v>1.347</v>
      </c>
      <c r="M60" s="75">
        <v>4.673</v>
      </c>
      <c r="N60" s="227"/>
      <c r="O60" s="17"/>
      <c r="P60" s="17"/>
      <c r="Q60" s="17"/>
      <c r="R60" s="17"/>
      <c r="S60" s="17"/>
      <c r="T60" s="17"/>
      <c r="U60" s="18"/>
      <c r="V60" s="18"/>
      <c r="W60" s="18"/>
      <c r="X60" s="18"/>
      <c r="Y60" s="18"/>
      <c r="Z60" s="18"/>
      <c r="AA60" s="18"/>
      <c r="AB60" s="18"/>
      <c r="AC60" s="18"/>
      <c r="AD60" s="18"/>
      <c r="AE60" s="85" t="str">
        <f t="shared" si="11"/>
        <v>Diluted EPS Before Abnormal Items</v>
      </c>
      <c r="AF60" s="85">
        <f t="shared" si="12"/>
        <v>4.9999999999994493E-4</v>
      </c>
      <c r="AG60" s="85">
        <f t="shared" si="13"/>
        <v>-9.9999999999988987E-5</v>
      </c>
      <c r="AH60" s="85">
        <f t="shared" si="14"/>
        <v>-9.9999999999988987E-5</v>
      </c>
      <c r="AI60" s="85">
        <f t="shared" si="15"/>
        <v>-9.9999999999988987E-5</v>
      </c>
      <c r="AJ60" s="85">
        <f t="shared" si="16"/>
        <v>2.9999999999996696E-4</v>
      </c>
      <c r="AK60" s="85">
        <f t="shared" si="17"/>
        <v>-3.9999999999995595E-4</v>
      </c>
      <c r="AL60" s="85">
        <f t="shared" si="18"/>
        <v>1.9999999999997797E-4</v>
      </c>
      <c r="AM60" s="85">
        <f t="shared" si="19"/>
        <v>-2.9999999999996696E-4</v>
      </c>
      <c r="AN60" s="18"/>
      <c r="AO60" s="18"/>
      <c r="AP60" s="77" t="s">
        <v>443</v>
      </c>
      <c r="AQ60" s="18">
        <f>_xll.BDH($B$10,"IS_DIL_EPS_CONT_OPS","-10FY","","Per=fy","Days=W","Fill=E","Curr=","DtFmt=P","Sort=D","Dts=H","Dir=H","FILING_STATUS,EQY_CONSOLIDATED","MR,","cols=11;rows=1")</f>
        <v>0.71550000000000002</v>
      </c>
      <c r="AR60" s="18">
        <v>0.72009999999999996</v>
      </c>
      <c r="AS60" s="18">
        <v>0.25509999999999999</v>
      </c>
      <c r="AT60" s="18">
        <v>1.7830999999999999</v>
      </c>
      <c r="AU60" s="18">
        <v>0.94169999999999998</v>
      </c>
      <c r="AV60" s="18">
        <v>5.2744</v>
      </c>
      <c r="AW60" s="18">
        <v>1.9538</v>
      </c>
      <c r="AX60" s="18">
        <v>1.8223</v>
      </c>
      <c r="AY60" s="18">
        <v>1.6519999999999999</v>
      </c>
      <c r="AZ60" s="18">
        <v>1.3469</v>
      </c>
      <c r="BA60" s="78">
        <v>4.6730999999999998</v>
      </c>
      <c r="BB60" s="18"/>
      <c r="BC60" s="18"/>
      <c r="BD60" s="18"/>
      <c r="BE60" s="18"/>
      <c r="BF60" s="18"/>
      <c r="BG60" s="18"/>
      <c r="BH60" s="18"/>
      <c r="BI60" s="18"/>
      <c r="BJ60" s="18"/>
      <c r="BK60" s="18"/>
      <c r="BL60" s="18"/>
      <c r="BM60" s="18"/>
      <c r="BN60" s="18"/>
      <c r="BO60" s="18"/>
      <c r="BP60" s="18"/>
      <c r="BQ60" s="37">
        <v>41729</v>
      </c>
      <c r="BR60" s="38">
        <v>34458.273399999998</v>
      </c>
      <c r="BS60" s="17"/>
      <c r="BT60" s="37">
        <v>41729</v>
      </c>
      <c r="BU60" s="38">
        <v>2334</v>
      </c>
      <c r="BV60" s="18"/>
      <c r="BW60" s="37"/>
      <c r="BX60" s="38"/>
      <c r="BY60" s="18"/>
      <c r="BZ60" s="39">
        <f t="shared" si="0"/>
        <v>41729</v>
      </c>
      <c r="CA60" s="40">
        <f t="shared" si="1"/>
        <v>34458.273399999998</v>
      </c>
      <c r="CB60" s="17"/>
      <c r="CC60" s="39">
        <f t="shared" si="2"/>
        <v>41729</v>
      </c>
      <c r="CD60" s="40">
        <f t="shared" si="3"/>
        <v>23.34</v>
      </c>
      <c r="CE60" s="18"/>
      <c r="CF60" s="18"/>
      <c r="CG60" s="18"/>
      <c r="CH60" s="18"/>
      <c r="CI60" s="18"/>
      <c r="CJ60" s="18"/>
      <c r="CK60" s="18"/>
      <c r="CL60" s="18"/>
      <c r="CM60" s="18"/>
      <c r="CN60" s="17"/>
      <c r="CO60" s="17"/>
      <c r="CP60" s="17"/>
      <c r="CQ60" s="18"/>
      <c r="CR60" s="18"/>
      <c r="CS60" s="18"/>
      <c r="CT60" s="18"/>
      <c r="CU60" s="18"/>
      <c r="CV60" s="18"/>
      <c r="CW60" s="18"/>
      <c r="CX60" s="18"/>
      <c r="CY60" s="37">
        <v>44844</v>
      </c>
      <c r="CZ60" s="38">
        <v>17.578299999999999</v>
      </c>
      <c r="DA60" s="18"/>
      <c r="DB60" s="37">
        <v>44844</v>
      </c>
      <c r="DC60" s="38">
        <v>18.109500000000001</v>
      </c>
      <c r="DD60" s="18"/>
      <c r="DE60" s="37">
        <v>44844</v>
      </c>
      <c r="DF60" s="38">
        <v>18.1005</v>
      </c>
      <c r="DG60" s="18"/>
      <c r="DH60" s="37">
        <v>44844</v>
      </c>
      <c r="DI60" s="38">
        <v>20.058800000000002</v>
      </c>
      <c r="DJ60" s="18"/>
      <c r="DK60" s="37">
        <v>44844</v>
      </c>
      <c r="DL60" s="38">
        <v>0.1242</v>
      </c>
      <c r="DM60" s="18"/>
      <c r="DN60" s="18"/>
      <c r="DO60" s="18"/>
      <c r="DP60" s="18"/>
      <c r="DQ60" s="18"/>
      <c r="DR60" s="18"/>
      <c r="DS60" s="18"/>
      <c r="DT60" s="18"/>
      <c r="DU60" s="18"/>
      <c r="DV60" s="18"/>
      <c r="DW60" s="18"/>
      <c r="DX60" s="18"/>
      <c r="DY60" s="18"/>
      <c r="DZ60" s="18"/>
    </row>
    <row r="61" spans="1:130" ht="15" customHeight="1" x14ac:dyDescent="0.3">
      <c r="A61" s="100" t="s">
        <v>427</v>
      </c>
      <c r="B61" s="73" t="s">
        <v>197</v>
      </c>
      <c r="C61" s="74">
        <v>0.71699999999999997</v>
      </c>
      <c r="D61" s="74">
        <v>0.54300000000000004</v>
      </c>
      <c r="E61" s="74">
        <v>0.28100000000000003</v>
      </c>
      <c r="F61" s="74">
        <v>1.75</v>
      </c>
      <c r="G61" s="74">
        <v>3.536</v>
      </c>
      <c r="H61" s="74">
        <v>-0.40899999999999997</v>
      </c>
      <c r="I61" s="74">
        <v>1.206</v>
      </c>
      <c r="J61" s="74">
        <v>1.748</v>
      </c>
      <c r="K61" s="74">
        <v>1.542</v>
      </c>
      <c r="L61" s="74">
        <v>3.722</v>
      </c>
      <c r="M61" s="75">
        <v>-3.238</v>
      </c>
      <c r="N61" s="227"/>
      <c r="O61" s="17"/>
      <c r="P61" s="17"/>
      <c r="Q61" s="17"/>
      <c r="R61" s="17"/>
      <c r="S61" s="17"/>
      <c r="T61" s="17"/>
      <c r="U61" s="18"/>
      <c r="V61" s="18"/>
      <c r="W61" s="18"/>
      <c r="X61" s="18"/>
      <c r="Y61" s="18"/>
      <c r="Z61" s="18"/>
      <c r="AA61" s="18"/>
      <c r="AB61" s="18"/>
      <c r="AC61" s="18"/>
      <c r="AD61" s="18"/>
      <c r="AE61" s="85" t="str">
        <f t="shared" si="11"/>
        <v>Diluted EPS</v>
      </c>
      <c r="AF61" s="85">
        <f t="shared" si="12"/>
        <v>0</v>
      </c>
      <c r="AG61" s="85">
        <f t="shared" si="13"/>
        <v>0</v>
      </c>
      <c r="AH61" s="85">
        <f t="shared" si="14"/>
        <v>0</v>
      </c>
      <c r="AI61" s="85">
        <f t="shared" si="15"/>
        <v>0</v>
      </c>
      <c r="AJ61" s="85">
        <f t="shared" si="16"/>
        <v>0</v>
      </c>
      <c r="AK61" s="85">
        <f t="shared" si="17"/>
        <v>0</v>
      </c>
      <c r="AL61" s="85">
        <f t="shared" si="18"/>
        <v>0</v>
      </c>
      <c r="AM61" s="85">
        <f t="shared" si="19"/>
        <v>0</v>
      </c>
      <c r="AN61" s="18"/>
      <c r="AO61" s="18"/>
      <c r="AP61" s="77" t="s">
        <v>197</v>
      </c>
      <c r="AQ61" s="18">
        <f>_xll.BDH($B$10,"IS_FULLY_DILUTED_EPS","-10FY","","Per=fy","Days=W","Fill=E","Curr=","DtFmt=P","Sort=D","Dts=H","Dir=H","FILING_STATUS,EQY_CONSOLIDATED","MR,","cols=11;rows=1")</f>
        <v>0.71699999999999997</v>
      </c>
      <c r="AR61" s="18">
        <v>0.54300000000000004</v>
      </c>
      <c r="AS61" s="18">
        <v>0.28100000000000003</v>
      </c>
      <c r="AT61" s="18">
        <v>1.75</v>
      </c>
      <c r="AU61" s="18">
        <v>3.536</v>
      </c>
      <c r="AV61" s="18">
        <v>-0.40899999999999997</v>
      </c>
      <c r="AW61" s="18">
        <v>1.206</v>
      </c>
      <c r="AX61" s="18">
        <v>1.748</v>
      </c>
      <c r="AY61" s="18">
        <v>1.542</v>
      </c>
      <c r="AZ61" s="18">
        <v>3.722</v>
      </c>
      <c r="BA61" s="78">
        <v>-3.238</v>
      </c>
      <c r="BB61" s="18"/>
      <c r="BC61" s="18"/>
      <c r="BD61" s="18"/>
      <c r="BE61" s="18"/>
      <c r="BF61" s="18"/>
      <c r="BG61" s="18"/>
      <c r="BH61" s="18"/>
      <c r="BI61" s="18"/>
      <c r="BJ61" s="18"/>
      <c r="BK61" s="18"/>
      <c r="BL61" s="18"/>
      <c r="BM61" s="18"/>
      <c r="BN61" s="18"/>
      <c r="BO61" s="18"/>
      <c r="BP61" s="18"/>
      <c r="BQ61" s="37">
        <v>41759</v>
      </c>
      <c r="BR61" s="38">
        <v>37647.213900000002</v>
      </c>
      <c r="BS61" s="17"/>
      <c r="BT61" s="37">
        <v>41759</v>
      </c>
      <c r="BU61" s="38">
        <v>2550</v>
      </c>
      <c r="BV61" s="18"/>
      <c r="BW61" s="37"/>
      <c r="BX61" s="38"/>
      <c r="BY61" s="18"/>
      <c r="BZ61" s="39">
        <f t="shared" si="0"/>
        <v>41759</v>
      </c>
      <c r="CA61" s="40">
        <f t="shared" si="1"/>
        <v>37647.213900000002</v>
      </c>
      <c r="CB61" s="17"/>
      <c r="CC61" s="39">
        <f t="shared" si="2"/>
        <v>41759</v>
      </c>
      <c r="CD61" s="40">
        <f t="shared" si="3"/>
        <v>25.5</v>
      </c>
      <c r="CE61" s="18"/>
      <c r="CF61" s="18"/>
      <c r="CG61" s="18"/>
      <c r="CH61" s="18"/>
      <c r="CI61" s="18"/>
      <c r="CJ61" s="18"/>
      <c r="CK61" s="18"/>
      <c r="CL61" s="18"/>
      <c r="CM61" s="18"/>
      <c r="CN61" s="17"/>
      <c r="CO61" s="17"/>
      <c r="CP61" s="17"/>
      <c r="CQ61" s="18"/>
      <c r="CR61" s="18"/>
      <c r="CS61" s="18"/>
      <c r="CT61" s="18"/>
      <c r="CU61" s="18"/>
      <c r="CV61" s="18"/>
      <c r="CW61" s="18"/>
      <c r="CX61" s="18"/>
      <c r="CY61" s="37">
        <v>44845</v>
      </c>
      <c r="CZ61" s="38">
        <v>17.629899999999999</v>
      </c>
      <c r="DA61" s="18"/>
      <c r="DB61" s="37">
        <v>44845</v>
      </c>
      <c r="DC61" s="38">
        <v>18.2166</v>
      </c>
      <c r="DD61" s="18"/>
      <c r="DE61" s="37">
        <v>44845</v>
      </c>
      <c r="DF61" s="38">
        <v>18.1754</v>
      </c>
      <c r="DG61" s="18"/>
      <c r="DH61" s="37">
        <v>44845</v>
      </c>
      <c r="DI61" s="38">
        <v>19.9282</v>
      </c>
      <c r="DJ61" s="18"/>
      <c r="DK61" s="37">
        <v>44845</v>
      </c>
      <c r="DL61" s="38">
        <v>0.1246</v>
      </c>
      <c r="DM61" s="18"/>
      <c r="DN61" s="18"/>
      <c r="DO61" s="18"/>
      <c r="DP61" s="18"/>
      <c r="DQ61" s="18"/>
      <c r="DR61" s="18"/>
      <c r="DS61" s="18"/>
      <c r="DT61" s="18"/>
      <c r="DU61" s="18"/>
      <c r="DV61" s="18"/>
      <c r="DW61" s="18"/>
      <c r="DX61" s="18"/>
      <c r="DY61" s="18"/>
      <c r="DZ61" s="18"/>
    </row>
    <row r="62" spans="1:130" ht="15" customHeight="1" x14ac:dyDescent="0.3">
      <c r="A62" s="100" t="s">
        <v>353</v>
      </c>
      <c r="B62" s="73" t="s">
        <v>198</v>
      </c>
      <c r="C62" s="74">
        <v>1338</v>
      </c>
      <c r="D62" s="74">
        <v>1336.9960000000001</v>
      </c>
      <c r="E62" s="74">
        <v>1336</v>
      </c>
      <c r="F62" s="74">
        <v>1345</v>
      </c>
      <c r="G62" s="74">
        <v>1362</v>
      </c>
      <c r="H62" s="74">
        <v>1359</v>
      </c>
      <c r="I62" s="74">
        <v>1354</v>
      </c>
      <c r="J62" s="74">
        <v>1345</v>
      </c>
      <c r="K62" s="74">
        <v>1334</v>
      </c>
      <c r="L62" s="74">
        <v>1322</v>
      </c>
      <c r="M62" s="75">
        <v>1308</v>
      </c>
      <c r="N62" s="227"/>
      <c r="O62" s="17"/>
      <c r="P62" s="17"/>
      <c r="Q62" s="17"/>
      <c r="R62" s="17"/>
      <c r="S62" s="17"/>
      <c r="T62" s="17"/>
      <c r="U62" s="18"/>
      <c r="V62" s="18"/>
      <c r="W62" s="18"/>
      <c r="X62" s="18"/>
      <c r="Y62" s="18"/>
      <c r="Z62" s="18"/>
      <c r="AA62" s="18"/>
      <c r="AB62" s="18"/>
      <c r="AC62" s="18"/>
      <c r="AD62" s="18"/>
      <c r="AE62" s="85" t="str">
        <f t="shared" si="11"/>
        <v>Diluted Weighted Avg Shares</v>
      </c>
      <c r="AF62" s="85">
        <f t="shared" si="12"/>
        <v>-21.832599999999957</v>
      </c>
      <c r="AG62" s="85">
        <f t="shared" si="13"/>
        <v>-7.3870999999999185</v>
      </c>
      <c r="AH62" s="85">
        <f t="shared" si="14"/>
        <v>0</v>
      </c>
      <c r="AI62" s="85">
        <f t="shared" si="15"/>
        <v>-13</v>
      </c>
      <c r="AJ62" s="85">
        <f t="shared" si="16"/>
        <v>-16</v>
      </c>
      <c r="AK62" s="85">
        <f t="shared" si="17"/>
        <v>-15</v>
      </c>
      <c r="AL62" s="85">
        <f t="shared" si="18"/>
        <v>-22</v>
      </c>
      <c r="AM62" s="85">
        <f t="shared" si="19"/>
        <v>-32</v>
      </c>
      <c r="AN62" s="18"/>
      <c r="AO62" s="18"/>
      <c r="AP62" s="77" t="s">
        <v>198</v>
      </c>
      <c r="AQ62" s="86">
        <f>_xll.BDH($B$10,"IS_SH_FOR_FULLY_DILUTED_EPS","-10FY","","Per=fy","Days=W","Fill=E","Curr=","DtFmt=P","Sort=D","Dts=H","Dir=H","FILING_STATUS,EQY_CONSOLIDATED","MR,","cols=11;rows=1")</f>
        <v>1359.8326</v>
      </c>
      <c r="AR62" s="86">
        <v>1344.3831</v>
      </c>
      <c r="AS62" s="86">
        <v>1336</v>
      </c>
      <c r="AT62" s="86">
        <v>1358</v>
      </c>
      <c r="AU62" s="86">
        <v>1378</v>
      </c>
      <c r="AV62" s="86">
        <v>1374</v>
      </c>
      <c r="AW62" s="86">
        <v>1376</v>
      </c>
      <c r="AX62" s="86">
        <v>1377</v>
      </c>
      <c r="AY62" s="86">
        <v>1363</v>
      </c>
      <c r="AZ62" s="86">
        <v>1354</v>
      </c>
      <c r="BA62" s="87">
        <v>1332</v>
      </c>
      <c r="BB62" s="18"/>
      <c r="BC62" s="18"/>
      <c r="BD62" s="18"/>
      <c r="BE62" s="18"/>
      <c r="BF62" s="18"/>
      <c r="BG62" s="18"/>
      <c r="BH62" s="18"/>
      <c r="BI62" s="18"/>
      <c r="BJ62" s="18"/>
      <c r="BK62" s="18"/>
      <c r="BL62" s="18"/>
      <c r="BM62" s="18"/>
      <c r="BN62" s="18"/>
      <c r="BO62" s="18"/>
      <c r="BP62" s="18"/>
      <c r="BQ62" s="37">
        <v>41789</v>
      </c>
      <c r="BR62" s="38">
        <v>42223.934000000001</v>
      </c>
      <c r="BS62" s="17"/>
      <c r="BT62" s="37">
        <v>41789</v>
      </c>
      <c r="BU62" s="38">
        <v>2860</v>
      </c>
      <c r="BV62" s="18"/>
      <c r="BW62" s="37"/>
      <c r="BX62" s="38"/>
      <c r="BY62" s="18"/>
      <c r="BZ62" s="39">
        <f t="shared" si="0"/>
        <v>41789</v>
      </c>
      <c r="CA62" s="40">
        <f t="shared" si="1"/>
        <v>42223.934000000001</v>
      </c>
      <c r="CB62" s="17"/>
      <c r="CC62" s="39">
        <f t="shared" si="2"/>
        <v>41789</v>
      </c>
      <c r="CD62" s="40">
        <f t="shared" si="3"/>
        <v>28.6</v>
      </c>
      <c r="CE62" s="18"/>
      <c r="CF62" s="18"/>
      <c r="CG62" s="18"/>
      <c r="CH62" s="18"/>
      <c r="CI62" s="18"/>
      <c r="CJ62" s="18"/>
      <c r="CK62" s="18"/>
      <c r="CL62" s="18"/>
      <c r="CM62" s="18"/>
      <c r="CN62" s="17"/>
      <c r="CO62" s="17"/>
      <c r="CP62" s="17"/>
      <c r="CQ62" s="18"/>
      <c r="CR62" s="18"/>
      <c r="CS62" s="18"/>
      <c r="CT62" s="18"/>
      <c r="CU62" s="18"/>
      <c r="CV62" s="18"/>
      <c r="CW62" s="18"/>
      <c r="CX62" s="18"/>
      <c r="CY62" s="37">
        <v>44846</v>
      </c>
      <c r="CZ62" s="38">
        <v>17.758800000000001</v>
      </c>
      <c r="DA62" s="18"/>
      <c r="DB62" s="37">
        <v>44846</v>
      </c>
      <c r="DC62" s="38">
        <v>18.344100000000001</v>
      </c>
      <c r="DD62" s="18"/>
      <c r="DE62" s="37">
        <v>44846</v>
      </c>
      <c r="DF62" s="38">
        <v>18.297799999999999</v>
      </c>
      <c r="DG62" s="18"/>
      <c r="DH62" s="37">
        <v>44846</v>
      </c>
      <c r="DI62" s="38">
        <v>20.308700000000002</v>
      </c>
      <c r="DJ62" s="18"/>
      <c r="DK62" s="37">
        <v>44846</v>
      </c>
      <c r="DL62" s="38">
        <v>0.12470000000000001</v>
      </c>
      <c r="DM62" s="18"/>
      <c r="DN62" s="18"/>
      <c r="DO62" s="18"/>
      <c r="DP62" s="18"/>
      <c r="DQ62" s="18"/>
      <c r="DR62" s="18"/>
      <c r="DS62" s="18"/>
      <c r="DT62" s="18"/>
      <c r="DU62" s="18"/>
      <c r="DV62" s="18"/>
      <c r="DW62" s="18"/>
      <c r="DX62" s="18"/>
      <c r="DY62" s="18"/>
      <c r="DZ62" s="18"/>
    </row>
    <row r="63" spans="1:130" ht="15" customHeight="1" thickBot="1" x14ac:dyDescent="0.35">
      <c r="A63" s="45"/>
      <c r="B63" s="109" t="s">
        <v>199</v>
      </c>
      <c r="C63" s="110">
        <f t="shared" ref="C63:M63" si="20">C60</f>
        <v>0.71599999999999997</v>
      </c>
      <c r="D63" s="110">
        <f t="shared" si="20"/>
        <v>0.72</v>
      </c>
      <c r="E63" s="110">
        <f t="shared" si="20"/>
        <v>0.255</v>
      </c>
      <c r="F63" s="110">
        <f t="shared" si="20"/>
        <v>1.7829999999999999</v>
      </c>
      <c r="G63" s="110">
        <f t="shared" si="20"/>
        <v>0.94199999999999995</v>
      </c>
      <c r="H63" s="110">
        <f t="shared" si="20"/>
        <v>5.274</v>
      </c>
      <c r="I63" s="110">
        <f t="shared" si="20"/>
        <v>1.954</v>
      </c>
      <c r="J63" s="110">
        <f t="shared" si="20"/>
        <v>1.8220000000000001</v>
      </c>
      <c r="K63" s="110">
        <f t="shared" si="20"/>
        <v>1.6519999999999999</v>
      </c>
      <c r="L63" s="110">
        <f t="shared" si="20"/>
        <v>1.347</v>
      </c>
      <c r="M63" s="111">
        <f t="shared" si="20"/>
        <v>4.673</v>
      </c>
      <c r="N63" s="227"/>
      <c r="O63" s="17"/>
      <c r="P63" s="17"/>
      <c r="Q63" s="17"/>
      <c r="R63" s="17"/>
      <c r="S63" s="17"/>
      <c r="T63" s="17"/>
      <c r="U63" s="18"/>
      <c r="V63" s="18"/>
      <c r="W63" s="18"/>
      <c r="X63" s="18"/>
      <c r="Y63" s="18"/>
      <c r="Z63" s="18"/>
      <c r="AA63" s="18"/>
      <c r="AB63" s="18"/>
      <c r="AC63" s="18"/>
      <c r="AD63" s="18"/>
      <c r="AE63" s="85" t="str">
        <f t="shared" si="11"/>
        <v>Headline EPS</v>
      </c>
      <c r="AF63" s="85"/>
      <c r="AG63" s="85"/>
      <c r="AH63" s="85"/>
      <c r="AI63" s="85"/>
      <c r="AJ63" s="85"/>
      <c r="AK63" s="85"/>
      <c r="AL63" s="85"/>
      <c r="AM63" s="85"/>
      <c r="AN63" s="18"/>
      <c r="AO63" s="18"/>
      <c r="AP63" s="105" t="s">
        <v>199</v>
      </c>
      <c r="AQ63" s="86">
        <f>AQ60</f>
        <v>0.71550000000000002</v>
      </c>
      <c r="AR63" s="86">
        <f>AR60</f>
        <v>0.72009999999999996</v>
      </c>
      <c r="AS63" s="86">
        <f>AS60</f>
        <v>0.25509999999999999</v>
      </c>
      <c r="AT63" s="86">
        <f>AT60</f>
        <v>1.7830999999999999</v>
      </c>
      <c r="AU63" s="86">
        <f>AU60</f>
        <v>0.94169999999999998</v>
      </c>
      <c r="AV63" s="86"/>
      <c r="AW63" s="86"/>
      <c r="AX63" s="86"/>
      <c r="AY63" s="86"/>
      <c r="AZ63" s="86"/>
      <c r="BA63" s="87"/>
      <c r="BB63" s="18"/>
      <c r="BC63" s="18"/>
      <c r="BD63" s="18"/>
      <c r="BE63" s="18"/>
      <c r="BF63" s="18"/>
      <c r="BG63" s="18"/>
      <c r="BH63" s="18"/>
      <c r="BI63" s="18"/>
      <c r="BJ63" s="18"/>
      <c r="BK63" s="18"/>
      <c r="BL63" s="18"/>
      <c r="BM63" s="18"/>
      <c r="BN63" s="18"/>
      <c r="BO63" s="18"/>
      <c r="BP63" s="18"/>
      <c r="BQ63" s="37">
        <v>41820</v>
      </c>
      <c r="BR63" s="38">
        <v>42381.793100000003</v>
      </c>
      <c r="BS63" s="17"/>
      <c r="BT63" s="37">
        <v>41820</v>
      </c>
      <c r="BU63" s="38">
        <v>2870</v>
      </c>
      <c r="BV63" s="18"/>
      <c r="BW63" s="37"/>
      <c r="BX63" s="38"/>
      <c r="BY63" s="18"/>
      <c r="BZ63" s="39">
        <f t="shared" si="0"/>
        <v>41820</v>
      </c>
      <c r="CA63" s="40">
        <f t="shared" si="1"/>
        <v>42381.793100000003</v>
      </c>
      <c r="CB63" s="17"/>
      <c r="CC63" s="39">
        <f t="shared" si="2"/>
        <v>41820</v>
      </c>
      <c r="CD63" s="40">
        <f t="shared" si="3"/>
        <v>28.7</v>
      </c>
      <c r="CE63" s="18"/>
      <c r="CF63" s="18"/>
      <c r="CG63" s="18"/>
      <c r="CH63" s="18"/>
      <c r="CI63" s="18"/>
      <c r="CJ63" s="18"/>
      <c r="CK63" s="18"/>
      <c r="CL63" s="18"/>
      <c r="CM63" s="18"/>
      <c r="CN63" s="17"/>
      <c r="CO63" s="17"/>
      <c r="CP63" s="17"/>
      <c r="CQ63" s="18"/>
      <c r="CR63" s="18"/>
      <c r="CS63" s="18"/>
      <c r="CT63" s="18"/>
      <c r="CU63" s="18"/>
      <c r="CV63" s="18"/>
      <c r="CW63" s="18"/>
      <c r="CX63" s="18"/>
      <c r="CY63" s="37">
        <v>44847</v>
      </c>
      <c r="CZ63" s="38">
        <v>17.8066</v>
      </c>
      <c r="DA63" s="18"/>
      <c r="DB63" s="37">
        <v>44847</v>
      </c>
      <c r="DC63" s="38">
        <v>18.204799999999999</v>
      </c>
      <c r="DD63" s="18"/>
      <c r="DE63" s="37">
        <v>44847</v>
      </c>
      <c r="DF63" s="38">
        <v>18.235099999999999</v>
      </c>
      <c r="DG63" s="18"/>
      <c r="DH63" s="37">
        <v>44847</v>
      </c>
      <c r="DI63" s="38">
        <v>20.6007</v>
      </c>
      <c r="DJ63" s="18"/>
      <c r="DK63" s="37">
        <v>44847</v>
      </c>
      <c r="DL63" s="38">
        <v>0.12379999999999999</v>
      </c>
      <c r="DM63" s="18"/>
      <c r="DN63" s="18"/>
      <c r="DO63" s="18"/>
      <c r="DP63" s="18"/>
      <c r="DQ63" s="18"/>
      <c r="DR63" s="18"/>
      <c r="DS63" s="18"/>
      <c r="DT63" s="18"/>
      <c r="DU63" s="18"/>
      <c r="DV63" s="18"/>
      <c r="DW63" s="18"/>
      <c r="DX63" s="18"/>
      <c r="DY63" s="18"/>
      <c r="DZ63" s="18"/>
    </row>
    <row r="64" spans="1:130" ht="15" customHeight="1" x14ac:dyDescent="0.3">
      <c r="A64" s="30" t="s">
        <v>97</v>
      </c>
      <c r="B64" s="90" t="s">
        <v>97</v>
      </c>
      <c r="C64" s="91">
        <v>3485</v>
      </c>
      <c r="D64" s="91">
        <v>3244</v>
      </c>
      <c r="E64" s="91">
        <v>2732</v>
      </c>
      <c r="F64" s="91">
        <v>4388</v>
      </c>
      <c r="G64" s="91">
        <v>2904</v>
      </c>
      <c r="H64" s="91">
        <v>4833</v>
      </c>
      <c r="I64" s="91">
        <v>5539</v>
      </c>
      <c r="J64" s="91">
        <v>4981</v>
      </c>
      <c r="K64" s="91">
        <v>4404</v>
      </c>
      <c r="L64" s="91">
        <v>7343</v>
      </c>
      <c r="M64" s="92">
        <v>-5615</v>
      </c>
      <c r="N64" s="227"/>
      <c r="O64" s="17"/>
      <c r="P64" s="17"/>
      <c r="Q64" s="17"/>
      <c r="R64" s="17"/>
      <c r="S64" s="17"/>
      <c r="T64" s="17"/>
      <c r="U64" s="18"/>
      <c r="V64" s="18"/>
      <c r="W64" s="18"/>
      <c r="X64" s="18"/>
      <c r="Y64" s="18"/>
      <c r="Z64" s="18"/>
      <c r="AA64" s="18"/>
      <c r="AB64" s="18"/>
      <c r="AC64" s="18"/>
      <c r="AD64" s="18"/>
      <c r="AE64" s="18"/>
      <c r="AF64" s="85"/>
      <c r="AG64" s="85"/>
      <c r="AH64" s="85"/>
      <c r="AI64" s="85"/>
      <c r="AJ64" s="85"/>
      <c r="AK64" s="85"/>
      <c r="AL64" s="85"/>
      <c r="AM64" s="85"/>
      <c r="AN64" s="18"/>
      <c r="AO64" s="18"/>
      <c r="AP64" s="77"/>
      <c r="AQ64" s="18"/>
      <c r="AR64" s="18"/>
      <c r="AS64" s="18"/>
      <c r="AT64" s="18"/>
      <c r="AU64" s="18"/>
      <c r="AV64" s="18"/>
      <c r="AW64" s="18"/>
      <c r="AX64" s="18"/>
      <c r="AY64" s="18"/>
      <c r="AZ64" s="18"/>
      <c r="BA64" s="78"/>
      <c r="BB64" s="18"/>
      <c r="BC64" s="18"/>
      <c r="BD64" s="18"/>
      <c r="BE64" s="18"/>
      <c r="BF64" s="18"/>
      <c r="BG64" s="18"/>
      <c r="BH64" s="18"/>
      <c r="BI64" s="18"/>
      <c r="BJ64" s="18"/>
      <c r="BK64" s="18"/>
      <c r="BL64" s="18"/>
      <c r="BM64" s="18"/>
      <c r="BN64" s="18"/>
      <c r="BO64" s="18"/>
      <c r="BP64" s="18"/>
      <c r="BQ64" s="37">
        <v>41851</v>
      </c>
      <c r="BR64" s="38">
        <v>45635.256399999998</v>
      </c>
      <c r="BS64" s="17"/>
      <c r="BT64" s="37">
        <v>41851</v>
      </c>
      <c r="BU64" s="38">
        <v>3090</v>
      </c>
      <c r="BV64" s="18"/>
      <c r="BW64" s="37"/>
      <c r="BX64" s="38"/>
      <c r="BY64" s="18"/>
      <c r="BZ64" s="39">
        <f t="shared" si="0"/>
        <v>41851</v>
      </c>
      <c r="CA64" s="40">
        <f t="shared" si="1"/>
        <v>45635.256399999998</v>
      </c>
      <c r="CB64" s="17"/>
      <c r="CC64" s="39">
        <f t="shared" si="2"/>
        <v>41851</v>
      </c>
      <c r="CD64" s="40">
        <f t="shared" si="3"/>
        <v>30.900000000000002</v>
      </c>
      <c r="CE64" s="18"/>
      <c r="CF64" s="18"/>
      <c r="CG64" s="18"/>
      <c r="CH64" s="18"/>
      <c r="CI64" s="18"/>
      <c r="CJ64" s="18"/>
      <c r="CK64" s="18"/>
      <c r="CL64" s="18"/>
      <c r="CM64" s="18"/>
      <c r="CN64" s="17"/>
      <c r="CO64" s="17"/>
      <c r="CP64" s="17"/>
      <c r="CQ64" s="18"/>
      <c r="CR64" s="18"/>
      <c r="CS64" s="18"/>
      <c r="CT64" s="18"/>
      <c r="CU64" s="18"/>
      <c r="CV64" s="18"/>
      <c r="CW64" s="18"/>
      <c r="CX64" s="18"/>
      <c r="CY64" s="37">
        <v>44848</v>
      </c>
      <c r="CZ64" s="38">
        <v>17.849799999999998</v>
      </c>
      <c r="DA64" s="18"/>
      <c r="DB64" s="37">
        <v>44848</v>
      </c>
      <c r="DC64" s="38">
        <v>18.256599999999999</v>
      </c>
      <c r="DD64" s="18"/>
      <c r="DE64" s="37">
        <v>44848</v>
      </c>
      <c r="DF64" s="38">
        <v>18.359400000000001</v>
      </c>
      <c r="DG64" s="18"/>
      <c r="DH64" s="37">
        <v>44848</v>
      </c>
      <c r="DI64" s="38">
        <v>20.524100000000001</v>
      </c>
      <c r="DJ64" s="18"/>
      <c r="DK64" s="37">
        <v>44848</v>
      </c>
      <c r="DL64" s="38">
        <v>0.1235</v>
      </c>
      <c r="DM64" s="18"/>
      <c r="DN64" s="18"/>
      <c r="DO64" s="18"/>
      <c r="DP64" s="18"/>
      <c r="DQ64" s="18"/>
      <c r="DR64" s="18"/>
      <c r="DS64" s="18"/>
      <c r="DT64" s="18"/>
      <c r="DU64" s="18"/>
      <c r="DV64" s="18"/>
      <c r="DW64" s="18"/>
      <c r="DX64" s="18"/>
      <c r="DY64" s="18"/>
      <c r="DZ64" s="18"/>
    </row>
    <row r="65" spans="1:130" ht="15" customHeight="1" x14ac:dyDescent="0.3">
      <c r="A65" s="30" t="s">
        <v>324</v>
      </c>
      <c r="B65" s="73" t="s">
        <v>200</v>
      </c>
      <c r="C65" s="74">
        <v>48.77</v>
      </c>
      <c r="D65" s="74">
        <v>49.3</v>
      </c>
      <c r="E65" s="74">
        <v>47.94</v>
      </c>
      <c r="F65" s="74">
        <v>50.66</v>
      </c>
      <c r="G65" s="74">
        <v>49.97</v>
      </c>
      <c r="H65" s="74">
        <v>49.46</v>
      </c>
      <c r="I65" s="74">
        <v>43.61</v>
      </c>
      <c r="J65" s="74">
        <v>43.79</v>
      </c>
      <c r="K65" s="74">
        <v>42.65</v>
      </c>
      <c r="L65" s="74">
        <v>43.15</v>
      </c>
      <c r="M65" s="75">
        <v>42.13</v>
      </c>
      <c r="N65" s="227"/>
      <c r="O65" s="17"/>
      <c r="P65" s="17"/>
      <c r="Q65" s="17"/>
      <c r="R65" s="17"/>
      <c r="S65" s="17"/>
      <c r="T65" s="17"/>
      <c r="U65" s="18"/>
      <c r="V65" s="18"/>
      <c r="W65" s="18"/>
      <c r="X65" s="18"/>
      <c r="Y65" s="18"/>
      <c r="Z65" s="18"/>
      <c r="AA65" s="18"/>
      <c r="AB65" s="18"/>
      <c r="AC65" s="18"/>
      <c r="AD65" s="18"/>
      <c r="AE65" s="18" t="str">
        <f t="shared" ref="AE65:AE78" si="21">B65</f>
        <v>Gross Margin</v>
      </c>
      <c r="AF65" s="85">
        <f t="shared" ref="AF65:AF78" si="22">C65-AQ65</f>
        <v>4.1000000000011028E-3</v>
      </c>
      <c r="AG65" s="85">
        <f t="shared" ref="AG65:AG78" si="23">D65-AR65</f>
        <v>-1.90000000000623E-3</v>
      </c>
      <c r="AH65" s="85">
        <f t="shared" ref="AH65:AH78" si="24">E65-AS65</f>
        <v>1.799999999995805E-3</v>
      </c>
      <c r="AI65" s="85">
        <f t="shared" ref="AI65:AI78" si="25">F65-AT65</f>
        <v>4.5999999999963848E-3</v>
      </c>
      <c r="AJ65" s="85">
        <f t="shared" ref="AJ65:AJ78" si="26">G65-AU65</f>
        <v>-3.5000000000025011E-3</v>
      </c>
      <c r="AK65" s="85">
        <f t="shared" ref="AK65:AK78" si="27">H65-AV65</f>
        <v>4.1000000000011028E-3</v>
      </c>
      <c r="AL65" s="85">
        <f t="shared" ref="AL65:AL78" si="28">I65-AW65</f>
        <v>-3.1000000000034333E-3</v>
      </c>
      <c r="AM65" s="85">
        <f t="shared" ref="AM65:AM78" si="29">J65-AX65</f>
        <v>-2.8000000000005798E-3</v>
      </c>
      <c r="AN65" s="18"/>
      <c r="AO65" s="18"/>
      <c r="AP65" s="77" t="s">
        <v>200</v>
      </c>
      <c r="AQ65" s="18">
        <f>_xll.BDH($B$10,"GROSS_MARGIN","-10FY","","Per=fy","Days=W","Fill=E","Curr=","DtFmt=P","Sort=D","Dts=H","Dir=H","FILING_STATUS,EQY_CONSOLIDATED","MR,","cols=11;rows=1")</f>
        <v>48.765900000000002</v>
      </c>
      <c r="AR65" s="18">
        <v>49.301900000000003</v>
      </c>
      <c r="AS65" s="18">
        <v>47.938200000000002</v>
      </c>
      <c r="AT65" s="18">
        <v>50.6554</v>
      </c>
      <c r="AU65" s="18">
        <v>49.973500000000001</v>
      </c>
      <c r="AV65" s="18">
        <v>49.4559</v>
      </c>
      <c r="AW65" s="18">
        <v>43.613100000000003</v>
      </c>
      <c r="AX65" s="18">
        <v>43.7928</v>
      </c>
      <c r="AY65" s="18">
        <v>42.651699999999998</v>
      </c>
      <c r="AZ65" s="18">
        <v>43.145099999999999</v>
      </c>
      <c r="BA65" s="78">
        <v>42.134700000000002</v>
      </c>
      <c r="BB65" s="18"/>
      <c r="BC65" s="18"/>
      <c r="BD65" s="18"/>
      <c r="BE65" s="18"/>
      <c r="BF65" s="18"/>
      <c r="BG65" s="18"/>
      <c r="BH65" s="18"/>
      <c r="BI65" s="18"/>
      <c r="BJ65" s="18"/>
      <c r="BK65" s="18"/>
      <c r="BL65" s="18"/>
      <c r="BM65" s="18"/>
      <c r="BN65" s="18"/>
      <c r="BO65" s="18"/>
      <c r="BP65" s="18"/>
      <c r="BQ65" s="37">
        <v>41880</v>
      </c>
      <c r="BR65" s="38">
        <v>47746.505100000002</v>
      </c>
      <c r="BS65" s="17"/>
      <c r="BT65" s="37">
        <v>41880</v>
      </c>
      <c r="BU65" s="38">
        <v>3230</v>
      </c>
      <c r="BV65" s="18"/>
      <c r="BW65" s="37"/>
      <c r="BX65" s="38"/>
      <c r="BY65" s="18"/>
      <c r="BZ65" s="39">
        <f t="shared" si="0"/>
        <v>41880</v>
      </c>
      <c r="CA65" s="40">
        <f t="shared" si="1"/>
        <v>47746.505100000002</v>
      </c>
      <c r="CB65" s="17"/>
      <c r="CC65" s="39">
        <f t="shared" si="2"/>
        <v>41880</v>
      </c>
      <c r="CD65" s="40">
        <f t="shared" si="3"/>
        <v>32.299999999999997</v>
      </c>
      <c r="CE65" s="18"/>
      <c r="CF65" s="18"/>
      <c r="CG65" s="18"/>
      <c r="CH65" s="18"/>
      <c r="CI65" s="18"/>
      <c r="CJ65" s="18"/>
      <c r="CK65" s="18"/>
      <c r="CL65" s="18"/>
      <c r="CM65" s="18"/>
      <c r="CN65" s="17"/>
      <c r="CO65" s="17"/>
      <c r="CP65" s="17"/>
      <c r="CQ65" s="18"/>
      <c r="CR65" s="18"/>
      <c r="CS65" s="18"/>
      <c r="CT65" s="18"/>
      <c r="CU65" s="18"/>
      <c r="CV65" s="18"/>
      <c r="CW65" s="18"/>
      <c r="CX65" s="18"/>
      <c r="CY65" s="37">
        <v>44851</v>
      </c>
      <c r="CZ65" s="38">
        <v>17.791899999999998</v>
      </c>
      <c r="DA65" s="18"/>
      <c r="DB65" s="37">
        <v>44851</v>
      </c>
      <c r="DC65" s="38">
        <v>18.147400000000001</v>
      </c>
      <c r="DD65" s="18"/>
      <c r="DE65" s="37">
        <v>44851</v>
      </c>
      <c r="DF65" s="38">
        <v>18.072299999999998</v>
      </c>
      <c r="DG65" s="18"/>
      <c r="DH65" s="37">
        <v>44851</v>
      </c>
      <c r="DI65" s="38">
        <v>20.516100000000002</v>
      </c>
      <c r="DJ65" s="18"/>
      <c r="DK65" s="37">
        <v>44851</v>
      </c>
      <c r="DL65" s="38">
        <v>0.12130000000000001</v>
      </c>
      <c r="DM65" s="18"/>
      <c r="DN65" s="18"/>
      <c r="DO65" s="18"/>
      <c r="DP65" s="18"/>
      <c r="DQ65" s="18"/>
      <c r="DR65" s="18"/>
      <c r="DS65" s="18"/>
      <c r="DT65" s="18"/>
      <c r="DU65" s="18"/>
      <c r="DV65" s="18"/>
      <c r="DW65" s="18"/>
      <c r="DX65" s="18"/>
      <c r="DY65" s="18"/>
      <c r="DZ65" s="18"/>
    </row>
    <row r="66" spans="1:130" ht="15" customHeight="1" x14ac:dyDescent="0.3">
      <c r="A66" s="30" t="s">
        <v>327</v>
      </c>
      <c r="B66" s="73" t="s">
        <v>201</v>
      </c>
      <c r="C66" s="74">
        <v>10.55</v>
      </c>
      <c r="D66" s="74">
        <v>9.7899999999999991</v>
      </c>
      <c r="E66" s="74">
        <v>8.32</v>
      </c>
      <c r="F66" s="74">
        <v>16.86</v>
      </c>
      <c r="G66" s="74">
        <v>9.3699999999999992</v>
      </c>
      <c r="H66" s="74">
        <v>18.489999999999998</v>
      </c>
      <c r="I66" s="74">
        <v>10.97</v>
      </c>
      <c r="J66" s="74">
        <v>11.06</v>
      </c>
      <c r="K66" s="74">
        <v>10.24</v>
      </c>
      <c r="L66" s="74">
        <v>22.84</v>
      </c>
      <c r="M66" s="75">
        <v>-27.65</v>
      </c>
      <c r="N66" s="227"/>
      <c r="O66" s="17"/>
      <c r="P66" s="17"/>
      <c r="Q66" s="17"/>
      <c r="R66" s="17"/>
      <c r="S66" s="17"/>
      <c r="T66" s="17"/>
      <c r="U66" s="18"/>
      <c r="V66" s="18"/>
      <c r="W66" s="18"/>
      <c r="X66" s="18"/>
      <c r="Y66" s="18"/>
      <c r="Z66" s="18"/>
      <c r="AA66" s="18"/>
      <c r="AB66" s="18"/>
      <c r="AC66" s="18"/>
      <c r="AD66" s="18"/>
      <c r="AE66" s="18" t="str">
        <f t="shared" si="21"/>
        <v>Operating Margin</v>
      </c>
      <c r="AF66" s="85">
        <f t="shared" si="22"/>
        <v>2.8000000000005798E-3</v>
      </c>
      <c r="AG66" s="85">
        <f t="shared" si="23"/>
        <v>-2.500000000001279E-3</v>
      </c>
      <c r="AH66" s="85">
        <f t="shared" si="24"/>
        <v>3.8999999999997925E-3</v>
      </c>
      <c r="AI66" s="85">
        <f t="shared" si="25"/>
        <v>-3.9999999999906777E-4</v>
      </c>
      <c r="AJ66" s="85">
        <f t="shared" si="26"/>
        <v>-3.9000000000015689E-3</v>
      </c>
      <c r="AK66" s="85">
        <f t="shared" si="27"/>
        <v>8.9999999999790248E-4</v>
      </c>
      <c r="AL66" s="85">
        <f t="shared" si="28"/>
        <v>-4.6999999999997044E-3</v>
      </c>
      <c r="AM66" s="85">
        <f t="shared" si="29"/>
        <v>1.300000000000523E-3</v>
      </c>
      <c r="AN66" s="18"/>
      <c r="AO66" s="18"/>
      <c r="AP66" s="77" t="s">
        <v>201</v>
      </c>
      <c r="AQ66" s="18">
        <f>_xll.BDH($B$10,"OPER_MARGIN","-10FY","","Per=fy","Days=W","Fill=E","Curr=","DtFmt=P","Sort=D","Dts=H","Dir=H","FILING_STATUS,EQY_CONSOLIDATED","MR,","cols=11;rows=1")</f>
        <v>10.5472</v>
      </c>
      <c r="AR66" s="18">
        <v>9.7925000000000004</v>
      </c>
      <c r="AS66" s="18">
        <v>8.3161000000000005</v>
      </c>
      <c r="AT66" s="18">
        <v>16.860399999999998</v>
      </c>
      <c r="AU66" s="18">
        <v>9.3739000000000008</v>
      </c>
      <c r="AV66" s="18">
        <v>18.489100000000001</v>
      </c>
      <c r="AW66" s="18">
        <v>10.9747</v>
      </c>
      <c r="AX66" s="18">
        <v>11.0587</v>
      </c>
      <c r="AY66" s="18">
        <v>10.234999999999999</v>
      </c>
      <c r="AZ66" s="18">
        <v>22.8398</v>
      </c>
      <c r="BA66" s="78">
        <v>-27.651499999999999</v>
      </c>
      <c r="BB66" s="18"/>
      <c r="BC66" s="18"/>
      <c r="BD66" s="18"/>
      <c r="BE66" s="18"/>
      <c r="BF66" s="18"/>
      <c r="BG66" s="18"/>
      <c r="BH66" s="18"/>
      <c r="BI66" s="18"/>
      <c r="BJ66" s="18"/>
      <c r="BK66" s="18"/>
      <c r="BL66" s="18"/>
      <c r="BM66" s="18"/>
      <c r="BN66" s="18"/>
      <c r="BO66" s="18"/>
      <c r="BP66" s="18"/>
      <c r="BQ66" s="37">
        <v>41912</v>
      </c>
      <c r="BR66" s="38">
        <v>46726.533300000003</v>
      </c>
      <c r="BS66" s="17"/>
      <c r="BT66" s="37">
        <v>41912</v>
      </c>
      <c r="BU66" s="38">
        <v>3161</v>
      </c>
      <c r="BV66" s="18"/>
      <c r="BW66" s="37"/>
      <c r="BX66" s="38"/>
      <c r="BY66" s="18"/>
      <c r="BZ66" s="39">
        <f t="shared" si="0"/>
        <v>41912</v>
      </c>
      <c r="CA66" s="40">
        <f t="shared" si="1"/>
        <v>46726.533300000003</v>
      </c>
      <c r="CB66" s="17"/>
      <c r="CC66" s="39">
        <f t="shared" si="2"/>
        <v>41912</v>
      </c>
      <c r="CD66" s="40">
        <f t="shared" si="3"/>
        <v>31.61</v>
      </c>
      <c r="CE66" s="18"/>
      <c r="CF66" s="18"/>
      <c r="CG66" s="18"/>
      <c r="CH66" s="18"/>
      <c r="CI66" s="18"/>
      <c r="CJ66" s="18"/>
      <c r="CK66" s="18"/>
      <c r="CL66" s="18"/>
      <c r="CM66" s="18"/>
      <c r="CN66" s="17"/>
      <c r="CO66" s="17"/>
      <c r="CP66" s="17"/>
      <c r="CQ66" s="18"/>
      <c r="CR66" s="18"/>
      <c r="CS66" s="18"/>
      <c r="CT66" s="18"/>
      <c r="CU66" s="18"/>
      <c r="CV66" s="18"/>
      <c r="CW66" s="18"/>
      <c r="CX66" s="18"/>
      <c r="CY66" s="37">
        <v>44852</v>
      </c>
      <c r="CZ66" s="38">
        <v>17.828299999999999</v>
      </c>
      <c r="DA66" s="18"/>
      <c r="DB66" s="37">
        <v>44852</v>
      </c>
      <c r="DC66" s="38">
        <v>18.1907</v>
      </c>
      <c r="DD66" s="18"/>
      <c r="DE66" s="37">
        <v>44852</v>
      </c>
      <c r="DF66" s="38">
        <v>18.075299999999999</v>
      </c>
      <c r="DG66" s="18"/>
      <c r="DH66" s="37">
        <v>44852</v>
      </c>
      <c r="DI66" s="38">
        <v>20.497299999999999</v>
      </c>
      <c r="DJ66" s="18"/>
      <c r="DK66" s="37">
        <v>44852</v>
      </c>
      <c r="DL66" s="38">
        <v>0.1212</v>
      </c>
      <c r="DM66" s="18"/>
      <c r="DN66" s="18"/>
      <c r="DO66" s="18"/>
      <c r="DP66" s="18"/>
      <c r="DQ66" s="18"/>
      <c r="DR66" s="18"/>
      <c r="DS66" s="18"/>
      <c r="DT66" s="18"/>
      <c r="DU66" s="18"/>
      <c r="DV66" s="18"/>
      <c r="DW66" s="18"/>
      <c r="DX66" s="18"/>
      <c r="DY66" s="18"/>
      <c r="DZ66" s="18"/>
    </row>
    <row r="67" spans="1:130" ht="15" customHeight="1" x14ac:dyDescent="0.3">
      <c r="A67" s="30" t="s">
        <v>354</v>
      </c>
      <c r="B67" s="73" t="s">
        <v>63</v>
      </c>
      <c r="C67" s="74">
        <v>4.68</v>
      </c>
      <c r="D67" s="74">
        <v>3.63</v>
      </c>
      <c r="E67" s="74">
        <v>2.37</v>
      </c>
      <c r="F67" s="74">
        <v>11.33</v>
      </c>
      <c r="G67" s="74">
        <v>23.85</v>
      </c>
      <c r="H67" s="74">
        <v>-2.58</v>
      </c>
      <c r="I67" s="74">
        <v>4.55</v>
      </c>
      <c r="J67" s="74">
        <v>7.3</v>
      </c>
      <c r="K67" s="74">
        <v>6.77</v>
      </c>
      <c r="L67" s="74">
        <v>18.59</v>
      </c>
      <c r="M67" s="75">
        <v>-16.64</v>
      </c>
      <c r="N67" s="227"/>
      <c r="O67" s="17"/>
      <c r="P67" s="17"/>
      <c r="Q67" s="17"/>
      <c r="R67" s="17"/>
      <c r="S67" s="17"/>
      <c r="T67" s="17"/>
      <c r="U67" s="18"/>
      <c r="V67" s="18"/>
      <c r="W67" s="18"/>
      <c r="X67" s="18"/>
      <c r="Y67" s="18"/>
      <c r="Z67" s="18"/>
      <c r="AA67" s="18"/>
      <c r="AB67" s="18"/>
      <c r="AC67" s="18"/>
      <c r="AD67" s="18"/>
      <c r="AE67" s="18" t="str">
        <f t="shared" si="21"/>
        <v>Profit Margin</v>
      </c>
      <c r="AF67" s="85">
        <f t="shared" si="22"/>
        <v>-2.0000000000006679E-3</v>
      </c>
      <c r="AG67" s="85">
        <f t="shared" si="23"/>
        <v>2.5999999999997137E-3</v>
      </c>
      <c r="AH67" s="85">
        <f t="shared" si="24"/>
        <v>3.1000000000003247E-3</v>
      </c>
      <c r="AI67" s="85">
        <f t="shared" si="25"/>
        <v>-4.5000000000001705E-3</v>
      </c>
      <c r="AJ67" s="85">
        <f t="shared" si="26"/>
        <v>4.8000000000030241E-3</v>
      </c>
      <c r="AK67" s="85">
        <f t="shared" si="27"/>
        <v>-7.0000000000014495E-4</v>
      </c>
      <c r="AL67" s="85">
        <f t="shared" si="28"/>
        <v>1.9000000000000128E-3</v>
      </c>
      <c r="AM67" s="85">
        <f t="shared" si="29"/>
        <v>-3.00000000000189E-4</v>
      </c>
      <c r="AN67" s="18"/>
      <c r="AO67" s="18"/>
      <c r="AP67" s="77" t="s">
        <v>63</v>
      </c>
      <c r="AQ67" s="18">
        <f>_xll.BDH($B$10,"PROF_MARGIN","-10FY","","Per=fy","Days=W","Fill=E","Curr=","DtFmt=P","Sort=D","Dts=H","Dir=H","FILING_STATUS,EQY_CONSOLIDATED","MR,","cols=11;rows=1")</f>
        <v>4.6820000000000004</v>
      </c>
      <c r="AR67" s="18">
        <v>3.6274000000000002</v>
      </c>
      <c r="AS67" s="18">
        <v>2.3668999999999998</v>
      </c>
      <c r="AT67" s="18">
        <v>11.3345</v>
      </c>
      <c r="AU67" s="18">
        <v>23.845199999999998</v>
      </c>
      <c r="AV67" s="18">
        <v>-2.5792999999999999</v>
      </c>
      <c r="AW67" s="18">
        <v>4.5480999999999998</v>
      </c>
      <c r="AX67" s="18">
        <v>7.3003</v>
      </c>
      <c r="AY67" s="18">
        <v>6.7740999999999998</v>
      </c>
      <c r="AZ67" s="18">
        <v>18.592500000000001</v>
      </c>
      <c r="BA67" s="78">
        <v>-16.6402</v>
      </c>
      <c r="BB67" s="18"/>
      <c r="BC67" s="18"/>
      <c r="BD67" s="18"/>
      <c r="BE67" s="18"/>
      <c r="BF67" s="18"/>
      <c r="BG67" s="18"/>
      <c r="BH67" s="18"/>
      <c r="BI67" s="18"/>
      <c r="BJ67" s="18"/>
      <c r="BK67" s="18"/>
      <c r="BL67" s="18"/>
      <c r="BM67" s="18"/>
      <c r="BN67" s="18"/>
      <c r="BO67" s="18"/>
      <c r="BP67" s="18"/>
      <c r="BQ67" s="37">
        <v>41943</v>
      </c>
      <c r="BR67" s="38">
        <v>49298.635999999999</v>
      </c>
      <c r="BS67" s="17"/>
      <c r="BT67" s="37">
        <v>41943</v>
      </c>
      <c r="BU67" s="38">
        <v>3335</v>
      </c>
      <c r="BV67" s="18"/>
      <c r="BW67" s="37"/>
      <c r="BX67" s="38"/>
      <c r="BY67" s="18"/>
      <c r="BZ67" s="39">
        <f t="shared" si="0"/>
        <v>41943</v>
      </c>
      <c r="CA67" s="40">
        <f t="shared" si="1"/>
        <v>49298.635999999999</v>
      </c>
      <c r="CB67" s="17"/>
      <c r="CC67" s="39">
        <f t="shared" si="2"/>
        <v>41943</v>
      </c>
      <c r="CD67" s="40">
        <f t="shared" si="3"/>
        <v>33.35</v>
      </c>
      <c r="CE67" s="18"/>
      <c r="CF67" s="18"/>
      <c r="CG67" s="18"/>
      <c r="CH67" s="18"/>
      <c r="CI67" s="18"/>
      <c r="CJ67" s="18"/>
      <c r="CK67" s="18"/>
      <c r="CL67" s="18"/>
      <c r="CM67" s="18"/>
      <c r="CN67" s="17"/>
      <c r="CO67" s="17"/>
      <c r="CP67" s="17"/>
      <c r="CQ67" s="18"/>
      <c r="CR67" s="18"/>
      <c r="CS67" s="18"/>
      <c r="CT67" s="18"/>
      <c r="CU67" s="18"/>
      <c r="CV67" s="18"/>
      <c r="CW67" s="18"/>
      <c r="CX67" s="18"/>
      <c r="CY67" s="37">
        <v>44853</v>
      </c>
      <c r="CZ67" s="38">
        <v>17.8856</v>
      </c>
      <c r="DA67" s="18"/>
      <c r="DB67" s="37">
        <v>44853</v>
      </c>
      <c r="DC67" s="38">
        <v>18.221299999999999</v>
      </c>
      <c r="DD67" s="18"/>
      <c r="DE67" s="37">
        <v>44853</v>
      </c>
      <c r="DF67" s="38">
        <v>18.313600000000001</v>
      </c>
      <c r="DG67" s="18"/>
      <c r="DH67" s="37">
        <v>44853</v>
      </c>
      <c r="DI67" s="38">
        <v>20.523499999999999</v>
      </c>
      <c r="DJ67" s="18"/>
      <c r="DK67" s="37">
        <v>44853</v>
      </c>
      <c r="DL67" s="38">
        <v>0.12230000000000001</v>
      </c>
      <c r="DM67" s="18"/>
      <c r="DN67" s="18"/>
      <c r="DO67" s="18"/>
      <c r="DP67" s="18"/>
      <c r="DQ67" s="18"/>
      <c r="DR67" s="18"/>
      <c r="DS67" s="18"/>
      <c r="DT67" s="18"/>
      <c r="DU67" s="18"/>
      <c r="DV67" s="18"/>
      <c r="DW67" s="18"/>
      <c r="DX67" s="18"/>
      <c r="DY67" s="18"/>
      <c r="DZ67" s="18"/>
    </row>
    <row r="68" spans="1:130" ht="15" customHeight="1" x14ac:dyDescent="0.3">
      <c r="A68" s="30" t="s">
        <v>355</v>
      </c>
      <c r="B68" s="73" t="s">
        <v>202</v>
      </c>
      <c r="C68" s="74">
        <v>1202000</v>
      </c>
      <c r="D68" s="74">
        <v>1155565.25</v>
      </c>
      <c r="E68" s="74">
        <v>991371.6</v>
      </c>
      <c r="F68" s="74">
        <v>1025070.03</v>
      </c>
      <c r="G68" s="74">
        <v>935473.67</v>
      </c>
      <c r="H68" s="74">
        <v>958864.25</v>
      </c>
      <c r="I68" s="74">
        <v>1256265.3700000001</v>
      </c>
      <c r="J68" s="74">
        <v>1221014.8899999999</v>
      </c>
      <c r="K68" s="74">
        <v>1151182.5900000001</v>
      </c>
      <c r="L68" s="74">
        <v>956810.4</v>
      </c>
      <c r="M68" s="75">
        <v>898045.09</v>
      </c>
      <c r="N68" s="227"/>
      <c r="O68" s="17"/>
      <c r="P68" s="17"/>
      <c r="Q68" s="17"/>
      <c r="R68" s="17"/>
      <c r="S68" s="17"/>
      <c r="T68" s="17"/>
      <c r="U68" s="18"/>
      <c r="V68" s="18"/>
      <c r="W68" s="18"/>
      <c r="X68" s="18"/>
      <c r="Y68" s="18"/>
      <c r="Z68" s="18"/>
      <c r="AA68" s="18"/>
      <c r="AB68" s="18"/>
      <c r="AC68" s="18"/>
      <c r="AD68" s="18"/>
      <c r="AE68" s="18" t="str">
        <f t="shared" si="21"/>
        <v>Actual Sales Per Employee</v>
      </c>
      <c r="AF68" s="85">
        <f t="shared" si="22"/>
        <v>0</v>
      </c>
      <c r="AG68" s="85">
        <f t="shared" si="23"/>
        <v>4.2000000830739737E-3</v>
      </c>
      <c r="AH68" s="85">
        <f t="shared" si="24"/>
        <v>9.9999946542084217E-5</v>
      </c>
      <c r="AI68" s="85">
        <f t="shared" si="25"/>
        <v>-4.6999999321997166E-3</v>
      </c>
      <c r="AJ68" s="85">
        <f t="shared" si="26"/>
        <v>-4.6999999321997166E-3</v>
      </c>
      <c r="AK68" s="85">
        <f t="shared" si="27"/>
        <v>-1.9999999785795808E-3</v>
      </c>
      <c r="AL68" s="85">
        <f t="shared" si="28"/>
        <v>-2.5999997742474079E-3</v>
      </c>
      <c r="AM68" s="85">
        <f t="shared" si="29"/>
        <v>3.499999875202775E-3</v>
      </c>
      <c r="AN68" s="18"/>
      <c r="AO68" s="18"/>
      <c r="AP68" s="77" t="s">
        <v>202</v>
      </c>
      <c r="AQ68" s="18">
        <f>_xll.BDH($B$10,"ACTUAL_SALES_PER_EMPL","-10FY","","Per=fy","Days=W","Fill=E","Curr=","DtFmt=P","Sort=D","Dts=H","Dir=H","FILING_STATUS,EQY_CONSOLIDATED","MR,","cols=11;rows=1")</f>
        <v>1202000</v>
      </c>
      <c r="AR68" s="18">
        <v>1155565.2457999999</v>
      </c>
      <c r="AS68" s="18">
        <v>991371.59990000003</v>
      </c>
      <c r="AT68" s="18">
        <v>1025070.0347</v>
      </c>
      <c r="AU68" s="18">
        <v>935473.67469999997</v>
      </c>
      <c r="AV68" s="18">
        <v>958864.25199999998</v>
      </c>
      <c r="AW68" s="18">
        <v>1256265.3725999999</v>
      </c>
      <c r="AX68" s="18">
        <v>1221014.8865</v>
      </c>
      <c r="AY68" s="18">
        <v>1151182.5854</v>
      </c>
      <c r="AZ68" s="18">
        <v>956810.39899999998</v>
      </c>
      <c r="BA68" s="78">
        <v>898045.09129999997</v>
      </c>
      <c r="BB68" s="18"/>
      <c r="BC68" s="18"/>
      <c r="BD68" s="18"/>
      <c r="BE68" s="18"/>
      <c r="BF68" s="18"/>
      <c r="BG68" s="18"/>
      <c r="BH68" s="18"/>
      <c r="BI68" s="18"/>
      <c r="BJ68" s="18"/>
      <c r="BK68" s="18"/>
      <c r="BL68" s="18"/>
      <c r="BM68" s="18"/>
      <c r="BN68" s="18"/>
      <c r="BO68" s="18"/>
      <c r="BP68" s="18"/>
      <c r="BQ68" s="37">
        <v>41971</v>
      </c>
      <c r="BR68" s="38">
        <v>53834.609100000001</v>
      </c>
      <c r="BS68" s="17"/>
      <c r="BT68" s="37">
        <v>41971</v>
      </c>
      <c r="BU68" s="38">
        <v>3640</v>
      </c>
      <c r="BV68" s="18"/>
      <c r="BW68" s="37"/>
      <c r="BX68" s="38"/>
      <c r="BY68" s="18"/>
      <c r="BZ68" s="39">
        <f t="shared" si="0"/>
        <v>41971</v>
      </c>
      <c r="CA68" s="40">
        <f t="shared" si="1"/>
        <v>53834.609100000001</v>
      </c>
      <c r="CB68" s="17"/>
      <c r="CC68" s="39">
        <f t="shared" si="2"/>
        <v>41971</v>
      </c>
      <c r="CD68" s="40">
        <f t="shared" si="3"/>
        <v>36.4</v>
      </c>
      <c r="CE68" s="18"/>
      <c r="CF68" s="18"/>
      <c r="CG68" s="18"/>
      <c r="CH68" s="18"/>
      <c r="CI68" s="18"/>
      <c r="CJ68" s="18"/>
      <c r="CK68" s="18"/>
      <c r="CL68" s="18"/>
      <c r="CM68" s="18"/>
      <c r="CN68" s="17"/>
      <c r="CO68" s="17"/>
      <c r="CP68" s="17"/>
      <c r="CQ68" s="18"/>
      <c r="CR68" s="18"/>
      <c r="CS68" s="18"/>
      <c r="CT68" s="18"/>
      <c r="CU68" s="18"/>
      <c r="CV68" s="18"/>
      <c r="CW68" s="18"/>
      <c r="CX68" s="18"/>
      <c r="CY68" s="37">
        <v>44854</v>
      </c>
      <c r="CZ68" s="38">
        <v>17.906400000000001</v>
      </c>
      <c r="DA68" s="18"/>
      <c r="DB68" s="37">
        <v>44854</v>
      </c>
      <c r="DC68" s="38">
        <v>18.238900000000001</v>
      </c>
      <c r="DD68" s="18"/>
      <c r="DE68" s="37">
        <v>44854</v>
      </c>
      <c r="DF68" s="38">
        <v>18.309100000000001</v>
      </c>
      <c r="DG68" s="18"/>
      <c r="DH68" s="37">
        <v>44854</v>
      </c>
      <c r="DI68" s="38">
        <v>20.547899999999998</v>
      </c>
      <c r="DJ68" s="18"/>
      <c r="DK68" s="37">
        <v>44854</v>
      </c>
      <c r="DL68" s="38">
        <v>0.122</v>
      </c>
      <c r="DM68" s="18"/>
      <c r="DN68" s="18"/>
      <c r="DO68" s="18"/>
      <c r="DP68" s="18"/>
      <c r="DQ68" s="18"/>
      <c r="DR68" s="18"/>
      <c r="DS68" s="18"/>
      <c r="DT68" s="18"/>
      <c r="DU68" s="18"/>
      <c r="DV68" s="18"/>
      <c r="DW68" s="18"/>
      <c r="DX68" s="18"/>
      <c r="DY68" s="18"/>
      <c r="DZ68" s="18"/>
    </row>
    <row r="69" spans="1:130" ht="15" customHeight="1" x14ac:dyDescent="0.3">
      <c r="A69" s="30" t="s">
        <v>161</v>
      </c>
      <c r="B69" s="73" t="s">
        <v>444</v>
      </c>
      <c r="C69" s="74">
        <v>0.54</v>
      </c>
      <c r="D69" s="74" t="s">
        <v>615</v>
      </c>
      <c r="E69" s="74" t="s">
        <v>615</v>
      </c>
      <c r="F69" s="74">
        <v>1.1100000000000001</v>
      </c>
      <c r="G69" s="74">
        <v>1.04</v>
      </c>
      <c r="H69" s="74">
        <v>0.95</v>
      </c>
      <c r="I69" s="74">
        <v>0.95</v>
      </c>
      <c r="J69" s="74">
        <v>0.92</v>
      </c>
      <c r="K69" s="74">
        <v>0.8</v>
      </c>
      <c r="L69" s="74">
        <v>0.67500000000000004</v>
      </c>
      <c r="M69" s="75">
        <v>0.56000000000000005</v>
      </c>
      <c r="N69" s="227"/>
      <c r="O69" s="17"/>
      <c r="P69" s="17"/>
      <c r="Q69" s="17"/>
      <c r="R69" s="17"/>
      <c r="S69" s="17"/>
      <c r="T69" s="17"/>
      <c r="U69" s="18"/>
      <c r="V69" s="18"/>
      <c r="W69" s="18"/>
      <c r="X69" s="18"/>
      <c r="Y69" s="18"/>
      <c r="Z69" s="18"/>
      <c r="AA69" s="18"/>
      <c r="AB69" s="18"/>
      <c r="AC69" s="18"/>
      <c r="AD69" s="18"/>
      <c r="AE69" s="18" t="str">
        <f t="shared" si="21"/>
        <v>Dividends per Share</v>
      </c>
      <c r="AF69" s="85">
        <f t="shared" si="22"/>
        <v>0</v>
      </c>
      <c r="AG69" s="85" t="e">
        <f t="shared" si="23"/>
        <v>#VALUE!</v>
      </c>
      <c r="AH69" s="85" t="e">
        <f t="shared" si="24"/>
        <v>#VALUE!</v>
      </c>
      <c r="AI69" s="85">
        <f t="shared" si="25"/>
        <v>0</v>
      </c>
      <c r="AJ69" s="85">
        <f t="shared" si="26"/>
        <v>0</v>
      </c>
      <c r="AK69" s="85">
        <f t="shared" si="27"/>
        <v>0</v>
      </c>
      <c r="AL69" s="85">
        <f t="shared" si="28"/>
        <v>0</v>
      </c>
      <c r="AM69" s="85">
        <f t="shared" si="29"/>
        <v>0</v>
      </c>
      <c r="AN69" s="18"/>
      <c r="AO69" s="18"/>
      <c r="AP69" s="77" t="s">
        <v>444</v>
      </c>
      <c r="AQ69" s="18">
        <f>_xll.BDH($B$10,"EQY_DPS","-10FY","","Per=fy","Days=W","Fill=E","Curr=","DtFmt=P","Sort=D","Dts=H","Dir=H","FILING_STATUS,EQY_CONSOLIDATED","MR,","cols=11;rows=1")</f>
        <v>0.54</v>
      </c>
      <c r="AR69" s="18">
        <v>0</v>
      </c>
      <c r="AS69" s="18">
        <v>0</v>
      </c>
      <c r="AT69" s="18">
        <v>1.1100000000000001</v>
      </c>
      <c r="AU69" s="18">
        <v>1.04</v>
      </c>
      <c r="AV69" s="18">
        <v>0.95</v>
      </c>
      <c r="AW69" s="18">
        <v>0.95</v>
      </c>
      <c r="AX69" s="18">
        <v>0.92</v>
      </c>
      <c r="AY69" s="18">
        <v>0.8</v>
      </c>
      <c r="AZ69" s="18">
        <v>0.67500000000000004</v>
      </c>
      <c r="BA69" s="78">
        <v>0.56000000000000005</v>
      </c>
      <c r="BB69" s="18"/>
      <c r="BC69" s="18"/>
      <c r="BD69" s="18"/>
      <c r="BE69" s="18"/>
      <c r="BF69" s="18"/>
      <c r="BG69" s="18"/>
      <c r="BH69" s="18"/>
      <c r="BI69" s="18"/>
      <c r="BJ69" s="18"/>
      <c r="BK69" s="18"/>
      <c r="BL69" s="18"/>
      <c r="BM69" s="18"/>
      <c r="BN69" s="18"/>
      <c r="BO69" s="18"/>
      <c r="BP69" s="18"/>
      <c r="BQ69" s="37">
        <v>42004</v>
      </c>
      <c r="BR69" s="38">
        <v>56129.333200000001</v>
      </c>
      <c r="BS69" s="17"/>
      <c r="BT69" s="37">
        <v>42004</v>
      </c>
      <c r="BU69" s="38">
        <v>3795</v>
      </c>
      <c r="BV69" s="18"/>
      <c r="BW69" s="37"/>
      <c r="BX69" s="38"/>
      <c r="BY69" s="18"/>
      <c r="BZ69" s="39">
        <f t="shared" si="0"/>
        <v>42004</v>
      </c>
      <c r="CA69" s="40">
        <f t="shared" si="1"/>
        <v>56129.333200000001</v>
      </c>
      <c r="CB69" s="17"/>
      <c r="CC69" s="39">
        <f t="shared" si="2"/>
        <v>42004</v>
      </c>
      <c r="CD69" s="40">
        <f t="shared" si="3"/>
        <v>37.950000000000003</v>
      </c>
      <c r="CE69" s="18"/>
      <c r="CF69" s="18"/>
      <c r="CG69" s="18"/>
      <c r="CH69" s="18"/>
      <c r="CI69" s="18"/>
      <c r="CJ69" s="18"/>
      <c r="CK69" s="18"/>
      <c r="CL69" s="18"/>
      <c r="CM69" s="18"/>
      <c r="CN69" s="17"/>
      <c r="CO69" s="17"/>
      <c r="CP69" s="17"/>
      <c r="CQ69" s="18"/>
      <c r="CR69" s="18"/>
      <c r="CS69" s="18"/>
      <c r="CT69" s="18"/>
      <c r="CU69" s="18"/>
      <c r="CV69" s="18"/>
      <c r="CW69" s="18"/>
      <c r="CX69" s="18"/>
      <c r="CY69" s="37">
        <v>44855</v>
      </c>
      <c r="CZ69" s="38">
        <v>17.839099999999998</v>
      </c>
      <c r="DA69" s="18"/>
      <c r="DB69" s="37">
        <v>44855</v>
      </c>
      <c r="DC69" s="38">
        <v>18.1248</v>
      </c>
      <c r="DD69" s="18"/>
      <c r="DE69" s="37">
        <v>44855</v>
      </c>
      <c r="DF69" s="38">
        <v>18.089200000000002</v>
      </c>
      <c r="DG69" s="18"/>
      <c r="DH69" s="37">
        <v>44855</v>
      </c>
      <c r="DI69" s="38">
        <v>20.441500000000001</v>
      </c>
      <c r="DJ69" s="18"/>
      <c r="DK69" s="37">
        <v>44855</v>
      </c>
      <c r="DL69" s="38">
        <v>0.1226</v>
      </c>
      <c r="DM69" s="18"/>
      <c r="DN69" s="18"/>
      <c r="DO69" s="18"/>
      <c r="DP69" s="18"/>
      <c r="DQ69" s="18"/>
      <c r="DR69" s="18"/>
      <c r="DS69" s="18"/>
      <c r="DT69" s="18"/>
      <c r="DU69" s="18"/>
      <c r="DV69" s="18"/>
      <c r="DW69" s="18"/>
      <c r="DX69" s="18"/>
      <c r="DY69" s="18"/>
      <c r="DZ69" s="18"/>
    </row>
    <row r="70" spans="1:130" ht="15" customHeight="1" x14ac:dyDescent="0.3">
      <c r="A70" s="30" t="s">
        <v>156</v>
      </c>
      <c r="B70" s="73" t="s">
        <v>445</v>
      </c>
      <c r="C70" s="74">
        <v>722.52</v>
      </c>
      <c r="D70" s="74" t="s">
        <v>615</v>
      </c>
      <c r="E70" s="74" t="s">
        <v>615</v>
      </c>
      <c r="F70" s="74">
        <v>1492.95</v>
      </c>
      <c r="G70" s="74">
        <v>1962.72</v>
      </c>
      <c r="H70" s="74">
        <v>1292</v>
      </c>
      <c r="I70" s="74">
        <v>1288.2</v>
      </c>
      <c r="J70" s="74">
        <v>1241.08</v>
      </c>
      <c r="K70" s="74">
        <v>1069.5999999999999</v>
      </c>
      <c r="L70" s="74">
        <v>897.08</v>
      </c>
      <c r="M70" s="75">
        <v>737.52</v>
      </c>
      <c r="N70" s="227"/>
      <c r="O70" s="17"/>
      <c r="P70" s="17"/>
      <c r="Q70" s="17"/>
      <c r="R70" s="17"/>
      <c r="S70" s="17"/>
      <c r="T70" s="17"/>
      <c r="U70" s="18"/>
      <c r="V70" s="18"/>
      <c r="W70" s="18"/>
      <c r="X70" s="18"/>
      <c r="Y70" s="18"/>
      <c r="Z70" s="18"/>
      <c r="AA70" s="18"/>
      <c r="AB70" s="18"/>
      <c r="AC70" s="18"/>
      <c r="AD70" s="18"/>
      <c r="AE70" s="18" t="str">
        <f t="shared" si="21"/>
        <v>Total Cash Common Dividends</v>
      </c>
      <c r="AF70" s="85">
        <f t="shared" si="22"/>
        <v>0</v>
      </c>
      <c r="AG70" s="85" t="e">
        <f t="shared" si="23"/>
        <v>#VALUE!</v>
      </c>
      <c r="AH70" s="85" t="e">
        <f t="shared" si="24"/>
        <v>#VALUE!</v>
      </c>
      <c r="AI70" s="85">
        <f t="shared" si="25"/>
        <v>0</v>
      </c>
      <c r="AJ70" s="85">
        <f t="shared" si="26"/>
        <v>0</v>
      </c>
      <c r="AK70" s="85">
        <f t="shared" si="27"/>
        <v>0</v>
      </c>
      <c r="AL70" s="85">
        <f t="shared" si="28"/>
        <v>0</v>
      </c>
      <c r="AM70" s="85">
        <f t="shared" si="29"/>
        <v>0</v>
      </c>
      <c r="AN70" s="18"/>
      <c r="AO70" s="18"/>
      <c r="AP70" s="77" t="s">
        <v>445</v>
      </c>
      <c r="AQ70" s="18">
        <f>_xll.BDH($B$10,"IS_TOT_CASH_COM_DVD","-10FY","","Per=fy","Days=W","Fill=E","Curr=","DtFmt=P","Sort=D","Dts=H","Dir=H","FILING_STATUS,EQY_CONSOLIDATED","MR,","cols=11;rows=1")</f>
        <v>722.52</v>
      </c>
      <c r="AR70" s="18">
        <v>0</v>
      </c>
      <c r="AS70" s="18">
        <v>0</v>
      </c>
      <c r="AT70" s="18">
        <v>1492.95</v>
      </c>
      <c r="AU70" s="18">
        <v>1962.72</v>
      </c>
      <c r="AV70" s="18">
        <v>1292</v>
      </c>
      <c r="AW70" s="18">
        <v>1288.2</v>
      </c>
      <c r="AX70" s="18">
        <v>1241.08</v>
      </c>
      <c r="AY70" s="18">
        <v>1069.5999999999999</v>
      </c>
      <c r="AZ70" s="18">
        <v>897.07500000000005</v>
      </c>
      <c r="BA70" s="78">
        <v>737.52</v>
      </c>
      <c r="BB70" s="18"/>
      <c r="BC70" s="18"/>
      <c r="BD70" s="18"/>
      <c r="BE70" s="18"/>
      <c r="BF70" s="18"/>
      <c r="BG70" s="18"/>
      <c r="BH70" s="18"/>
      <c r="BI70" s="18"/>
      <c r="BJ70" s="18"/>
      <c r="BK70" s="18"/>
      <c r="BL70" s="18"/>
      <c r="BM70" s="18"/>
      <c r="BN70" s="18"/>
      <c r="BO70" s="18"/>
      <c r="BP70" s="18"/>
      <c r="BQ70" s="37">
        <v>42034</v>
      </c>
      <c r="BR70" s="38">
        <v>57401.302300000003</v>
      </c>
      <c r="BS70" s="17"/>
      <c r="BT70" s="37">
        <v>42034</v>
      </c>
      <c r="BU70" s="38">
        <v>3881</v>
      </c>
      <c r="BV70" s="18"/>
      <c r="BW70" s="37"/>
      <c r="BX70" s="38"/>
      <c r="BY70" s="18"/>
      <c r="BZ70" s="39">
        <f t="shared" si="0"/>
        <v>42034</v>
      </c>
      <c r="CA70" s="40">
        <f t="shared" si="1"/>
        <v>57401.302300000003</v>
      </c>
      <c r="CB70" s="17"/>
      <c r="CC70" s="39">
        <f t="shared" si="2"/>
        <v>42034</v>
      </c>
      <c r="CD70" s="40">
        <f t="shared" si="3"/>
        <v>38.81</v>
      </c>
      <c r="CE70" s="18"/>
      <c r="CF70" s="18"/>
      <c r="CG70" s="18"/>
      <c r="CH70" s="18"/>
      <c r="CI70" s="18"/>
      <c r="CJ70" s="18"/>
      <c r="CK70" s="18"/>
      <c r="CL70" s="18"/>
      <c r="CM70" s="18"/>
      <c r="CN70" s="17"/>
      <c r="CO70" s="17"/>
      <c r="CP70" s="17"/>
      <c r="CQ70" s="18"/>
      <c r="CR70" s="18"/>
      <c r="CS70" s="18"/>
      <c r="CT70" s="18"/>
      <c r="CU70" s="18"/>
      <c r="CV70" s="18"/>
      <c r="CW70" s="18"/>
      <c r="CX70" s="18"/>
      <c r="CY70" s="37">
        <v>44858</v>
      </c>
      <c r="CZ70" s="38">
        <v>18.198699999999999</v>
      </c>
      <c r="DA70" s="18"/>
      <c r="DB70" s="37">
        <v>44858</v>
      </c>
      <c r="DC70" s="38">
        <v>18.406700000000001</v>
      </c>
      <c r="DD70" s="18"/>
      <c r="DE70" s="37">
        <v>44858</v>
      </c>
      <c r="DF70" s="38">
        <v>18.412800000000001</v>
      </c>
      <c r="DG70" s="18"/>
      <c r="DH70" s="37">
        <v>44858</v>
      </c>
      <c r="DI70" s="38">
        <v>20.8154</v>
      </c>
      <c r="DJ70" s="18"/>
      <c r="DK70" s="37">
        <v>44858</v>
      </c>
      <c r="DL70" s="38">
        <v>0.1236</v>
      </c>
      <c r="DM70" s="18"/>
      <c r="DN70" s="18"/>
      <c r="DO70" s="18"/>
      <c r="DP70" s="18"/>
      <c r="DQ70" s="18"/>
      <c r="DR70" s="18"/>
      <c r="DS70" s="18"/>
      <c r="DT70" s="18"/>
      <c r="DU70" s="18"/>
      <c r="DV70" s="18"/>
      <c r="DW70" s="18"/>
      <c r="DX70" s="18"/>
      <c r="DY70" s="18"/>
      <c r="DZ70" s="18"/>
    </row>
    <row r="71" spans="1:130" ht="15" customHeight="1" x14ac:dyDescent="0.3">
      <c r="A71" s="30" t="s">
        <v>356</v>
      </c>
      <c r="B71" s="73" t="s">
        <v>203</v>
      </c>
      <c r="C71" s="74">
        <v>2.06</v>
      </c>
      <c r="D71" s="74">
        <v>12.51</v>
      </c>
      <c r="E71" s="74">
        <v>-12.72</v>
      </c>
      <c r="F71" s="74">
        <v>4.21</v>
      </c>
      <c r="G71" s="74">
        <v>8.39</v>
      </c>
      <c r="H71" s="74">
        <v>-49.43</v>
      </c>
      <c r="I71" s="74">
        <v>12.12</v>
      </c>
      <c r="J71" s="74">
        <v>6.07</v>
      </c>
      <c r="K71" s="74">
        <v>16.07</v>
      </c>
      <c r="L71" s="74">
        <v>8.77</v>
      </c>
      <c r="M71" s="75">
        <v>11.47</v>
      </c>
      <c r="N71" s="227"/>
      <c r="O71" s="17"/>
      <c r="P71" s="17"/>
      <c r="Q71" s="17"/>
      <c r="R71" s="17"/>
      <c r="S71" s="17"/>
      <c r="T71" s="17"/>
      <c r="U71" s="18"/>
      <c r="V71" s="18"/>
      <c r="W71" s="18"/>
      <c r="X71" s="18"/>
      <c r="Y71" s="18"/>
      <c r="Z71" s="18"/>
      <c r="AA71" s="18"/>
      <c r="AB71" s="18"/>
      <c r="AC71" s="18"/>
      <c r="AD71" s="18"/>
      <c r="AE71" s="18" t="str">
        <f t="shared" si="21"/>
        <v>Sales Growth</v>
      </c>
      <c r="AF71" s="85">
        <f t="shared" si="22"/>
        <v>3.4000000000000696E-3</v>
      </c>
      <c r="AG71" s="85">
        <f t="shared" si="23"/>
        <v>1.4000000000002899E-3</v>
      </c>
      <c r="AH71" s="85">
        <f t="shared" si="24"/>
        <v>-6.0000000000037801E-4</v>
      </c>
      <c r="AI71" s="85">
        <f t="shared" si="25"/>
        <v>8.9999999999967883E-4</v>
      </c>
      <c r="AJ71" s="85">
        <f t="shared" si="26"/>
        <v>3.5000000000007248E-3</v>
      </c>
      <c r="AK71" s="85">
        <f t="shared" si="27"/>
        <v>-1.5000000000000568E-3</v>
      </c>
      <c r="AL71" s="85">
        <f t="shared" si="28"/>
        <v>2.2999999999999687E-3</v>
      </c>
      <c r="AM71" s="85">
        <f t="shared" si="29"/>
        <v>3.9000000000006807E-3</v>
      </c>
      <c r="AN71" s="18"/>
      <c r="AO71" s="18"/>
      <c r="AP71" s="77" t="s">
        <v>203</v>
      </c>
      <c r="AQ71" s="18">
        <f>_xll.BDH($B$10,"SALES_GROWTH","-10FY","","Per=fy","Days=W","Fill=E","Curr=","DtFmt=P","Sort=D","Dts=H","Dir=H","FILING_STATUS,EQY_CONSOLIDATED","MR,","cols=11;rows=1")</f>
        <v>2.0566</v>
      </c>
      <c r="AR71" s="18">
        <v>12.508599999999999</v>
      </c>
      <c r="AS71" s="18">
        <v>-12.7194</v>
      </c>
      <c r="AT71" s="18">
        <v>4.2091000000000003</v>
      </c>
      <c r="AU71" s="18">
        <v>8.3864999999999998</v>
      </c>
      <c r="AV71" s="18">
        <v>-49.4285</v>
      </c>
      <c r="AW71" s="18">
        <v>12.117699999999999</v>
      </c>
      <c r="AX71" s="18">
        <v>6.0660999999999996</v>
      </c>
      <c r="AY71" s="18">
        <v>16.072600000000001</v>
      </c>
      <c r="AZ71" s="18">
        <v>8.7710000000000008</v>
      </c>
      <c r="BA71" s="78">
        <v>11.468299999999999</v>
      </c>
      <c r="BB71" s="18"/>
      <c r="BC71" s="18"/>
      <c r="BD71" s="18"/>
      <c r="BE71" s="18"/>
      <c r="BF71" s="18"/>
      <c r="BG71" s="18"/>
      <c r="BH71" s="18"/>
      <c r="BI71" s="18"/>
      <c r="BJ71" s="18"/>
      <c r="BK71" s="18"/>
      <c r="BL71" s="18"/>
      <c r="BM71" s="18"/>
      <c r="BN71" s="18"/>
      <c r="BO71" s="18"/>
      <c r="BP71" s="18"/>
      <c r="BQ71" s="37">
        <v>42062</v>
      </c>
      <c r="BR71" s="38">
        <v>60748.761700000003</v>
      </c>
      <c r="BS71" s="17"/>
      <c r="BT71" s="37">
        <v>42062</v>
      </c>
      <c r="BU71" s="38">
        <v>4107</v>
      </c>
      <c r="BV71" s="18"/>
      <c r="BW71" s="37"/>
      <c r="BX71" s="38"/>
      <c r="BY71" s="18"/>
      <c r="BZ71" s="39">
        <f t="shared" si="0"/>
        <v>42062</v>
      </c>
      <c r="CA71" s="40">
        <f t="shared" si="1"/>
        <v>60748.761700000003</v>
      </c>
      <c r="CB71" s="17"/>
      <c r="CC71" s="39">
        <f t="shared" si="2"/>
        <v>42062</v>
      </c>
      <c r="CD71" s="40">
        <f t="shared" si="3"/>
        <v>41.07</v>
      </c>
      <c r="CE71" s="18"/>
      <c r="CF71" s="18"/>
      <c r="CG71" s="18"/>
      <c r="CH71" s="18"/>
      <c r="CI71" s="18"/>
      <c r="CJ71" s="18"/>
      <c r="CK71" s="18"/>
      <c r="CL71" s="18"/>
      <c r="CM71" s="18"/>
      <c r="CN71" s="17"/>
      <c r="CO71" s="17"/>
      <c r="CP71" s="17"/>
      <c r="CQ71" s="18"/>
      <c r="CR71" s="18"/>
      <c r="CS71" s="18"/>
      <c r="CT71" s="18"/>
      <c r="CU71" s="18"/>
      <c r="CV71" s="18"/>
      <c r="CW71" s="18"/>
      <c r="CX71" s="18"/>
      <c r="CY71" s="37">
        <v>44859</v>
      </c>
      <c r="CZ71" s="38">
        <v>18.142099999999999</v>
      </c>
      <c r="DA71" s="18"/>
      <c r="DB71" s="37">
        <v>44859</v>
      </c>
      <c r="DC71" s="38">
        <v>18.3033</v>
      </c>
      <c r="DD71" s="18"/>
      <c r="DE71" s="37">
        <v>44859</v>
      </c>
      <c r="DF71" s="38">
        <v>18.209</v>
      </c>
      <c r="DG71" s="18"/>
      <c r="DH71" s="37">
        <v>44859</v>
      </c>
      <c r="DI71" s="38">
        <v>20.866399999999999</v>
      </c>
      <c r="DJ71" s="18"/>
      <c r="DK71" s="37">
        <v>44859</v>
      </c>
      <c r="DL71" s="38">
        <v>0.1231</v>
      </c>
      <c r="DM71" s="18"/>
      <c r="DN71" s="18"/>
      <c r="DO71" s="18"/>
      <c r="DP71" s="18"/>
      <c r="DQ71" s="18"/>
      <c r="DR71" s="18"/>
      <c r="DS71" s="18"/>
      <c r="DT71" s="18"/>
      <c r="DU71" s="18"/>
      <c r="DV71" s="18"/>
      <c r="DW71" s="18"/>
      <c r="DX71" s="18"/>
      <c r="DY71" s="18"/>
      <c r="DZ71" s="18"/>
    </row>
    <row r="72" spans="1:130" ht="15" customHeight="1" x14ac:dyDescent="0.3">
      <c r="A72" s="30" t="s">
        <v>357</v>
      </c>
      <c r="B72" s="73" t="s">
        <v>204</v>
      </c>
      <c r="C72" s="74">
        <v>32.42</v>
      </c>
      <c r="D72" s="74">
        <v>92.93</v>
      </c>
      <c r="E72" s="74">
        <v>-83.98</v>
      </c>
      <c r="F72" s="74">
        <v>109.82</v>
      </c>
      <c r="G72" s="74">
        <v>-75.739999999999995</v>
      </c>
      <c r="H72" s="74">
        <v>183.17</v>
      </c>
      <c r="I72" s="74">
        <v>-31.47</v>
      </c>
      <c r="J72" s="74">
        <v>13.59</v>
      </c>
      <c r="K72" s="74">
        <v>-58.68</v>
      </c>
      <c r="L72" s="74" t="s">
        <v>615</v>
      </c>
      <c r="M72" s="75" t="s">
        <v>615</v>
      </c>
      <c r="N72" s="227"/>
      <c r="O72" s="17"/>
      <c r="P72" s="17"/>
      <c r="Q72" s="17"/>
      <c r="R72" s="17"/>
      <c r="S72" s="17"/>
      <c r="T72" s="17"/>
      <c r="U72" s="18"/>
      <c r="V72" s="18"/>
      <c r="W72" s="18"/>
      <c r="X72" s="18"/>
      <c r="Y72" s="18"/>
      <c r="Z72" s="18"/>
      <c r="AA72" s="18"/>
      <c r="AB72" s="18"/>
      <c r="AC72" s="18"/>
      <c r="AD72" s="18"/>
      <c r="AE72" s="18" t="str">
        <f t="shared" si="21"/>
        <v>Basic EPS Before XO Growth</v>
      </c>
      <c r="AF72" s="85">
        <f t="shared" si="22"/>
        <v>2.400000000001512E-3</v>
      </c>
      <c r="AG72" s="85">
        <f t="shared" si="23"/>
        <v>-2.899999999996794E-3</v>
      </c>
      <c r="AH72" s="85">
        <f t="shared" si="24"/>
        <v>4.199999999997317E-3</v>
      </c>
      <c r="AI72" s="85">
        <f t="shared" si="25"/>
        <v>-1.6000000000104819E-3</v>
      </c>
      <c r="AJ72" s="85">
        <f t="shared" si="26"/>
        <v>2.4000000000086175E-3</v>
      </c>
      <c r="AK72" s="85">
        <f t="shared" si="27"/>
        <v>-5.0000000001659828E-4</v>
      </c>
      <c r="AL72" s="85">
        <f t="shared" si="28"/>
        <v>9.9999999999766942E-5</v>
      </c>
      <c r="AM72" s="85">
        <f t="shared" si="29"/>
        <v>2.6999999999990365E-3</v>
      </c>
      <c r="AN72" s="18"/>
      <c r="AO72" s="18"/>
      <c r="AP72" s="77" t="s">
        <v>204</v>
      </c>
      <c r="AQ72" s="18">
        <f>_xll.BDH($B$10,"EPS_GROWTH","-10FY","","Per=fy","Days=W","Fill=E","Curr=","DtFmt=P","Sort=D","Dts=H","Dir=H","FILING_STATUS,EQY_CONSOLIDATED","MR,","cols=11;rows=1")</f>
        <v>32.4176</v>
      </c>
      <c r="AR72" s="18">
        <v>92.932900000000004</v>
      </c>
      <c r="AS72" s="18">
        <v>-83.984200000000001</v>
      </c>
      <c r="AT72" s="18">
        <v>109.8216</v>
      </c>
      <c r="AU72" s="18">
        <v>-75.742400000000004</v>
      </c>
      <c r="AV72" s="18">
        <v>183.1705</v>
      </c>
      <c r="AW72" s="18">
        <v>-31.470099999999999</v>
      </c>
      <c r="AX72" s="18">
        <v>13.587300000000001</v>
      </c>
      <c r="AY72" s="18">
        <v>-58.683100000000003</v>
      </c>
      <c r="AZ72" s="18" t="s">
        <v>1811</v>
      </c>
      <c r="BA72" s="78" t="s">
        <v>1811</v>
      </c>
      <c r="BB72" s="18"/>
      <c r="BC72" s="18"/>
      <c r="BD72" s="18"/>
      <c r="BE72" s="18"/>
      <c r="BF72" s="18"/>
      <c r="BG72" s="18"/>
      <c r="BH72" s="18"/>
      <c r="BI72" s="18"/>
      <c r="BJ72" s="18"/>
      <c r="BK72" s="18"/>
      <c r="BL72" s="18"/>
      <c r="BM72" s="18"/>
      <c r="BN72" s="18"/>
      <c r="BO72" s="18"/>
      <c r="BP72" s="18"/>
      <c r="BQ72" s="37">
        <v>42094</v>
      </c>
      <c r="BR72" s="38">
        <v>61680.6273</v>
      </c>
      <c r="BS72" s="17"/>
      <c r="BT72" s="37">
        <v>42094</v>
      </c>
      <c r="BU72" s="38">
        <v>4170</v>
      </c>
      <c r="BV72" s="18"/>
      <c r="BW72" s="37"/>
      <c r="BX72" s="38"/>
      <c r="BY72" s="18"/>
      <c r="BZ72" s="39">
        <f t="shared" si="0"/>
        <v>42094</v>
      </c>
      <c r="CA72" s="40">
        <f t="shared" si="1"/>
        <v>61680.6273</v>
      </c>
      <c r="CB72" s="17"/>
      <c r="CC72" s="39">
        <f t="shared" si="2"/>
        <v>42094</v>
      </c>
      <c r="CD72" s="40">
        <f t="shared" si="3"/>
        <v>41.7</v>
      </c>
      <c r="CE72" s="18"/>
      <c r="CF72" s="18"/>
      <c r="CG72" s="18"/>
      <c r="CH72" s="18"/>
      <c r="CI72" s="18"/>
      <c r="CJ72" s="18"/>
      <c r="CK72" s="18"/>
      <c r="CL72" s="18"/>
      <c r="CM72" s="18"/>
      <c r="CN72" s="17"/>
      <c r="CO72" s="17"/>
      <c r="CP72" s="17"/>
      <c r="CQ72" s="18"/>
      <c r="CR72" s="18"/>
      <c r="CS72" s="18"/>
      <c r="CT72" s="18"/>
      <c r="CU72" s="18"/>
      <c r="CV72" s="18"/>
      <c r="CW72" s="18"/>
      <c r="CX72" s="18"/>
      <c r="CY72" s="37">
        <v>44860</v>
      </c>
      <c r="CZ72" s="38">
        <v>18.096</v>
      </c>
      <c r="DA72" s="18"/>
      <c r="DB72" s="37">
        <v>44860</v>
      </c>
      <c r="DC72" s="38">
        <v>18.207599999999999</v>
      </c>
      <c r="DD72" s="18"/>
      <c r="DE72" s="37">
        <v>44860</v>
      </c>
      <c r="DF72" s="38">
        <v>17.934699999999999</v>
      </c>
      <c r="DG72" s="18"/>
      <c r="DH72" s="37">
        <v>44860</v>
      </c>
      <c r="DI72" s="38">
        <v>20.868099999999998</v>
      </c>
      <c r="DJ72" s="18"/>
      <c r="DK72" s="37">
        <v>44860</v>
      </c>
      <c r="DL72" s="38">
        <v>0.12280000000000001</v>
      </c>
      <c r="DM72" s="18"/>
      <c r="DN72" s="18"/>
      <c r="DO72" s="18"/>
      <c r="DP72" s="18"/>
      <c r="DQ72" s="18"/>
      <c r="DR72" s="18"/>
      <c r="DS72" s="18"/>
      <c r="DT72" s="18"/>
      <c r="DU72" s="18"/>
      <c r="DV72" s="18"/>
      <c r="DW72" s="18"/>
      <c r="DX72" s="18"/>
      <c r="DY72" s="18"/>
      <c r="DZ72" s="18"/>
    </row>
    <row r="73" spans="1:130" ht="15" customHeight="1" x14ac:dyDescent="0.3">
      <c r="A73" s="30" t="s">
        <v>164</v>
      </c>
      <c r="B73" s="73" t="s">
        <v>446</v>
      </c>
      <c r="C73" s="74" t="s">
        <v>615</v>
      </c>
      <c r="D73" s="74" t="s">
        <v>615</v>
      </c>
      <c r="E73" s="74" t="s">
        <v>615</v>
      </c>
      <c r="F73" s="74" t="s">
        <v>615</v>
      </c>
      <c r="G73" s="74" t="s">
        <v>615</v>
      </c>
      <c r="H73" s="74" t="s">
        <v>615</v>
      </c>
      <c r="I73" s="74" t="s">
        <v>615</v>
      </c>
      <c r="J73" s="74" t="s">
        <v>615</v>
      </c>
      <c r="K73" s="74" t="s">
        <v>615</v>
      </c>
      <c r="L73" s="74" t="s">
        <v>615</v>
      </c>
      <c r="M73" s="75" t="s">
        <v>615</v>
      </c>
      <c r="N73" s="227"/>
      <c r="O73" s="17"/>
      <c r="P73" s="17"/>
      <c r="Q73" s="17"/>
      <c r="R73" s="17"/>
      <c r="S73" s="17"/>
      <c r="T73" s="17"/>
      <c r="U73" s="18"/>
      <c r="V73" s="18"/>
      <c r="W73" s="18"/>
      <c r="X73" s="18"/>
      <c r="Y73" s="18"/>
      <c r="Z73" s="18"/>
      <c r="AA73" s="18"/>
      <c r="AB73" s="18"/>
      <c r="AC73" s="18"/>
      <c r="AD73" s="18"/>
      <c r="AE73" s="18" t="str">
        <f t="shared" si="21"/>
        <v>Capitalized Interest Expense</v>
      </c>
      <c r="AF73" s="85" t="e">
        <f t="shared" si="22"/>
        <v>#VALUE!</v>
      </c>
      <c r="AG73" s="85" t="e">
        <f t="shared" si="23"/>
        <v>#VALUE!</v>
      </c>
      <c r="AH73" s="85" t="e">
        <f t="shared" si="24"/>
        <v>#VALUE!</v>
      </c>
      <c r="AI73" s="85" t="e">
        <f t="shared" si="25"/>
        <v>#VALUE!</v>
      </c>
      <c r="AJ73" s="85" t="e">
        <f t="shared" si="26"/>
        <v>#VALUE!</v>
      </c>
      <c r="AK73" s="85" t="e">
        <f t="shared" si="27"/>
        <v>#VALUE!</v>
      </c>
      <c r="AL73" s="85" t="e">
        <f t="shared" si="28"/>
        <v>#VALUE!</v>
      </c>
      <c r="AM73" s="85" t="e">
        <f t="shared" si="29"/>
        <v>#VALUE!</v>
      </c>
      <c r="AN73" s="18"/>
      <c r="AO73" s="18"/>
      <c r="AP73" s="77" t="s">
        <v>446</v>
      </c>
      <c r="AQ73" s="18" t="str">
        <f>_xll.BDH($B$10,"IS_CAP_INT_EXP","-10FY","","Per=fy","Days=W","Fill=E","Curr=","DtFmt=P","Sort=D","Dts=H","Dir=H","FILING_STATUS,EQY_CONSOLIDATED","MR,","cols=11;rows=1")</f>
        <v>#N/A N/A</v>
      </c>
      <c r="AR73" s="18" t="s">
        <v>1811</v>
      </c>
      <c r="AS73" s="18" t="s">
        <v>1811</v>
      </c>
      <c r="AT73" s="18" t="s">
        <v>1811</v>
      </c>
      <c r="AU73" s="18" t="s">
        <v>1811</v>
      </c>
      <c r="AV73" s="18" t="s">
        <v>1811</v>
      </c>
      <c r="AW73" s="18" t="s">
        <v>1811</v>
      </c>
      <c r="AX73" s="18" t="s">
        <v>1811</v>
      </c>
      <c r="AY73" s="18" t="s">
        <v>1811</v>
      </c>
      <c r="AZ73" s="18" t="s">
        <v>1811</v>
      </c>
      <c r="BA73" s="78" t="s">
        <v>1811</v>
      </c>
      <c r="BB73" s="18"/>
      <c r="BC73" s="18"/>
      <c r="BD73" s="18"/>
      <c r="BE73" s="18"/>
      <c r="BF73" s="18"/>
      <c r="BG73" s="18"/>
      <c r="BH73" s="18"/>
      <c r="BI73" s="18"/>
      <c r="BJ73" s="18"/>
      <c r="BK73" s="18"/>
      <c r="BL73" s="18"/>
      <c r="BM73" s="18"/>
      <c r="BN73" s="18"/>
      <c r="BO73" s="18"/>
      <c r="BP73" s="18"/>
      <c r="BQ73" s="37">
        <v>42124</v>
      </c>
      <c r="BR73" s="38">
        <v>61652.9879</v>
      </c>
      <c r="BS73" s="17"/>
      <c r="BT73" s="37">
        <v>42124</v>
      </c>
      <c r="BU73" s="38">
        <v>4167</v>
      </c>
      <c r="BV73" s="18"/>
      <c r="BW73" s="37"/>
      <c r="BX73" s="38"/>
      <c r="BY73" s="18"/>
      <c r="BZ73" s="39">
        <f t="shared" si="0"/>
        <v>42124</v>
      </c>
      <c r="CA73" s="40">
        <f t="shared" si="1"/>
        <v>61652.9879</v>
      </c>
      <c r="CB73" s="17"/>
      <c r="CC73" s="39">
        <f t="shared" si="2"/>
        <v>42124</v>
      </c>
      <c r="CD73" s="40">
        <f t="shared" si="3"/>
        <v>41.67</v>
      </c>
      <c r="CE73" s="18"/>
      <c r="CF73" s="18"/>
      <c r="CG73" s="18"/>
      <c r="CH73" s="18"/>
      <c r="CI73" s="18"/>
      <c r="CJ73" s="18"/>
      <c r="CK73" s="18"/>
      <c r="CL73" s="18"/>
      <c r="CM73" s="18"/>
      <c r="CN73" s="17"/>
      <c r="CO73" s="17"/>
      <c r="CP73" s="17"/>
      <c r="CQ73" s="18"/>
      <c r="CR73" s="18"/>
      <c r="CS73" s="18"/>
      <c r="CT73" s="18"/>
      <c r="CU73" s="18"/>
      <c r="CV73" s="18"/>
      <c r="CW73" s="18"/>
      <c r="CX73" s="18"/>
      <c r="CY73" s="37">
        <v>44861</v>
      </c>
      <c r="CZ73" s="38">
        <v>17.929400000000001</v>
      </c>
      <c r="DA73" s="18"/>
      <c r="DB73" s="37">
        <v>44861</v>
      </c>
      <c r="DC73" s="38">
        <v>18.161200000000001</v>
      </c>
      <c r="DD73" s="18"/>
      <c r="DE73" s="37">
        <v>44861</v>
      </c>
      <c r="DF73" s="38">
        <v>17.985900000000001</v>
      </c>
      <c r="DG73" s="18"/>
      <c r="DH73" s="37">
        <v>44861</v>
      </c>
      <c r="DI73" s="38">
        <v>20.8</v>
      </c>
      <c r="DJ73" s="18"/>
      <c r="DK73" s="37">
        <v>44861</v>
      </c>
      <c r="DL73" s="38">
        <v>0.1229</v>
      </c>
      <c r="DM73" s="18"/>
      <c r="DN73" s="18"/>
      <c r="DO73" s="18"/>
      <c r="DP73" s="18"/>
      <c r="DQ73" s="18"/>
      <c r="DR73" s="18"/>
      <c r="DS73" s="18"/>
      <c r="DT73" s="18"/>
      <c r="DU73" s="18"/>
      <c r="DV73" s="18"/>
      <c r="DW73" s="18"/>
      <c r="DX73" s="18"/>
      <c r="DY73" s="18"/>
      <c r="DZ73" s="18"/>
    </row>
    <row r="74" spans="1:130" ht="15" customHeight="1" x14ac:dyDescent="0.3">
      <c r="A74" s="30" t="s">
        <v>358</v>
      </c>
      <c r="B74" s="73" t="s">
        <v>205</v>
      </c>
      <c r="C74" s="74" t="s">
        <v>615</v>
      </c>
      <c r="D74" s="74" t="s">
        <v>615</v>
      </c>
      <c r="E74" s="74" t="s">
        <v>615</v>
      </c>
      <c r="F74" s="74" t="s">
        <v>615</v>
      </c>
      <c r="G74" s="74" t="s">
        <v>615</v>
      </c>
      <c r="H74" s="74" t="s">
        <v>615</v>
      </c>
      <c r="I74" s="74" t="s">
        <v>615</v>
      </c>
      <c r="J74" s="74" t="s">
        <v>615</v>
      </c>
      <c r="K74" s="74" t="s">
        <v>615</v>
      </c>
      <c r="L74" s="74" t="s">
        <v>615</v>
      </c>
      <c r="M74" s="75" t="s">
        <v>615</v>
      </c>
      <c r="N74" s="227"/>
      <c r="O74" s="17"/>
      <c r="P74" s="17"/>
      <c r="Q74" s="17"/>
      <c r="R74" s="17"/>
      <c r="S74" s="17"/>
      <c r="T74" s="17"/>
      <c r="U74" s="18"/>
      <c r="V74" s="18"/>
      <c r="W74" s="18"/>
      <c r="X74" s="18"/>
      <c r="Y74" s="18"/>
      <c r="Z74" s="18"/>
      <c r="AA74" s="18"/>
      <c r="AB74" s="18"/>
      <c r="AC74" s="18"/>
      <c r="AD74" s="18"/>
      <c r="AE74" s="18" t="str">
        <f t="shared" si="21"/>
        <v>Research &amp; Development Expense</v>
      </c>
      <c r="AF74" s="85" t="e">
        <f t="shared" si="22"/>
        <v>#VALUE!</v>
      </c>
      <c r="AG74" s="85" t="e">
        <f t="shared" si="23"/>
        <v>#VALUE!</v>
      </c>
      <c r="AH74" s="85" t="e">
        <f t="shared" si="24"/>
        <v>#VALUE!</v>
      </c>
      <c r="AI74" s="85" t="e">
        <f t="shared" si="25"/>
        <v>#VALUE!</v>
      </c>
      <c r="AJ74" s="85" t="e">
        <f t="shared" si="26"/>
        <v>#VALUE!</v>
      </c>
      <c r="AK74" s="85" t="e">
        <f t="shared" si="27"/>
        <v>#VALUE!</v>
      </c>
      <c r="AL74" s="85" t="e">
        <f t="shared" si="28"/>
        <v>#VALUE!</v>
      </c>
      <c r="AM74" s="85" t="e">
        <f t="shared" si="29"/>
        <v>#VALUE!</v>
      </c>
      <c r="AN74" s="18"/>
      <c r="AO74" s="18"/>
      <c r="AP74" s="77" t="s">
        <v>205</v>
      </c>
      <c r="AQ74" s="18">
        <f>_xll.BDH($B$10,"IS_RD_EXPEND","-10FY","","Per=fy","Days=W","Fill=E","Curr=","DtFmt=P","Sort=D","Dts=H","Dir=H","FILING_STATUS,EQY_CONSOLIDATED","MR,","cols=11;rows=1")</f>
        <v>0</v>
      </c>
      <c r="AR74" s="18">
        <v>0</v>
      </c>
      <c r="AS74" s="18">
        <v>0</v>
      </c>
      <c r="AT74" s="18">
        <v>0</v>
      </c>
      <c r="AU74" s="18">
        <v>0</v>
      </c>
      <c r="AV74" s="18">
        <v>0</v>
      </c>
      <c r="AW74" s="18">
        <v>0</v>
      </c>
      <c r="AX74" s="18">
        <v>0</v>
      </c>
      <c r="AY74" s="18">
        <v>0</v>
      </c>
      <c r="AZ74" s="18">
        <v>0</v>
      </c>
      <c r="BA74" s="78">
        <v>0</v>
      </c>
      <c r="BB74" s="18"/>
      <c r="BC74" s="18"/>
      <c r="BD74" s="18"/>
      <c r="BE74" s="18"/>
      <c r="BF74" s="18"/>
      <c r="BG74" s="18"/>
      <c r="BH74" s="18"/>
      <c r="BI74" s="18"/>
      <c r="BJ74" s="18"/>
      <c r="BK74" s="18"/>
      <c r="BL74" s="18"/>
      <c r="BM74" s="18"/>
      <c r="BN74" s="18"/>
      <c r="BO74" s="18"/>
      <c r="BP74" s="18"/>
      <c r="BQ74" s="37">
        <v>42153</v>
      </c>
      <c r="BR74" s="38">
        <v>57569.420599999998</v>
      </c>
      <c r="BS74" s="17"/>
      <c r="BT74" s="37">
        <v>42153</v>
      </c>
      <c r="BU74" s="38">
        <v>3891</v>
      </c>
      <c r="BV74" s="18"/>
      <c r="BW74" s="37"/>
      <c r="BX74" s="38"/>
      <c r="BY74" s="18"/>
      <c r="BZ74" s="39">
        <f t="shared" si="0"/>
        <v>42153</v>
      </c>
      <c r="CA74" s="40">
        <f t="shared" si="1"/>
        <v>57569.420599999998</v>
      </c>
      <c r="CB74" s="17"/>
      <c r="CC74" s="39">
        <f t="shared" si="2"/>
        <v>42153</v>
      </c>
      <c r="CD74" s="40">
        <f t="shared" si="3"/>
        <v>38.910000000000004</v>
      </c>
      <c r="CE74" s="18"/>
      <c r="CF74" s="18"/>
      <c r="CG74" s="18"/>
      <c r="CH74" s="18"/>
      <c r="CI74" s="18"/>
      <c r="CJ74" s="18"/>
      <c r="CK74" s="18"/>
      <c r="CL74" s="18"/>
      <c r="CM74" s="18"/>
      <c r="CN74" s="17"/>
      <c r="CO74" s="17"/>
      <c r="CP74" s="17"/>
      <c r="CQ74" s="18"/>
      <c r="CR74" s="18"/>
      <c r="CS74" s="18"/>
      <c r="CT74" s="18"/>
      <c r="CU74" s="18"/>
      <c r="CV74" s="18"/>
      <c r="CW74" s="18"/>
      <c r="CX74" s="18"/>
      <c r="CY74" s="37">
        <v>44862</v>
      </c>
      <c r="CZ74" s="38">
        <v>18.0763</v>
      </c>
      <c r="DA74" s="18"/>
      <c r="DB74" s="37">
        <v>44862</v>
      </c>
      <c r="DC74" s="38">
        <v>18.2103</v>
      </c>
      <c r="DD74" s="18"/>
      <c r="DE74" s="37">
        <v>44862</v>
      </c>
      <c r="DF74" s="38">
        <v>18.1341</v>
      </c>
      <c r="DG74" s="18"/>
      <c r="DH74" s="37">
        <v>44862</v>
      </c>
      <c r="DI74" s="38">
        <v>21.0669</v>
      </c>
      <c r="DJ74" s="18"/>
      <c r="DK74" s="37">
        <v>44862</v>
      </c>
      <c r="DL74" s="38">
        <v>0.123</v>
      </c>
      <c r="DM74" s="18"/>
      <c r="DN74" s="18"/>
      <c r="DO74" s="18"/>
      <c r="DP74" s="18"/>
      <c r="DQ74" s="18"/>
      <c r="DR74" s="18"/>
      <c r="DS74" s="18"/>
      <c r="DT74" s="18"/>
      <c r="DU74" s="18"/>
      <c r="DV74" s="18"/>
      <c r="DW74" s="18"/>
      <c r="DX74" s="18"/>
      <c r="DY74" s="18"/>
      <c r="DZ74" s="18"/>
    </row>
    <row r="75" spans="1:130" ht="15" customHeight="1" x14ac:dyDescent="0.3">
      <c r="A75" s="30" t="s">
        <v>359</v>
      </c>
      <c r="B75" s="73" t="s">
        <v>206</v>
      </c>
      <c r="C75" s="74">
        <v>8302</v>
      </c>
      <c r="D75" s="74">
        <v>7955</v>
      </c>
      <c r="E75" s="74">
        <v>7639</v>
      </c>
      <c r="F75" s="74">
        <v>7581</v>
      </c>
      <c r="G75" s="74">
        <v>7275</v>
      </c>
      <c r="H75" s="74">
        <v>7064</v>
      </c>
      <c r="I75" s="74">
        <v>12926</v>
      </c>
      <c r="J75" s="74">
        <v>11617</v>
      </c>
      <c r="K75" s="74">
        <v>11086</v>
      </c>
      <c r="L75" s="74">
        <v>9660</v>
      </c>
      <c r="M75" s="75">
        <v>8784</v>
      </c>
      <c r="N75" s="227"/>
      <c r="O75" s="17"/>
      <c r="P75" s="17"/>
      <c r="Q75" s="17"/>
      <c r="R75" s="17"/>
      <c r="S75" s="17"/>
      <c r="T75" s="17"/>
      <c r="U75" s="18"/>
      <c r="V75" s="18"/>
      <c r="W75" s="18"/>
      <c r="X75" s="18"/>
      <c r="Y75" s="18"/>
      <c r="Z75" s="18"/>
      <c r="AA75" s="18"/>
      <c r="AB75" s="18"/>
      <c r="AC75" s="18"/>
      <c r="AD75" s="18"/>
      <c r="AE75" s="18" t="str">
        <f t="shared" si="21"/>
        <v>Personnel Expense</v>
      </c>
      <c r="AF75" s="85">
        <f t="shared" si="22"/>
        <v>0</v>
      </c>
      <c r="AG75" s="85">
        <f t="shared" si="23"/>
        <v>0</v>
      </c>
      <c r="AH75" s="85">
        <f t="shared" si="24"/>
        <v>0</v>
      </c>
      <c r="AI75" s="85">
        <f t="shared" si="25"/>
        <v>0</v>
      </c>
      <c r="AJ75" s="85">
        <f t="shared" si="26"/>
        <v>0</v>
      </c>
      <c r="AK75" s="85">
        <f t="shared" si="27"/>
        <v>0</v>
      </c>
      <c r="AL75" s="85">
        <f t="shared" si="28"/>
        <v>0</v>
      </c>
      <c r="AM75" s="85">
        <f t="shared" si="29"/>
        <v>0</v>
      </c>
      <c r="AN75" s="18"/>
      <c r="AO75" s="18"/>
      <c r="AP75" s="77" t="s">
        <v>206</v>
      </c>
      <c r="AQ75" s="18">
        <f>_xll.BDH($B$10,"IS_PERSONNEL_EXP","-10FY","","Per=fy","Days=W","Fill=E","Curr=","DtFmt=P","Sort=D","Dts=H","Dir=H","FILING_STATUS,EQY_CONSOLIDATED","MR,","cols=11;rows=1")</f>
        <v>8302</v>
      </c>
      <c r="AR75" s="18">
        <v>7955</v>
      </c>
      <c r="AS75" s="18">
        <v>7639</v>
      </c>
      <c r="AT75" s="18">
        <v>7581</v>
      </c>
      <c r="AU75" s="18">
        <v>7275</v>
      </c>
      <c r="AV75" s="18">
        <v>7064</v>
      </c>
      <c r="AW75" s="18">
        <v>12926</v>
      </c>
      <c r="AX75" s="18">
        <v>11617</v>
      </c>
      <c r="AY75" s="18">
        <v>11086</v>
      </c>
      <c r="AZ75" s="18">
        <v>9660</v>
      </c>
      <c r="BA75" s="78">
        <v>8784</v>
      </c>
      <c r="BB75" s="18"/>
      <c r="BC75" s="18"/>
      <c r="BD75" s="18"/>
      <c r="BE75" s="18"/>
      <c r="BF75" s="18"/>
      <c r="BG75" s="18"/>
      <c r="BH75" s="18"/>
      <c r="BI75" s="18"/>
      <c r="BJ75" s="18"/>
      <c r="BK75" s="18"/>
      <c r="BL75" s="18"/>
      <c r="BM75" s="18"/>
      <c r="BN75" s="18"/>
      <c r="BO75" s="18"/>
      <c r="BP75" s="18"/>
      <c r="BQ75" s="37">
        <v>42185</v>
      </c>
      <c r="BR75" s="38">
        <v>56657.437400000003</v>
      </c>
      <c r="BS75" s="17"/>
      <c r="BT75" s="37">
        <v>42185</v>
      </c>
      <c r="BU75" s="38">
        <v>3828</v>
      </c>
      <c r="BV75" s="18"/>
      <c r="BW75" s="37"/>
      <c r="BX75" s="38"/>
      <c r="BY75" s="18"/>
      <c r="BZ75" s="39">
        <f t="shared" ref="BZ75:BZ138" si="30">IF(BQ75="","-",BQ75)</f>
        <v>42185</v>
      </c>
      <c r="CA75" s="40">
        <f t="shared" ref="CA75:CA138" si="31">IF(BQ75="","-",IF(CA$8&lt;&gt;CA$7,BR75/VLOOKUP(BZ75,$BW$11:$BX$215,2,0),BR75))</f>
        <v>56657.437400000003</v>
      </c>
      <c r="CB75" s="17"/>
      <c r="CC75" s="39">
        <f t="shared" ref="CC75:CC138" si="32">IF(BT75="","-",BT75)</f>
        <v>42185</v>
      </c>
      <c r="CD75" s="40">
        <f t="shared" ref="CD75:CD138" si="33">IF(BT75="","-",IF(CD$8&lt;&gt;CD$7,(BU75*$C$19)/VLOOKUP(CC75,$BW$11:$BX$215,2,0),BU75*$C$19))</f>
        <v>38.28</v>
      </c>
      <c r="CE75" s="18"/>
      <c r="CF75" s="18"/>
      <c r="CG75" s="18"/>
      <c r="CH75" s="18"/>
      <c r="CI75" s="18"/>
      <c r="CJ75" s="18"/>
      <c r="CK75" s="18"/>
      <c r="CL75" s="18"/>
      <c r="CM75" s="18"/>
      <c r="CN75" s="17"/>
      <c r="CO75" s="17"/>
      <c r="CP75" s="17"/>
      <c r="CQ75" s="18"/>
      <c r="CR75" s="18"/>
      <c r="CS75" s="18"/>
      <c r="CT75" s="18"/>
      <c r="CU75" s="18"/>
      <c r="CV75" s="18"/>
      <c r="CW75" s="18"/>
      <c r="CX75" s="18"/>
      <c r="CY75" s="37">
        <v>44865</v>
      </c>
      <c r="CZ75" s="38">
        <v>18.135100000000001</v>
      </c>
      <c r="DA75" s="18"/>
      <c r="DB75" s="37">
        <v>44865</v>
      </c>
      <c r="DC75" s="38">
        <v>18.316700000000001</v>
      </c>
      <c r="DD75" s="18"/>
      <c r="DE75" s="37">
        <v>44865</v>
      </c>
      <c r="DF75" s="38">
        <v>18.344899999999999</v>
      </c>
      <c r="DG75" s="18"/>
      <c r="DH75" s="37">
        <v>44865</v>
      </c>
      <c r="DI75" s="38">
        <v>21.035799999999998</v>
      </c>
      <c r="DJ75" s="18"/>
      <c r="DK75" s="37">
        <v>44865</v>
      </c>
      <c r="DL75" s="38">
        <v>0.1234</v>
      </c>
      <c r="DM75" s="18"/>
      <c r="DN75" s="18"/>
      <c r="DO75" s="18"/>
      <c r="DP75" s="18"/>
      <c r="DQ75" s="18"/>
      <c r="DR75" s="18"/>
      <c r="DS75" s="18"/>
      <c r="DT75" s="18"/>
      <c r="DU75" s="18"/>
      <c r="DV75" s="18"/>
      <c r="DW75" s="18"/>
      <c r="DX75" s="18"/>
      <c r="DY75" s="18"/>
      <c r="DZ75" s="18"/>
    </row>
    <row r="76" spans="1:130" ht="15" customHeight="1" x14ac:dyDescent="0.3">
      <c r="A76" s="30" t="s">
        <v>360</v>
      </c>
      <c r="B76" s="73" t="s">
        <v>207</v>
      </c>
      <c r="C76" s="74" t="s">
        <v>615</v>
      </c>
      <c r="D76" s="74" t="s">
        <v>615</v>
      </c>
      <c r="E76" s="74" t="s">
        <v>615</v>
      </c>
      <c r="F76" s="74" t="s">
        <v>615</v>
      </c>
      <c r="G76" s="74" t="s">
        <v>615</v>
      </c>
      <c r="H76" s="74" t="s">
        <v>615</v>
      </c>
      <c r="I76" s="74" t="s">
        <v>615</v>
      </c>
      <c r="J76" s="74" t="s">
        <v>615</v>
      </c>
      <c r="K76" s="74" t="s">
        <v>615</v>
      </c>
      <c r="L76" s="74" t="s">
        <v>615</v>
      </c>
      <c r="M76" s="75" t="s">
        <v>615</v>
      </c>
      <c r="N76" s="227"/>
      <c r="O76" s="17"/>
      <c r="P76" s="17"/>
      <c r="Q76" s="17"/>
      <c r="R76" s="17"/>
      <c r="S76" s="17"/>
      <c r="T76" s="17"/>
      <c r="U76" s="18"/>
      <c r="V76" s="18"/>
      <c r="W76" s="18"/>
      <c r="X76" s="18"/>
      <c r="Y76" s="18"/>
      <c r="Z76" s="18"/>
      <c r="AA76" s="18"/>
      <c r="AB76" s="18"/>
      <c r="AC76" s="18"/>
      <c r="AD76" s="18"/>
      <c r="AE76" s="18" t="str">
        <f t="shared" si="21"/>
        <v>Export sales</v>
      </c>
      <c r="AF76" s="85" t="e">
        <f t="shared" si="22"/>
        <v>#VALUE!</v>
      </c>
      <c r="AG76" s="85" t="e">
        <f t="shared" si="23"/>
        <v>#VALUE!</v>
      </c>
      <c r="AH76" s="85" t="e">
        <f t="shared" si="24"/>
        <v>#VALUE!</v>
      </c>
      <c r="AI76" s="85" t="e">
        <f t="shared" si="25"/>
        <v>#VALUE!</v>
      </c>
      <c r="AJ76" s="85" t="e">
        <f t="shared" si="26"/>
        <v>#VALUE!</v>
      </c>
      <c r="AK76" s="85" t="e">
        <f t="shared" si="27"/>
        <v>#VALUE!</v>
      </c>
      <c r="AL76" s="85" t="e">
        <f t="shared" si="28"/>
        <v>#VALUE!</v>
      </c>
      <c r="AM76" s="85" t="e">
        <f t="shared" si="29"/>
        <v>#VALUE!</v>
      </c>
      <c r="AN76" s="18"/>
      <c r="AO76" s="18"/>
      <c r="AP76" s="77" t="s">
        <v>207</v>
      </c>
      <c r="AQ76" s="18" t="str">
        <f>_xll.BDH($B$10,"IS_EXPORT_SALES","-10FY","","Per=fy","Days=W","Fill=E","Curr=","DtFmt=P","Sort=D","Dts=H","Dir=H","FILING_STATUS,EQY_CONSOLIDATED","MR,","cols=11;rows=1")</f>
        <v>#N/A N/A</v>
      </c>
      <c r="AR76" s="18" t="s">
        <v>1811</v>
      </c>
      <c r="AS76" s="18" t="s">
        <v>1811</v>
      </c>
      <c r="AT76" s="18" t="s">
        <v>1811</v>
      </c>
      <c r="AU76" s="18" t="s">
        <v>1811</v>
      </c>
      <c r="AV76" s="18" t="s">
        <v>1811</v>
      </c>
      <c r="AW76" s="18" t="s">
        <v>1811</v>
      </c>
      <c r="AX76" s="18" t="s">
        <v>1811</v>
      </c>
      <c r="AY76" s="18" t="s">
        <v>1811</v>
      </c>
      <c r="AZ76" s="18" t="s">
        <v>1811</v>
      </c>
      <c r="BA76" s="78" t="s">
        <v>1811</v>
      </c>
      <c r="BB76" s="18"/>
      <c r="BC76" s="18"/>
      <c r="BD76" s="18"/>
      <c r="BE76" s="18"/>
      <c r="BF76" s="18"/>
      <c r="BG76" s="18"/>
      <c r="BH76" s="18"/>
      <c r="BI76" s="18"/>
      <c r="BJ76" s="18"/>
      <c r="BK76" s="18"/>
      <c r="BL76" s="18"/>
      <c r="BM76" s="18"/>
      <c r="BN76" s="18"/>
      <c r="BO76" s="18"/>
      <c r="BP76" s="18"/>
      <c r="BQ76" s="37">
        <v>42216</v>
      </c>
      <c r="BR76" s="38">
        <v>58760.646000000001</v>
      </c>
      <c r="BS76" s="17"/>
      <c r="BT76" s="37">
        <v>42216</v>
      </c>
      <c r="BU76" s="38">
        <v>4039</v>
      </c>
      <c r="BV76" s="18"/>
      <c r="BW76" s="37"/>
      <c r="BX76" s="38"/>
      <c r="BY76" s="18"/>
      <c r="BZ76" s="39">
        <f t="shared" si="30"/>
        <v>42216</v>
      </c>
      <c r="CA76" s="40">
        <f t="shared" si="31"/>
        <v>58760.646000000001</v>
      </c>
      <c r="CB76" s="17"/>
      <c r="CC76" s="39">
        <f t="shared" si="32"/>
        <v>42216</v>
      </c>
      <c r="CD76" s="40">
        <f t="shared" si="33"/>
        <v>40.39</v>
      </c>
      <c r="CE76" s="18"/>
      <c r="CF76" s="18"/>
      <c r="CG76" s="18"/>
      <c r="CH76" s="18"/>
      <c r="CI76" s="18"/>
      <c r="CJ76" s="18"/>
      <c r="CK76" s="18"/>
      <c r="CL76" s="18"/>
      <c r="CM76" s="18"/>
      <c r="CN76" s="17"/>
      <c r="CO76" s="17"/>
      <c r="CP76" s="17"/>
      <c r="CQ76" s="18"/>
      <c r="CR76" s="18"/>
      <c r="CS76" s="18"/>
      <c r="CT76" s="18"/>
      <c r="CU76" s="18"/>
      <c r="CV76" s="18"/>
      <c r="CW76" s="18"/>
      <c r="CX76" s="18"/>
      <c r="CY76" s="37">
        <v>44866</v>
      </c>
      <c r="CZ76" s="38">
        <v>17.983599999999999</v>
      </c>
      <c r="DA76" s="18"/>
      <c r="DB76" s="37">
        <v>44866</v>
      </c>
      <c r="DC76" s="38">
        <v>18.213200000000001</v>
      </c>
      <c r="DD76" s="18"/>
      <c r="DE76" s="37">
        <v>44866</v>
      </c>
      <c r="DF76" s="38">
        <v>18.1922</v>
      </c>
      <c r="DG76" s="18"/>
      <c r="DH76" s="37">
        <v>44866</v>
      </c>
      <c r="DI76" s="38">
        <v>20.9163</v>
      </c>
      <c r="DJ76" s="18"/>
      <c r="DK76" s="37">
        <v>44866</v>
      </c>
      <c r="DL76" s="38">
        <v>0.1231</v>
      </c>
      <c r="DM76" s="18"/>
      <c r="DN76" s="18"/>
      <c r="DO76" s="18"/>
      <c r="DP76" s="18"/>
      <c r="DQ76" s="18"/>
      <c r="DR76" s="18"/>
      <c r="DS76" s="18"/>
      <c r="DT76" s="18"/>
      <c r="DU76" s="18"/>
      <c r="DV76" s="18"/>
      <c r="DW76" s="18"/>
      <c r="DX76" s="18"/>
      <c r="DY76" s="18"/>
      <c r="DZ76" s="18"/>
    </row>
    <row r="77" spans="1:130" ht="15" customHeight="1" x14ac:dyDescent="0.3">
      <c r="A77" s="30" t="s">
        <v>359</v>
      </c>
      <c r="B77" s="73" t="s">
        <v>206</v>
      </c>
      <c r="C77" s="74">
        <v>8302</v>
      </c>
      <c r="D77" s="74">
        <v>7955</v>
      </c>
      <c r="E77" s="74">
        <v>7639</v>
      </c>
      <c r="F77" s="74">
        <v>7581</v>
      </c>
      <c r="G77" s="74">
        <v>7275</v>
      </c>
      <c r="H77" s="74">
        <v>7064</v>
      </c>
      <c r="I77" s="74">
        <v>12926</v>
      </c>
      <c r="J77" s="74">
        <v>11617</v>
      </c>
      <c r="K77" s="74">
        <v>11086</v>
      </c>
      <c r="L77" s="74">
        <v>9660</v>
      </c>
      <c r="M77" s="75">
        <v>8784</v>
      </c>
      <c r="N77" s="227"/>
      <c r="O77" s="17"/>
      <c r="P77" s="17"/>
      <c r="Q77" s="17"/>
      <c r="R77" s="17"/>
      <c r="S77" s="17"/>
      <c r="T77" s="17"/>
      <c r="U77" s="18"/>
      <c r="V77" s="18"/>
      <c r="W77" s="18"/>
      <c r="X77" s="18"/>
      <c r="Y77" s="18"/>
      <c r="Z77" s="18"/>
      <c r="AA77" s="18"/>
      <c r="AB77" s="18"/>
      <c r="AC77" s="18"/>
      <c r="AD77" s="18"/>
      <c r="AE77" s="18" t="str">
        <f t="shared" si="21"/>
        <v>Personnel Expense</v>
      </c>
      <c r="AF77" s="85">
        <f t="shared" si="22"/>
        <v>0</v>
      </c>
      <c r="AG77" s="85">
        <f t="shared" si="23"/>
        <v>0</v>
      </c>
      <c r="AH77" s="85">
        <f t="shared" si="24"/>
        <v>0</v>
      </c>
      <c r="AI77" s="85">
        <f t="shared" si="25"/>
        <v>0</v>
      </c>
      <c r="AJ77" s="85">
        <f t="shared" si="26"/>
        <v>0</v>
      </c>
      <c r="AK77" s="85">
        <f t="shared" si="27"/>
        <v>0</v>
      </c>
      <c r="AL77" s="85">
        <f t="shared" si="28"/>
        <v>0</v>
      </c>
      <c r="AM77" s="85">
        <f t="shared" si="29"/>
        <v>0</v>
      </c>
      <c r="AN77" s="18"/>
      <c r="AO77" s="18"/>
      <c r="AP77" s="77" t="s">
        <v>206</v>
      </c>
      <c r="AQ77" s="18">
        <f>_xll.BDH($B$10,"IS_PERSONNEL_EXP","-10FY","","Per=fy","Days=W","Fill=E","Curr=","DtFmt=P","Sort=D","Dts=H","Dir=H","FILING_STATUS,EQY_CONSOLIDATED","MR,","cols=11;rows=1")</f>
        <v>8302</v>
      </c>
      <c r="AR77" s="18">
        <v>7955</v>
      </c>
      <c r="AS77" s="18">
        <v>7639</v>
      </c>
      <c r="AT77" s="18">
        <v>7581</v>
      </c>
      <c r="AU77" s="18">
        <v>7275</v>
      </c>
      <c r="AV77" s="18">
        <v>7064</v>
      </c>
      <c r="AW77" s="18">
        <v>12926</v>
      </c>
      <c r="AX77" s="18">
        <v>11617</v>
      </c>
      <c r="AY77" s="18">
        <v>11086</v>
      </c>
      <c r="AZ77" s="18">
        <v>9660</v>
      </c>
      <c r="BA77" s="78">
        <v>8784</v>
      </c>
      <c r="BB77" s="18"/>
      <c r="BC77" s="18"/>
      <c r="BD77" s="18"/>
      <c r="BE77" s="18"/>
      <c r="BF77" s="18"/>
      <c r="BG77" s="18"/>
      <c r="BH77" s="18"/>
      <c r="BI77" s="18"/>
      <c r="BJ77" s="18"/>
      <c r="BK77" s="18"/>
      <c r="BL77" s="18"/>
      <c r="BM77" s="18"/>
      <c r="BN77" s="18"/>
      <c r="BO77" s="18"/>
      <c r="BP77" s="18"/>
      <c r="BQ77" s="37">
        <v>42247</v>
      </c>
      <c r="BR77" s="38">
        <v>58021.971599999997</v>
      </c>
      <c r="BS77" s="17"/>
      <c r="BT77" s="37">
        <v>42247</v>
      </c>
      <c r="BU77" s="38">
        <v>3986</v>
      </c>
      <c r="BV77" s="18"/>
      <c r="BW77" s="37"/>
      <c r="BX77" s="38"/>
      <c r="BY77" s="18"/>
      <c r="BZ77" s="39">
        <f t="shared" si="30"/>
        <v>42247</v>
      </c>
      <c r="CA77" s="40">
        <f t="shared" si="31"/>
        <v>58021.971599999997</v>
      </c>
      <c r="CB77" s="17"/>
      <c r="CC77" s="39">
        <f t="shared" si="32"/>
        <v>42247</v>
      </c>
      <c r="CD77" s="40">
        <f t="shared" si="33"/>
        <v>39.86</v>
      </c>
      <c r="CE77" s="18"/>
      <c r="CF77" s="18"/>
      <c r="CG77" s="18"/>
      <c r="CH77" s="18"/>
      <c r="CI77" s="18"/>
      <c r="CJ77" s="18"/>
      <c r="CK77" s="18"/>
      <c r="CL77" s="18"/>
      <c r="CM77" s="18"/>
      <c r="CN77" s="17"/>
      <c r="CO77" s="17"/>
      <c r="CP77" s="17"/>
      <c r="CQ77" s="18"/>
      <c r="CR77" s="18"/>
      <c r="CS77" s="18"/>
      <c r="CT77" s="18"/>
      <c r="CU77" s="18"/>
      <c r="CV77" s="18"/>
      <c r="CW77" s="18"/>
      <c r="CX77" s="18"/>
      <c r="CY77" s="37">
        <v>44867</v>
      </c>
      <c r="CZ77" s="38">
        <v>17.9254</v>
      </c>
      <c r="DA77" s="18"/>
      <c r="DB77" s="37">
        <v>44867</v>
      </c>
      <c r="DC77" s="38">
        <v>18.200700000000001</v>
      </c>
      <c r="DD77" s="18"/>
      <c r="DE77" s="37">
        <v>44867</v>
      </c>
      <c r="DF77" s="38">
        <v>18.261500000000002</v>
      </c>
      <c r="DG77" s="18"/>
      <c r="DH77" s="37">
        <v>44867</v>
      </c>
      <c r="DI77" s="38">
        <v>20.781199999999998</v>
      </c>
      <c r="DJ77" s="18"/>
      <c r="DK77" s="37">
        <v>44867</v>
      </c>
      <c r="DL77" s="38">
        <v>0.1235</v>
      </c>
      <c r="DM77" s="18"/>
      <c r="DN77" s="18"/>
      <c r="DO77" s="18"/>
      <c r="DP77" s="18"/>
      <c r="DQ77" s="18"/>
      <c r="DR77" s="18"/>
      <c r="DS77" s="18"/>
      <c r="DT77" s="18"/>
      <c r="DU77" s="18"/>
      <c r="DV77" s="18"/>
      <c r="DW77" s="18"/>
      <c r="DX77" s="18"/>
      <c r="DY77" s="18"/>
      <c r="DZ77" s="18"/>
    </row>
    <row r="78" spans="1:130" ht="15" customHeight="1" thickBot="1" x14ac:dyDescent="0.35">
      <c r="A78" s="30" t="s">
        <v>360</v>
      </c>
      <c r="B78" s="73" t="s">
        <v>207</v>
      </c>
      <c r="C78" s="74" t="s">
        <v>615</v>
      </c>
      <c r="D78" s="74" t="s">
        <v>615</v>
      </c>
      <c r="E78" s="74" t="s">
        <v>615</v>
      </c>
      <c r="F78" s="74" t="s">
        <v>615</v>
      </c>
      <c r="G78" s="74" t="s">
        <v>615</v>
      </c>
      <c r="H78" s="74" t="s">
        <v>615</v>
      </c>
      <c r="I78" s="74" t="s">
        <v>615</v>
      </c>
      <c r="J78" s="74" t="s">
        <v>615</v>
      </c>
      <c r="K78" s="74" t="s">
        <v>615</v>
      </c>
      <c r="L78" s="74" t="s">
        <v>615</v>
      </c>
      <c r="M78" s="75" t="s">
        <v>615</v>
      </c>
      <c r="N78" s="227"/>
      <c r="O78" s="17"/>
      <c r="P78" s="17"/>
      <c r="Q78" s="17"/>
      <c r="R78" s="17"/>
      <c r="S78" s="17"/>
      <c r="T78" s="17"/>
      <c r="U78" s="18"/>
      <c r="V78" s="18"/>
      <c r="W78" s="18"/>
      <c r="X78" s="18"/>
      <c r="Y78" s="18"/>
      <c r="Z78" s="18"/>
      <c r="AA78" s="18"/>
      <c r="AB78" s="18"/>
      <c r="AC78" s="18"/>
      <c r="AD78" s="18"/>
      <c r="AE78" s="18" t="str">
        <f t="shared" si="21"/>
        <v>Export sales</v>
      </c>
      <c r="AF78" s="85" t="e">
        <f t="shared" si="22"/>
        <v>#VALUE!</v>
      </c>
      <c r="AG78" s="85" t="e">
        <f t="shared" si="23"/>
        <v>#VALUE!</v>
      </c>
      <c r="AH78" s="85" t="e">
        <f t="shared" si="24"/>
        <v>#VALUE!</v>
      </c>
      <c r="AI78" s="85" t="e">
        <f t="shared" si="25"/>
        <v>#VALUE!</v>
      </c>
      <c r="AJ78" s="85" t="e">
        <f t="shared" si="26"/>
        <v>#VALUE!</v>
      </c>
      <c r="AK78" s="85" t="e">
        <f t="shared" si="27"/>
        <v>#VALUE!</v>
      </c>
      <c r="AL78" s="85" t="e">
        <f t="shared" si="28"/>
        <v>#VALUE!</v>
      </c>
      <c r="AM78" s="85" t="e">
        <f t="shared" si="29"/>
        <v>#VALUE!</v>
      </c>
      <c r="AN78" s="18"/>
      <c r="AO78" s="18"/>
      <c r="AP78" s="104" t="s">
        <v>207</v>
      </c>
      <c r="AQ78" s="113" t="str">
        <f>_xll.BDH($B$10,"IS_EXPORT_SALES","-10FY","","Per=fy","Days=W","Fill=E","Curr=","DtFmt=P","Sort=D","Dts=H","Dir=H","FILING_STATUS,EQY_CONSOLIDATED","MR,","cols=11;rows=1")</f>
        <v>#N/A N/A</v>
      </c>
      <c r="AR78" s="113" t="s">
        <v>1811</v>
      </c>
      <c r="AS78" s="113" t="s">
        <v>1811</v>
      </c>
      <c r="AT78" s="113" t="s">
        <v>1811</v>
      </c>
      <c r="AU78" s="113" t="s">
        <v>1811</v>
      </c>
      <c r="AV78" s="113" t="s">
        <v>1811</v>
      </c>
      <c r="AW78" s="113" t="s">
        <v>1811</v>
      </c>
      <c r="AX78" s="113" t="s">
        <v>1811</v>
      </c>
      <c r="AY78" s="113" t="s">
        <v>1811</v>
      </c>
      <c r="AZ78" s="113" t="s">
        <v>1811</v>
      </c>
      <c r="BA78" s="114" t="s">
        <v>1811</v>
      </c>
      <c r="BB78" s="18"/>
      <c r="BC78" s="18"/>
      <c r="BD78" s="18"/>
      <c r="BE78" s="18"/>
      <c r="BF78" s="18"/>
      <c r="BG78" s="18"/>
      <c r="BH78" s="18"/>
      <c r="BI78" s="18"/>
      <c r="BJ78" s="18"/>
      <c r="BK78" s="18"/>
      <c r="BL78" s="18"/>
      <c r="BM78" s="18"/>
      <c r="BN78" s="18"/>
      <c r="BO78" s="18"/>
      <c r="BP78" s="18"/>
      <c r="BQ78" s="37">
        <v>42277</v>
      </c>
      <c r="BR78" s="38">
        <v>52850.606599999999</v>
      </c>
      <c r="BS78" s="17"/>
      <c r="BT78" s="37">
        <v>42277</v>
      </c>
      <c r="BU78" s="38">
        <v>3630</v>
      </c>
      <c r="BV78" s="18"/>
      <c r="BW78" s="37"/>
      <c r="BX78" s="38"/>
      <c r="BY78" s="18"/>
      <c r="BZ78" s="39">
        <f t="shared" si="30"/>
        <v>42277</v>
      </c>
      <c r="CA78" s="40">
        <f t="shared" si="31"/>
        <v>52850.606599999999</v>
      </c>
      <c r="CB78" s="17"/>
      <c r="CC78" s="39">
        <f t="shared" si="32"/>
        <v>42277</v>
      </c>
      <c r="CD78" s="40">
        <f t="shared" si="33"/>
        <v>36.300000000000004</v>
      </c>
      <c r="CE78" s="18"/>
      <c r="CF78" s="18"/>
      <c r="CG78" s="18"/>
      <c r="CH78" s="18"/>
      <c r="CI78" s="18"/>
      <c r="CJ78" s="18"/>
      <c r="CK78" s="18"/>
      <c r="CL78" s="18"/>
      <c r="CM78" s="18"/>
      <c r="CN78" s="17"/>
      <c r="CO78" s="17"/>
      <c r="CP78" s="17"/>
      <c r="CQ78" s="18"/>
      <c r="CR78" s="18"/>
      <c r="CS78" s="18"/>
      <c r="CT78" s="18"/>
      <c r="CU78" s="18"/>
      <c r="CV78" s="18"/>
      <c r="CW78" s="18"/>
      <c r="CX78" s="18"/>
      <c r="CY78" s="37">
        <v>44868</v>
      </c>
      <c r="CZ78" s="38">
        <v>17.947600000000001</v>
      </c>
      <c r="DA78" s="18"/>
      <c r="DB78" s="37">
        <v>44868</v>
      </c>
      <c r="DC78" s="38">
        <v>18.162500000000001</v>
      </c>
      <c r="DD78" s="18"/>
      <c r="DE78" s="37">
        <v>44868</v>
      </c>
      <c r="DF78" s="38">
        <v>18.411200000000001</v>
      </c>
      <c r="DG78" s="18"/>
      <c r="DH78" s="37">
        <v>44868</v>
      </c>
      <c r="DI78" s="38">
        <v>20.565200000000001</v>
      </c>
      <c r="DJ78" s="18"/>
      <c r="DK78" s="37">
        <v>44868</v>
      </c>
      <c r="DL78" s="38">
        <v>0.1241</v>
      </c>
      <c r="DM78" s="18"/>
      <c r="DN78" s="18"/>
      <c r="DO78" s="18"/>
      <c r="DP78" s="18"/>
      <c r="DQ78" s="18"/>
      <c r="DR78" s="18"/>
      <c r="DS78" s="18"/>
      <c r="DT78" s="18"/>
      <c r="DU78" s="18"/>
      <c r="DV78" s="18"/>
      <c r="DW78" s="18"/>
      <c r="DX78" s="18"/>
      <c r="DY78" s="18"/>
      <c r="DZ78" s="18"/>
    </row>
    <row r="79" spans="1:130" ht="15" customHeight="1" x14ac:dyDescent="0.3">
      <c r="A79" s="30"/>
      <c r="B79" s="73"/>
      <c r="C79" s="74"/>
      <c r="D79" s="74"/>
      <c r="E79" s="74"/>
      <c r="F79" s="74"/>
      <c r="G79" s="74"/>
      <c r="H79" s="74"/>
      <c r="I79" s="74"/>
      <c r="J79" s="74"/>
      <c r="K79" s="74"/>
      <c r="L79" s="74"/>
      <c r="M79" s="75"/>
      <c r="N79" s="227"/>
      <c r="O79" s="17"/>
      <c r="P79" s="17"/>
      <c r="Q79" s="17"/>
      <c r="R79" s="17"/>
      <c r="S79" s="17"/>
      <c r="T79" s="17"/>
      <c r="U79" s="18"/>
      <c r="V79" s="18"/>
      <c r="W79" s="18"/>
      <c r="X79" s="18"/>
      <c r="Y79" s="18"/>
      <c r="Z79" s="18"/>
      <c r="AA79" s="18"/>
      <c r="AB79" s="18"/>
      <c r="AC79" s="18"/>
      <c r="AD79" s="18"/>
      <c r="AE79" s="18"/>
      <c r="AF79" s="85"/>
      <c r="AG79" s="85"/>
      <c r="AH79" s="85"/>
      <c r="AI79" s="85"/>
      <c r="AJ79" s="85"/>
      <c r="AK79" s="85"/>
      <c r="AL79" s="85"/>
      <c r="AM79" s="85"/>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37">
        <v>42307</v>
      </c>
      <c r="BR79" s="38">
        <v>57430.482300000003</v>
      </c>
      <c r="BS79" s="17"/>
      <c r="BT79" s="37">
        <v>42307</v>
      </c>
      <c r="BU79" s="38">
        <v>3941</v>
      </c>
      <c r="BV79" s="18"/>
      <c r="BW79" s="37"/>
      <c r="BX79" s="38"/>
      <c r="BY79" s="18"/>
      <c r="BZ79" s="39">
        <f t="shared" si="30"/>
        <v>42307</v>
      </c>
      <c r="CA79" s="40">
        <f t="shared" si="31"/>
        <v>57430.482300000003</v>
      </c>
      <c r="CB79" s="17"/>
      <c r="CC79" s="39">
        <f t="shared" si="32"/>
        <v>42307</v>
      </c>
      <c r="CD79" s="40">
        <f t="shared" si="33"/>
        <v>39.410000000000004</v>
      </c>
      <c r="CE79" s="18"/>
      <c r="CF79" s="18"/>
      <c r="CG79" s="18"/>
      <c r="CH79" s="18"/>
      <c r="CI79" s="18"/>
      <c r="CJ79" s="18"/>
      <c r="CK79" s="18"/>
      <c r="CL79" s="18"/>
      <c r="CM79" s="18"/>
      <c r="CN79" s="18"/>
      <c r="CO79" s="18"/>
      <c r="CP79" s="18"/>
      <c r="CQ79" s="18"/>
      <c r="CR79" s="18"/>
      <c r="CS79" s="18"/>
      <c r="CT79" s="18"/>
      <c r="CU79" s="18"/>
      <c r="CV79" s="18"/>
      <c r="CW79" s="18"/>
      <c r="CX79" s="18"/>
      <c r="CY79" s="37">
        <v>44869</v>
      </c>
      <c r="CZ79" s="38">
        <v>17.947600000000001</v>
      </c>
      <c r="DA79" s="18"/>
      <c r="DB79" s="37">
        <v>44869</v>
      </c>
      <c r="DC79" s="38">
        <v>18.162500000000001</v>
      </c>
      <c r="DD79" s="18"/>
      <c r="DE79" s="37">
        <v>44869</v>
      </c>
      <c r="DF79" s="38">
        <v>18.411200000000001</v>
      </c>
      <c r="DG79" s="18"/>
      <c r="DH79" s="37">
        <v>44869</v>
      </c>
      <c r="DI79" s="38">
        <v>20.565200000000001</v>
      </c>
      <c r="DJ79" s="18"/>
      <c r="DK79" s="37">
        <v>44869</v>
      </c>
      <c r="DL79" s="38">
        <v>0.1241</v>
      </c>
      <c r="DM79" s="18"/>
      <c r="DN79" s="18"/>
      <c r="DO79" s="18"/>
      <c r="DP79" s="18"/>
      <c r="DQ79" s="18"/>
      <c r="DR79" s="18"/>
      <c r="DS79" s="18"/>
      <c r="DT79" s="18"/>
      <c r="DU79" s="18"/>
      <c r="DV79" s="18"/>
      <c r="DW79" s="18"/>
      <c r="DX79" s="18"/>
      <c r="DY79" s="18"/>
      <c r="DZ79" s="18"/>
    </row>
    <row r="80" spans="1:130" ht="15" customHeight="1" x14ac:dyDescent="0.3">
      <c r="A80" s="30"/>
      <c r="B80" s="73"/>
      <c r="C80" s="74"/>
      <c r="D80" s="74"/>
      <c r="E80" s="74"/>
      <c r="F80" s="74"/>
      <c r="G80" s="74"/>
      <c r="H80" s="74"/>
      <c r="I80" s="74"/>
      <c r="J80" s="74"/>
      <c r="K80" s="74"/>
      <c r="L80" s="74"/>
      <c r="M80" s="75"/>
      <c r="N80" s="227"/>
      <c r="O80" s="17"/>
      <c r="P80" s="17"/>
      <c r="Q80" s="17"/>
      <c r="R80" s="17"/>
      <c r="S80" s="17"/>
      <c r="T80" s="17"/>
      <c r="U80" s="18"/>
      <c r="V80" s="18"/>
      <c r="W80" s="18"/>
      <c r="X80" s="18"/>
      <c r="Y80" s="18"/>
      <c r="Z80" s="18"/>
      <c r="AA80" s="18"/>
      <c r="AB80" s="18"/>
      <c r="AC80" s="18"/>
      <c r="AD80" s="18"/>
      <c r="AE80" s="18"/>
      <c r="AF80" s="85"/>
      <c r="AG80" s="85"/>
      <c r="AH80" s="85"/>
      <c r="AI80" s="85"/>
      <c r="AJ80" s="85"/>
      <c r="AK80" s="85"/>
      <c r="AL80" s="85"/>
      <c r="AM80" s="85"/>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37">
        <v>42338</v>
      </c>
      <c r="BR80" s="38">
        <v>52461.237300000001</v>
      </c>
      <c r="BS80" s="17"/>
      <c r="BT80" s="37">
        <v>42338</v>
      </c>
      <c r="BU80" s="38">
        <v>3600</v>
      </c>
      <c r="BV80" s="18"/>
      <c r="BW80" s="37"/>
      <c r="BX80" s="38"/>
      <c r="BY80" s="18"/>
      <c r="BZ80" s="39">
        <f t="shared" si="30"/>
        <v>42338</v>
      </c>
      <c r="CA80" s="40">
        <f t="shared" si="31"/>
        <v>52461.237300000001</v>
      </c>
      <c r="CB80" s="17"/>
      <c r="CC80" s="39">
        <f t="shared" si="32"/>
        <v>42338</v>
      </c>
      <c r="CD80" s="40">
        <f t="shared" si="33"/>
        <v>36</v>
      </c>
      <c r="CE80" s="18"/>
      <c r="CF80" s="18"/>
      <c r="CG80" s="18"/>
      <c r="CH80" s="18"/>
      <c r="CI80" s="18"/>
      <c r="CJ80" s="18"/>
      <c r="CK80" s="18"/>
      <c r="CL80" s="18"/>
      <c r="CM80" s="18"/>
      <c r="CN80" s="18"/>
      <c r="CO80" s="18"/>
      <c r="CP80" s="18"/>
      <c r="CQ80" s="18"/>
      <c r="CR80" s="18"/>
      <c r="CS80" s="18"/>
      <c r="CT80" s="18"/>
      <c r="CU80" s="18"/>
      <c r="CV80" s="18"/>
      <c r="CW80" s="18"/>
      <c r="CX80" s="18"/>
      <c r="CY80" s="37">
        <v>44872</v>
      </c>
      <c r="CZ80" s="38">
        <v>17.759899999999998</v>
      </c>
      <c r="DA80" s="18"/>
      <c r="DB80" s="37">
        <v>44872</v>
      </c>
      <c r="DC80" s="38">
        <v>17.928599999999999</v>
      </c>
      <c r="DD80" s="18"/>
      <c r="DE80" s="37">
        <v>44872</v>
      </c>
      <c r="DF80" s="38">
        <v>17.7315</v>
      </c>
      <c r="DG80" s="18"/>
      <c r="DH80" s="37">
        <v>44872</v>
      </c>
      <c r="DI80" s="38">
        <v>20.408999999999999</v>
      </c>
      <c r="DJ80" s="18"/>
      <c r="DK80" s="37">
        <v>44872</v>
      </c>
      <c r="DL80" s="38">
        <v>0.12089999999999999</v>
      </c>
      <c r="DM80" s="18"/>
      <c r="DN80" s="18"/>
      <c r="DO80" s="18"/>
      <c r="DP80" s="18"/>
      <c r="DQ80" s="18"/>
      <c r="DR80" s="18"/>
      <c r="DS80" s="18"/>
      <c r="DT80" s="18"/>
      <c r="DU80" s="18"/>
      <c r="DV80" s="18"/>
      <c r="DW80" s="18"/>
      <c r="DX80" s="18"/>
      <c r="DY80" s="18"/>
      <c r="DZ80" s="18"/>
    </row>
    <row r="81" spans="1:130" ht="15" customHeight="1" x14ac:dyDescent="0.3">
      <c r="A81" s="30"/>
      <c r="B81" s="73"/>
      <c r="C81" s="74"/>
      <c r="D81" s="74"/>
      <c r="E81" s="74"/>
      <c r="F81" s="74"/>
      <c r="G81" s="74"/>
      <c r="H81" s="74"/>
      <c r="I81" s="74"/>
      <c r="J81" s="74"/>
      <c r="K81" s="74"/>
      <c r="L81" s="74"/>
      <c r="M81" s="75"/>
      <c r="N81" s="227"/>
      <c r="O81" s="17"/>
      <c r="P81" s="17"/>
      <c r="Q81" s="17"/>
      <c r="R81" s="17"/>
      <c r="S81" s="17"/>
      <c r="T81" s="17"/>
      <c r="U81" s="18"/>
      <c r="V81" s="18"/>
      <c r="W81" s="18"/>
      <c r="X81" s="18"/>
      <c r="Y81" s="18"/>
      <c r="Z81" s="18"/>
      <c r="AA81" s="18"/>
      <c r="AB81" s="18"/>
      <c r="AC81" s="18"/>
      <c r="AD81" s="18"/>
      <c r="AE81" s="18"/>
      <c r="AF81" s="85"/>
      <c r="AG81" s="85"/>
      <c r="AH81" s="85"/>
      <c r="AI81" s="85"/>
      <c r="AJ81" s="85"/>
      <c r="AK81" s="85"/>
      <c r="AL81" s="85"/>
      <c r="AM81" s="85"/>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37">
        <v>42369</v>
      </c>
      <c r="BR81" s="38">
        <v>49400.998500000002</v>
      </c>
      <c r="BS81" s="17"/>
      <c r="BT81" s="37">
        <v>42369</v>
      </c>
      <c r="BU81" s="38">
        <v>3390</v>
      </c>
      <c r="BV81" s="18"/>
      <c r="BW81" s="37"/>
      <c r="BX81" s="38"/>
      <c r="BY81" s="18"/>
      <c r="BZ81" s="39">
        <f t="shared" si="30"/>
        <v>42369</v>
      </c>
      <c r="CA81" s="40">
        <f t="shared" si="31"/>
        <v>49400.998500000002</v>
      </c>
      <c r="CB81" s="17"/>
      <c r="CC81" s="39">
        <f t="shared" si="32"/>
        <v>42369</v>
      </c>
      <c r="CD81" s="40">
        <f t="shared" si="33"/>
        <v>33.9</v>
      </c>
      <c r="CE81" s="18"/>
      <c r="CF81" s="18"/>
      <c r="CG81" s="18"/>
      <c r="CH81" s="18"/>
      <c r="CI81" s="18"/>
      <c r="CJ81" s="18"/>
      <c r="CK81" s="18"/>
      <c r="CL81" s="18"/>
      <c r="CM81" s="18"/>
      <c r="CN81" s="18"/>
      <c r="CO81" s="18"/>
      <c r="CP81" s="18"/>
      <c r="CQ81" s="18"/>
      <c r="CR81" s="18"/>
      <c r="CS81" s="18"/>
      <c r="CT81" s="18"/>
      <c r="CU81" s="18"/>
      <c r="CV81" s="18"/>
      <c r="CW81" s="18"/>
      <c r="CX81" s="18"/>
      <c r="CY81" s="37">
        <v>44873</v>
      </c>
      <c r="CZ81" s="38">
        <v>17.8537</v>
      </c>
      <c r="DA81" s="18"/>
      <c r="DB81" s="37">
        <v>44873</v>
      </c>
      <c r="DC81" s="38">
        <v>17.988499999999998</v>
      </c>
      <c r="DD81" s="18"/>
      <c r="DE81" s="37">
        <v>44873</v>
      </c>
      <c r="DF81" s="38">
        <v>17.714600000000001</v>
      </c>
      <c r="DG81" s="18"/>
      <c r="DH81" s="37">
        <v>44873</v>
      </c>
      <c r="DI81" s="38">
        <v>20.461400000000001</v>
      </c>
      <c r="DJ81" s="18"/>
      <c r="DK81" s="37">
        <v>44873</v>
      </c>
      <c r="DL81" s="38">
        <v>0.12189999999999999</v>
      </c>
      <c r="DM81" s="18"/>
      <c r="DN81" s="18"/>
      <c r="DO81" s="18"/>
      <c r="DP81" s="18"/>
      <c r="DQ81" s="18"/>
      <c r="DR81" s="18"/>
      <c r="DS81" s="18"/>
      <c r="DT81" s="18"/>
      <c r="DU81" s="18"/>
      <c r="DV81" s="18"/>
      <c r="DW81" s="18"/>
      <c r="DX81" s="18"/>
      <c r="DY81" s="18"/>
      <c r="DZ81" s="18"/>
    </row>
    <row r="82" spans="1:130" ht="15" customHeight="1" x14ac:dyDescent="0.3">
      <c r="A82" s="30"/>
      <c r="B82" s="73"/>
      <c r="C82" s="74"/>
      <c r="D82" s="74"/>
      <c r="E82" s="74"/>
      <c r="F82" s="74"/>
      <c r="G82" s="74"/>
      <c r="H82" s="74"/>
      <c r="I82" s="74"/>
      <c r="J82" s="74"/>
      <c r="K82" s="74"/>
      <c r="L82" s="74"/>
      <c r="M82" s="75"/>
      <c r="N82" s="227"/>
      <c r="O82" s="17"/>
      <c r="P82" s="17"/>
      <c r="Q82" s="17"/>
      <c r="R82" s="17"/>
      <c r="S82" s="17"/>
      <c r="T82" s="17"/>
      <c r="U82" s="18"/>
      <c r="V82" s="18"/>
      <c r="W82" s="18"/>
      <c r="X82" s="18"/>
      <c r="Y82" s="18"/>
      <c r="Z82" s="18"/>
      <c r="AA82" s="18"/>
      <c r="AB82" s="18"/>
      <c r="AC82" s="18"/>
      <c r="AD82" s="18"/>
      <c r="AE82" s="18"/>
      <c r="AF82" s="85"/>
      <c r="AG82" s="85"/>
      <c r="AH82" s="85"/>
      <c r="AI82" s="85"/>
      <c r="AJ82" s="85"/>
      <c r="AK82" s="85"/>
      <c r="AL82" s="85"/>
      <c r="AM82" s="85"/>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37">
        <v>42398</v>
      </c>
      <c r="BR82" s="38">
        <v>49106.7281</v>
      </c>
      <c r="BS82" s="17"/>
      <c r="BT82" s="37">
        <v>42398</v>
      </c>
      <c r="BU82" s="38">
        <v>3360</v>
      </c>
      <c r="BV82" s="18"/>
      <c r="BW82" s="37"/>
      <c r="BX82" s="38"/>
      <c r="BY82" s="18"/>
      <c r="BZ82" s="39">
        <f t="shared" si="30"/>
        <v>42398</v>
      </c>
      <c r="CA82" s="40">
        <f t="shared" si="31"/>
        <v>49106.7281</v>
      </c>
      <c r="CB82" s="17"/>
      <c r="CC82" s="39">
        <f t="shared" si="32"/>
        <v>42398</v>
      </c>
      <c r="CD82" s="40">
        <f t="shared" si="33"/>
        <v>33.6</v>
      </c>
      <c r="CE82" s="18"/>
      <c r="CF82" s="18"/>
      <c r="CG82" s="18"/>
      <c r="CH82" s="18"/>
      <c r="CI82" s="18"/>
      <c r="CJ82" s="18"/>
      <c r="CK82" s="18"/>
      <c r="CL82" s="18"/>
      <c r="CM82" s="18"/>
      <c r="CN82" s="18"/>
      <c r="CO82" s="18"/>
      <c r="CP82" s="18"/>
      <c r="CQ82" s="18"/>
      <c r="CR82" s="18"/>
      <c r="CS82" s="18"/>
      <c r="CT82" s="18"/>
      <c r="CU82" s="18"/>
      <c r="CV82" s="18"/>
      <c r="CW82" s="18"/>
      <c r="CX82" s="18"/>
      <c r="CY82" s="37">
        <v>44874</v>
      </c>
      <c r="CZ82" s="38">
        <v>17.801400000000001</v>
      </c>
      <c r="DA82" s="18"/>
      <c r="DB82" s="37">
        <v>44874</v>
      </c>
      <c r="DC82" s="38">
        <v>18.059999999999999</v>
      </c>
      <c r="DD82" s="18"/>
      <c r="DE82" s="37">
        <v>44874</v>
      </c>
      <c r="DF82" s="38">
        <v>17.761800000000001</v>
      </c>
      <c r="DG82" s="18"/>
      <c r="DH82" s="37">
        <v>44874</v>
      </c>
      <c r="DI82" s="38">
        <v>20.1966</v>
      </c>
      <c r="DJ82" s="18"/>
      <c r="DK82" s="37">
        <v>44874</v>
      </c>
      <c r="DL82" s="38">
        <v>0.1215</v>
      </c>
      <c r="DM82" s="18"/>
      <c r="DN82" s="18"/>
      <c r="DO82" s="18"/>
      <c r="DP82" s="18"/>
      <c r="DQ82" s="18"/>
      <c r="DR82" s="18"/>
      <c r="DS82" s="18"/>
      <c r="DT82" s="18"/>
      <c r="DU82" s="18"/>
      <c r="DV82" s="18"/>
      <c r="DW82" s="18"/>
      <c r="DX82" s="18"/>
      <c r="DY82" s="18"/>
      <c r="DZ82" s="18"/>
    </row>
    <row r="83" spans="1:130" ht="15" customHeight="1" x14ac:dyDescent="0.3">
      <c r="A83" s="115"/>
      <c r="B83" s="121"/>
      <c r="C83" s="117"/>
      <c r="D83" s="117"/>
      <c r="E83" s="117"/>
      <c r="F83" s="117"/>
      <c r="G83" s="117"/>
      <c r="H83" s="117"/>
      <c r="I83" s="117"/>
      <c r="J83" s="117"/>
      <c r="K83" s="117"/>
      <c r="L83" s="117"/>
      <c r="M83" s="118"/>
      <c r="N83" s="227"/>
      <c r="O83" s="17"/>
      <c r="P83" s="17"/>
      <c r="Q83" s="17"/>
      <c r="R83" s="17"/>
      <c r="S83" s="17"/>
      <c r="T83" s="17"/>
      <c r="U83" s="18"/>
      <c r="V83" s="18"/>
      <c r="W83" s="18"/>
      <c r="X83" s="18"/>
      <c r="Y83" s="18"/>
      <c r="Z83" s="18"/>
      <c r="AA83" s="18"/>
      <c r="AB83" s="18"/>
      <c r="AC83" s="18"/>
      <c r="AD83" s="18"/>
      <c r="AE83" s="18"/>
      <c r="AF83" s="85"/>
      <c r="AG83" s="85"/>
      <c r="AH83" s="85"/>
      <c r="AI83" s="85"/>
      <c r="AJ83" s="85"/>
      <c r="AK83" s="85"/>
      <c r="AL83" s="85"/>
      <c r="AM83" s="85"/>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37">
        <v>42429</v>
      </c>
      <c r="BR83" s="38">
        <v>47250.610699999997</v>
      </c>
      <c r="BS83" s="17"/>
      <c r="BT83" s="37">
        <v>42429</v>
      </c>
      <c r="BU83" s="38">
        <v>3233</v>
      </c>
      <c r="BV83" s="18"/>
      <c r="BW83" s="37"/>
      <c r="BX83" s="38"/>
      <c r="BY83" s="18"/>
      <c r="BZ83" s="39">
        <f t="shared" si="30"/>
        <v>42429</v>
      </c>
      <c r="CA83" s="40">
        <f t="shared" si="31"/>
        <v>47250.610699999997</v>
      </c>
      <c r="CB83" s="17"/>
      <c r="CC83" s="39">
        <f t="shared" si="32"/>
        <v>42429</v>
      </c>
      <c r="CD83" s="40">
        <f t="shared" si="33"/>
        <v>32.33</v>
      </c>
      <c r="CE83" s="18"/>
      <c r="CF83" s="18"/>
      <c r="CG83" s="18"/>
      <c r="CH83" s="18"/>
      <c r="CI83" s="18"/>
      <c r="CJ83" s="18"/>
      <c r="CK83" s="18"/>
      <c r="CL83" s="18"/>
      <c r="CM83" s="18"/>
      <c r="CN83" s="18"/>
      <c r="CO83" s="18"/>
      <c r="CP83" s="18"/>
      <c r="CQ83" s="18"/>
      <c r="CR83" s="18"/>
      <c r="CS83" s="18"/>
      <c r="CT83" s="18"/>
      <c r="CU83" s="18"/>
      <c r="CV83" s="18"/>
      <c r="CW83" s="18"/>
      <c r="CX83" s="18"/>
      <c r="CY83" s="37">
        <v>44875</v>
      </c>
      <c r="CZ83" s="38">
        <v>17.7271</v>
      </c>
      <c r="DA83" s="18"/>
      <c r="DB83" s="37">
        <v>44875</v>
      </c>
      <c r="DC83" s="38">
        <v>18.020299999999999</v>
      </c>
      <c r="DD83" s="18"/>
      <c r="DE83" s="37">
        <v>44875</v>
      </c>
      <c r="DF83" s="38">
        <v>17.3886</v>
      </c>
      <c r="DG83" s="18"/>
      <c r="DH83" s="37">
        <v>44875</v>
      </c>
      <c r="DI83" s="38">
        <v>20.3415</v>
      </c>
      <c r="DJ83" s="18"/>
      <c r="DK83" s="37">
        <v>44875</v>
      </c>
      <c r="DL83" s="38">
        <v>0.1226</v>
      </c>
      <c r="DM83" s="18"/>
      <c r="DN83" s="18"/>
      <c r="DO83" s="18"/>
      <c r="DP83" s="18"/>
      <c r="DQ83" s="18"/>
      <c r="DR83" s="18"/>
      <c r="DS83" s="18"/>
      <c r="DT83" s="18"/>
      <c r="DU83" s="18"/>
      <c r="DV83" s="18"/>
      <c r="DW83" s="18"/>
      <c r="DX83" s="18"/>
      <c r="DY83" s="18"/>
      <c r="DZ83" s="18"/>
    </row>
    <row r="84" spans="1:130" ht="15" customHeight="1" x14ac:dyDescent="0.3">
      <c r="A84" s="16"/>
      <c r="B84" s="16"/>
      <c r="C84" s="62"/>
      <c r="D84" s="62"/>
      <c r="E84" s="62"/>
      <c r="F84" s="62"/>
      <c r="G84" s="62"/>
      <c r="H84" s="62"/>
      <c r="I84" s="62"/>
      <c r="J84" s="62"/>
      <c r="K84" s="62"/>
      <c r="L84" s="62"/>
      <c r="M84" s="62"/>
      <c r="N84" s="227"/>
      <c r="O84" s="17"/>
      <c r="P84" s="17"/>
      <c r="Q84" s="17"/>
      <c r="R84" s="17"/>
      <c r="S84" s="17"/>
      <c r="T84" s="17"/>
      <c r="U84" s="18"/>
      <c r="V84" s="18"/>
      <c r="W84" s="18"/>
      <c r="X84" s="18"/>
      <c r="Y84" s="18"/>
      <c r="Z84" s="18"/>
      <c r="AA84" s="18"/>
      <c r="AB84" s="18"/>
      <c r="AC84" s="18"/>
      <c r="AD84" s="18"/>
      <c r="AE84" s="18"/>
      <c r="AF84" s="85"/>
      <c r="AG84" s="85"/>
      <c r="AH84" s="85"/>
      <c r="AI84" s="85"/>
      <c r="AJ84" s="85"/>
      <c r="AK84" s="85"/>
      <c r="AL84" s="85"/>
      <c r="AM84" s="85"/>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37">
        <v>42460</v>
      </c>
      <c r="BR84" s="38">
        <v>52760.502500000002</v>
      </c>
      <c r="BS84" s="17"/>
      <c r="BT84" s="37">
        <v>42460</v>
      </c>
      <c r="BU84" s="38">
        <v>3610</v>
      </c>
      <c r="BV84" s="18"/>
      <c r="BW84" s="37"/>
      <c r="BX84" s="38"/>
      <c r="BY84" s="18"/>
      <c r="BZ84" s="39">
        <f t="shared" si="30"/>
        <v>42460</v>
      </c>
      <c r="CA84" s="40">
        <f t="shared" si="31"/>
        <v>52760.502500000002</v>
      </c>
      <c r="CB84" s="17"/>
      <c r="CC84" s="39">
        <f t="shared" si="32"/>
        <v>42460</v>
      </c>
      <c r="CD84" s="40">
        <f t="shared" si="33"/>
        <v>36.1</v>
      </c>
      <c r="CE84" s="18"/>
      <c r="CF84" s="18"/>
      <c r="CG84" s="18"/>
      <c r="CH84" s="18"/>
      <c r="CI84" s="18"/>
      <c r="CJ84" s="18"/>
      <c r="CK84" s="18"/>
      <c r="CL84" s="18"/>
      <c r="CM84" s="18"/>
      <c r="CN84" s="18"/>
      <c r="CO84" s="18"/>
      <c r="CP84" s="18"/>
      <c r="CQ84" s="18"/>
      <c r="CR84" s="18"/>
      <c r="CS84" s="18"/>
      <c r="CT84" s="18"/>
      <c r="CU84" s="18"/>
      <c r="CV84" s="18"/>
      <c r="CW84" s="18"/>
      <c r="CX84" s="18"/>
      <c r="CY84" s="37">
        <v>44876</v>
      </c>
      <c r="CZ84" s="38">
        <v>17.838999999999999</v>
      </c>
      <c r="DA84" s="18"/>
      <c r="DB84" s="37">
        <v>44876</v>
      </c>
      <c r="DC84" s="38">
        <v>18.309200000000001</v>
      </c>
      <c r="DD84" s="18"/>
      <c r="DE84" s="37">
        <v>44876</v>
      </c>
      <c r="DF84" s="38">
        <v>17.239699999999999</v>
      </c>
      <c r="DG84" s="18"/>
      <c r="DH84" s="37">
        <v>44876</v>
      </c>
      <c r="DI84" s="38">
        <v>20.405999999999999</v>
      </c>
      <c r="DJ84" s="18"/>
      <c r="DK84" s="37">
        <v>44876</v>
      </c>
      <c r="DL84" s="38">
        <v>0.1242</v>
      </c>
      <c r="DM84" s="18"/>
      <c r="DN84" s="18"/>
      <c r="DO84" s="18"/>
      <c r="DP84" s="18"/>
      <c r="DQ84" s="18"/>
      <c r="DR84" s="18"/>
      <c r="DS84" s="18"/>
      <c r="DT84" s="18"/>
      <c r="DU84" s="18"/>
      <c r="DV84" s="18"/>
      <c r="DW84" s="18"/>
      <c r="DX84" s="18"/>
      <c r="DY84" s="18"/>
      <c r="DZ84" s="18"/>
    </row>
    <row r="85" spans="1:130" ht="15" customHeight="1" x14ac:dyDescent="0.3">
      <c r="A85" s="16"/>
      <c r="B85" s="16"/>
      <c r="C85" s="62"/>
      <c r="D85" s="62"/>
      <c r="E85" s="62"/>
      <c r="F85" s="62"/>
      <c r="G85" s="62"/>
      <c r="H85" s="62"/>
      <c r="I85" s="62"/>
      <c r="J85" s="62"/>
      <c r="K85" s="62"/>
      <c r="L85" s="62"/>
      <c r="M85" s="62"/>
      <c r="N85" s="227"/>
      <c r="O85" s="17"/>
      <c r="P85" s="17"/>
      <c r="Q85" s="17"/>
      <c r="R85" s="17"/>
      <c r="S85" s="17"/>
      <c r="T85" s="17"/>
      <c r="U85" s="18"/>
      <c r="V85" s="18"/>
      <c r="W85" s="18"/>
      <c r="X85" s="18"/>
      <c r="Y85" s="18"/>
      <c r="Z85" s="18"/>
      <c r="AA85" s="18"/>
      <c r="AB85" s="18"/>
      <c r="AC85" s="18"/>
      <c r="AD85" s="18"/>
      <c r="AE85" s="18"/>
      <c r="AF85" s="85"/>
      <c r="AG85" s="85"/>
      <c r="AH85" s="85"/>
      <c r="AI85" s="85"/>
      <c r="AJ85" s="85"/>
      <c r="AK85" s="85"/>
      <c r="AL85" s="85"/>
      <c r="AM85" s="85"/>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37">
        <v>42489</v>
      </c>
      <c r="BR85" s="38">
        <v>52994.344100000002</v>
      </c>
      <c r="BS85" s="17"/>
      <c r="BT85" s="37">
        <v>42489</v>
      </c>
      <c r="BU85" s="38">
        <v>3626</v>
      </c>
      <c r="BV85" s="18"/>
      <c r="BW85" s="37"/>
      <c r="BX85" s="38"/>
      <c r="BY85" s="18"/>
      <c r="BZ85" s="39">
        <f t="shared" si="30"/>
        <v>42489</v>
      </c>
      <c r="CA85" s="40">
        <f t="shared" si="31"/>
        <v>52994.344100000002</v>
      </c>
      <c r="CB85" s="17"/>
      <c r="CC85" s="39">
        <f t="shared" si="32"/>
        <v>42489</v>
      </c>
      <c r="CD85" s="40">
        <f t="shared" si="33"/>
        <v>36.26</v>
      </c>
      <c r="CE85" s="18"/>
      <c r="CF85" s="18"/>
      <c r="CG85" s="18"/>
      <c r="CH85" s="18"/>
      <c r="CI85" s="18"/>
      <c r="CJ85" s="18"/>
      <c r="CK85" s="18"/>
      <c r="CL85" s="18"/>
      <c r="CM85" s="18"/>
      <c r="CN85" s="18"/>
      <c r="CO85" s="18"/>
      <c r="CP85" s="18"/>
      <c r="CQ85" s="18"/>
      <c r="CR85" s="18"/>
      <c r="CS85" s="18"/>
      <c r="CT85" s="18"/>
      <c r="CU85" s="18"/>
      <c r="CV85" s="18"/>
      <c r="CW85" s="18"/>
      <c r="CX85" s="18"/>
      <c r="CY85" s="37">
        <v>44879</v>
      </c>
      <c r="CZ85" s="38">
        <v>17.866199999999999</v>
      </c>
      <c r="DA85" s="18"/>
      <c r="DB85" s="37">
        <v>44879</v>
      </c>
      <c r="DC85" s="38">
        <v>18.340199999999999</v>
      </c>
      <c r="DD85" s="18"/>
      <c r="DE85" s="37">
        <v>44879</v>
      </c>
      <c r="DF85" s="38">
        <v>17.303599999999999</v>
      </c>
      <c r="DG85" s="18"/>
      <c r="DH85" s="37">
        <v>44879</v>
      </c>
      <c r="DI85" s="38">
        <v>20.333500000000001</v>
      </c>
      <c r="DJ85" s="18"/>
      <c r="DK85" s="37">
        <v>44879</v>
      </c>
      <c r="DL85" s="38">
        <v>0.1235</v>
      </c>
      <c r="DM85" s="18"/>
      <c r="DN85" s="18"/>
      <c r="DO85" s="18"/>
      <c r="DP85" s="18"/>
      <c r="DQ85" s="18"/>
      <c r="DR85" s="18"/>
      <c r="DS85" s="18"/>
      <c r="DT85" s="18"/>
      <c r="DU85" s="18"/>
      <c r="DV85" s="18"/>
      <c r="DW85" s="18"/>
      <c r="DX85" s="18"/>
      <c r="DY85" s="18"/>
      <c r="DZ85" s="18"/>
    </row>
    <row r="86" spans="1:130" ht="15" customHeight="1" x14ac:dyDescent="0.3">
      <c r="A86" s="16"/>
      <c r="B86" s="16"/>
      <c r="C86" s="62"/>
      <c r="D86" s="62"/>
      <c r="E86" s="62"/>
      <c r="F86" s="62"/>
      <c r="G86" s="62"/>
      <c r="H86" s="62"/>
      <c r="I86" s="62"/>
      <c r="J86" s="62"/>
      <c r="K86" s="62"/>
      <c r="L86" s="62"/>
      <c r="M86" s="62"/>
      <c r="N86" s="227"/>
      <c r="O86" s="17"/>
      <c r="P86" s="17"/>
      <c r="Q86" s="17"/>
      <c r="R86" s="17"/>
      <c r="S86" s="17"/>
      <c r="T86" s="17"/>
      <c r="U86" s="18"/>
      <c r="V86" s="18"/>
      <c r="W86" s="18"/>
      <c r="X86" s="18"/>
      <c r="Y86" s="18"/>
      <c r="Z86" s="18"/>
      <c r="AA86" s="18"/>
      <c r="AB86" s="18"/>
      <c r="AC86" s="18"/>
      <c r="AD86" s="18"/>
      <c r="AE86" s="18"/>
      <c r="AF86" s="85"/>
      <c r="AG86" s="85"/>
      <c r="AH86" s="85"/>
      <c r="AI86" s="85"/>
      <c r="AJ86" s="85"/>
      <c r="AK86" s="85"/>
      <c r="AL86" s="85"/>
      <c r="AM86" s="85"/>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37">
        <v>42521</v>
      </c>
      <c r="BR86" s="38">
        <v>47747.523999999998</v>
      </c>
      <c r="BS86" s="17"/>
      <c r="BT86" s="37">
        <v>42521</v>
      </c>
      <c r="BU86" s="38">
        <v>3267</v>
      </c>
      <c r="BV86" s="18"/>
      <c r="BW86" s="37"/>
      <c r="BX86" s="38"/>
      <c r="BY86" s="18"/>
      <c r="BZ86" s="39">
        <f t="shared" si="30"/>
        <v>42521</v>
      </c>
      <c r="CA86" s="40">
        <f t="shared" si="31"/>
        <v>47747.523999999998</v>
      </c>
      <c r="CB86" s="17"/>
      <c r="CC86" s="39">
        <f t="shared" si="32"/>
        <v>42521</v>
      </c>
      <c r="CD86" s="40">
        <f t="shared" si="33"/>
        <v>32.67</v>
      </c>
      <c r="CE86" s="18"/>
      <c r="CF86" s="18"/>
      <c r="CG86" s="18"/>
      <c r="CH86" s="18"/>
      <c r="CI86" s="18"/>
      <c r="CJ86" s="18"/>
      <c r="CK86" s="18"/>
      <c r="CL86" s="18"/>
      <c r="CM86" s="18"/>
      <c r="CN86" s="18"/>
      <c r="CO86" s="18"/>
      <c r="CP86" s="18"/>
      <c r="CQ86" s="18"/>
      <c r="CR86" s="18"/>
      <c r="CS86" s="18"/>
      <c r="CT86" s="18"/>
      <c r="CU86" s="18"/>
      <c r="CV86" s="18"/>
      <c r="CW86" s="18"/>
      <c r="CX86" s="18"/>
      <c r="CY86" s="37">
        <v>44880</v>
      </c>
      <c r="CZ86" s="38">
        <v>17.923500000000001</v>
      </c>
      <c r="DA86" s="18"/>
      <c r="DB86" s="37">
        <v>44880</v>
      </c>
      <c r="DC86" s="38">
        <v>18.349900000000002</v>
      </c>
      <c r="DD86" s="18"/>
      <c r="DE86" s="37">
        <v>44880</v>
      </c>
      <c r="DF86" s="38">
        <v>17.303999999999998</v>
      </c>
      <c r="DG86" s="18"/>
      <c r="DH86" s="37">
        <v>44880</v>
      </c>
      <c r="DI86" s="38">
        <v>20.556999999999999</v>
      </c>
      <c r="DJ86" s="18"/>
      <c r="DK86" s="37">
        <v>44880</v>
      </c>
      <c r="DL86" s="38">
        <v>0.1245</v>
      </c>
      <c r="DM86" s="18"/>
      <c r="DN86" s="18"/>
      <c r="DO86" s="18"/>
      <c r="DP86" s="18"/>
      <c r="DQ86" s="18"/>
      <c r="DR86" s="18"/>
      <c r="DS86" s="18"/>
      <c r="DT86" s="18"/>
      <c r="DU86" s="18"/>
      <c r="DV86" s="18"/>
      <c r="DW86" s="18"/>
      <c r="DX86" s="18"/>
      <c r="DY86" s="18"/>
      <c r="DZ86" s="18"/>
    </row>
    <row r="87" spans="1:130" ht="15" customHeight="1" x14ac:dyDescent="0.3">
      <c r="A87" s="16"/>
      <c r="B87" s="16"/>
      <c r="C87" s="62"/>
      <c r="D87" s="62"/>
      <c r="E87" s="62"/>
      <c r="F87" s="62"/>
      <c r="G87" s="62"/>
      <c r="H87" s="62"/>
      <c r="I87" s="62"/>
      <c r="J87" s="62"/>
      <c r="K87" s="62"/>
      <c r="L87" s="62"/>
      <c r="M87" s="62"/>
      <c r="N87" s="227"/>
      <c r="O87" s="17"/>
      <c r="P87" s="17"/>
      <c r="Q87" s="17"/>
      <c r="R87" s="17"/>
      <c r="S87" s="17"/>
      <c r="T87" s="17"/>
      <c r="U87" s="18"/>
      <c r="V87" s="18"/>
      <c r="W87" s="18"/>
      <c r="X87" s="18"/>
      <c r="Y87" s="18"/>
      <c r="Z87" s="18"/>
      <c r="AA87" s="18"/>
      <c r="AB87" s="18"/>
      <c r="AC87" s="18"/>
      <c r="AD87" s="18"/>
      <c r="AE87" s="18"/>
      <c r="AF87" s="85"/>
      <c r="AG87" s="85"/>
      <c r="AH87" s="85"/>
      <c r="AI87" s="85"/>
      <c r="AJ87" s="85"/>
      <c r="AK87" s="85"/>
      <c r="AL87" s="85"/>
      <c r="AM87" s="85"/>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37">
        <v>42551</v>
      </c>
      <c r="BR87" s="38">
        <v>45569.874499999998</v>
      </c>
      <c r="BS87" s="17"/>
      <c r="BT87" s="37">
        <v>42551</v>
      </c>
      <c r="BU87" s="38">
        <v>3118</v>
      </c>
      <c r="BV87" s="18"/>
      <c r="BW87" s="37"/>
      <c r="BX87" s="38"/>
      <c r="BY87" s="18"/>
      <c r="BZ87" s="39">
        <f t="shared" si="30"/>
        <v>42551</v>
      </c>
      <c r="CA87" s="40">
        <f t="shared" si="31"/>
        <v>45569.874499999998</v>
      </c>
      <c r="CB87" s="17"/>
      <c r="CC87" s="39">
        <f t="shared" si="32"/>
        <v>42551</v>
      </c>
      <c r="CD87" s="40">
        <f t="shared" si="33"/>
        <v>31.18</v>
      </c>
      <c r="CE87" s="18"/>
      <c r="CF87" s="18"/>
      <c r="CG87" s="18"/>
      <c r="CH87" s="18"/>
      <c r="CI87" s="18"/>
      <c r="CJ87" s="18"/>
      <c r="CK87" s="18"/>
      <c r="CL87" s="18"/>
      <c r="CM87" s="18"/>
      <c r="CN87" s="18"/>
      <c r="CO87" s="18"/>
      <c r="CP87" s="18"/>
      <c r="CQ87" s="18"/>
      <c r="CR87" s="18"/>
      <c r="CS87" s="18"/>
      <c r="CT87" s="18"/>
      <c r="CU87" s="18"/>
      <c r="CV87" s="18"/>
      <c r="CW87" s="18"/>
      <c r="CX87" s="18"/>
      <c r="CY87" s="37">
        <v>44881</v>
      </c>
      <c r="CZ87" s="38">
        <v>17.9344</v>
      </c>
      <c r="DA87" s="18"/>
      <c r="DB87" s="37">
        <v>44881</v>
      </c>
      <c r="DC87" s="38">
        <v>18.267499999999998</v>
      </c>
      <c r="DD87" s="18"/>
      <c r="DE87" s="37">
        <v>44881</v>
      </c>
      <c r="DF87" s="38">
        <v>17.254899999999999</v>
      </c>
      <c r="DG87" s="18"/>
      <c r="DH87" s="37">
        <v>44881</v>
      </c>
      <c r="DI87" s="38">
        <v>20.551400000000001</v>
      </c>
      <c r="DJ87" s="18"/>
      <c r="DK87" s="37">
        <v>44881</v>
      </c>
      <c r="DL87" s="38">
        <v>0.12379999999999999</v>
      </c>
      <c r="DM87" s="18"/>
      <c r="DN87" s="18"/>
      <c r="DO87" s="18"/>
      <c r="DP87" s="18"/>
      <c r="DQ87" s="18"/>
      <c r="DR87" s="18"/>
      <c r="DS87" s="18"/>
      <c r="DT87" s="18"/>
      <c r="DU87" s="18"/>
      <c r="DV87" s="18"/>
      <c r="DW87" s="18"/>
      <c r="DX87" s="18"/>
      <c r="DY87" s="18"/>
      <c r="DZ87" s="18"/>
    </row>
    <row r="88" spans="1:130" ht="15" customHeight="1" thickBot="1" x14ac:dyDescent="0.35">
      <c r="A88" s="16"/>
      <c r="B88" s="16"/>
      <c r="C88" s="62"/>
      <c r="D88" s="62"/>
      <c r="E88" s="62"/>
      <c r="F88" s="62"/>
      <c r="G88" s="62"/>
      <c r="H88" s="62"/>
      <c r="I88" s="62"/>
      <c r="J88" s="62"/>
      <c r="K88" s="62"/>
      <c r="L88" s="62"/>
      <c r="M88" s="62"/>
      <c r="N88" s="227"/>
      <c r="O88" s="17"/>
      <c r="P88" s="17"/>
      <c r="Q88" s="17"/>
      <c r="R88" s="17"/>
      <c r="S88" s="17"/>
      <c r="T88" s="17"/>
      <c r="U88" s="18"/>
      <c r="V88" s="18"/>
      <c r="W88" s="18"/>
      <c r="X88" s="18"/>
      <c r="Y88" s="18"/>
      <c r="Z88" s="18"/>
      <c r="AA88" s="18"/>
      <c r="AB88" s="18"/>
      <c r="AC88" s="18"/>
      <c r="AD88" s="18"/>
      <c r="AE88" s="18"/>
      <c r="AF88" s="85"/>
      <c r="AG88" s="85"/>
      <c r="AH88" s="85"/>
      <c r="AI88" s="85"/>
      <c r="AJ88" s="85"/>
      <c r="AK88" s="85"/>
      <c r="AL88" s="85"/>
      <c r="AM88" s="85"/>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37">
        <v>42580</v>
      </c>
      <c r="BR88" s="38">
        <v>46987.538999999997</v>
      </c>
      <c r="BS88" s="17"/>
      <c r="BT88" s="37">
        <v>42580</v>
      </c>
      <c r="BU88" s="38">
        <v>3215</v>
      </c>
      <c r="BV88" s="18"/>
      <c r="BW88" s="37"/>
      <c r="BX88" s="38"/>
      <c r="BY88" s="18"/>
      <c r="BZ88" s="39">
        <f t="shared" si="30"/>
        <v>42580</v>
      </c>
      <c r="CA88" s="40">
        <f t="shared" si="31"/>
        <v>46987.538999999997</v>
      </c>
      <c r="CB88" s="17"/>
      <c r="CC88" s="39">
        <f t="shared" si="32"/>
        <v>42580</v>
      </c>
      <c r="CD88" s="40">
        <f t="shared" si="33"/>
        <v>32.15</v>
      </c>
      <c r="CE88" s="18"/>
      <c r="CF88" s="18"/>
      <c r="CG88" s="18"/>
      <c r="CH88" s="18"/>
      <c r="CI88" s="18"/>
      <c r="CJ88" s="18"/>
      <c r="CK88" s="18"/>
      <c r="CL88" s="18"/>
      <c r="CM88" s="18"/>
      <c r="CN88" s="18"/>
      <c r="CO88" s="18"/>
      <c r="CP88" s="18"/>
      <c r="CQ88" s="18"/>
      <c r="CR88" s="18"/>
      <c r="CS88" s="18"/>
      <c r="CT88" s="18"/>
      <c r="CU88" s="18"/>
      <c r="CV88" s="18"/>
      <c r="CW88" s="18"/>
      <c r="CX88" s="18"/>
      <c r="CY88" s="37">
        <v>44882</v>
      </c>
      <c r="CZ88" s="38">
        <v>18.000900000000001</v>
      </c>
      <c r="DA88" s="18"/>
      <c r="DB88" s="37">
        <v>44882</v>
      </c>
      <c r="DC88" s="38">
        <v>18.231000000000002</v>
      </c>
      <c r="DD88" s="18"/>
      <c r="DE88" s="37">
        <v>44882</v>
      </c>
      <c r="DF88" s="38">
        <v>17.376300000000001</v>
      </c>
      <c r="DG88" s="18"/>
      <c r="DH88" s="37">
        <v>44882</v>
      </c>
      <c r="DI88" s="38">
        <v>20.6006</v>
      </c>
      <c r="DJ88" s="18"/>
      <c r="DK88" s="37">
        <v>44882</v>
      </c>
      <c r="DL88" s="38">
        <v>0.1237</v>
      </c>
      <c r="DM88" s="18"/>
      <c r="DN88" s="18"/>
      <c r="DO88" s="18"/>
      <c r="DP88" s="18"/>
      <c r="DQ88" s="18"/>
      <c r="DR88" s="18"/>
      <c r="DS88" s="18"/>
      <c r="DT88" s="18"/>
      <c r="DU88" s="18"/>
      <c r="DV88" s="18"/>
      <c r="DW88" s="18"/>
      <c r="DX88" s="18"/>
      <c r="DY88" s="18"/>
      <c r="DZ88" s="18"/>
    </row>
    <row r="89" spans="1:130" ht="15" customHeight="1" x14ac:dyDescent="0.3">
      <c r="A89" s="63"/>
      <c r="B89" s="64" t="s">
        <v>208</v>
      </c>
      <c r="C89" s="65"/>
      <c r="D89" s="65"/>
      <c r="E89" s="65"/>
      <c r="F89" s="65"/>
      <c r="G89" s="65"/>
      <c r="H89" s="65"/>
      <c r="I89" s="65"/>
      <c r="J89" s="65"/>
      <c r="K89" s="65"/>
      <c r="L89" s="65"/>
      <c r="M89" s="66"/>
      <c r="N89" s="227"/>
      <c r="O89" s="17"/>
      <c r="P89" s="17"/>
      <c r="Q89" s="17"/>
      <c r="R89" s="17"/>
      <c r="S89" s="17"/>
      <c r="T89" s="17"/>
      <c r="U89" s="18"/>
      <c r="V89" s="18"/>
      <c r="W89" s="18"/>
      <c r="X89" s="18"/>
      <c r="Y89" s="18"/>
      <c r="Z89" s="18"/>
      <c r="AA89" s="18"/>
      <c r="AB89" s="18"/>
      <c r="AC89" s="18"/>
      <c r="AD89" s="18"/>
      <c r="AE89" s="18"/>
      <c r="AF89" s="85"/>
      <c r="AG89" s="85"/>
      <c r="AH89" s="85"/>
      <c r="AI89" s="85"/>
      <c r="AJ89" s="85"/>
      <c r="AK89" s="85"/>
      <c r="AL89" s="85"/>
      <c r="AM89" s="85"/>
      <c r="AN89" s="18"/>
      <c r="AO89" s="18"/>
      <c r="AP89" s="67" t="s">
        <v>208</v>
      </c>
      <c r="AQ89" s="68"/>
      <c r="AR89" s="68"/>
      <c r="AS89" s="68"/>
      <c r="AT89" s="68"/>
      <c r="AU89" s="68"/>
      <c r="AV89" s="68"/>
      <c r="AW89" s="68"/>
      <c r="AX89" s="68"/>
      <c r="AY89" s="68"/>
      <c r="AZ89" s="68"/>
      <c r="BA89" s="69"/>
      <c r="BB89" s="18"/>
      <c r="BC89" s="18"/>
      <c r="BD89" s="18"/>
      <c r="BE89" s="18"/>
      <c r="BF89" s="18"/>
      <c r="BG89" s="18"/>
      <c r="BH89" s="18"/>
      <c r="BI89" s="18"/>
      <c r="BJ89" s="18"/>
      <c r="BK89" s="18"/>
      <c r="BL89" s="18"/>
      <c r="BM89" s="18"/>
      <c r="BN89" s="18"/>
      <c r="BO89" s="18"/>
      <c r="BP89" s="18"/>
      <c r="BQ89" s="37">
        <v>42613</v>
      </c>
      <c r="BR89" s="38">
        <v>48010.595800000003</v>
      </c>
      <c r="BS89" s="17"/>
      <c r="BT89" s="37">
        <v>42613</v>
      </c>
      <c r="BU89" s="38">
        <v>3285</v>
      </c>
      <c r="BV89" s="18"/>
      <c r="BW89" s="37"/>
      <c r="BX89" s="38"/>
      <c r="BY89" s="18"/>
      <c r="BZ89" s="39">
        <f t="shared" si="30"/>
        <v>42613</v>
      </c>
      <c r="CA89" s="40">
        <f t="shared" si="31"/>
        <v>48010.595800000003</v>
      </c>
      <c r="CB89" s="17"/>
      <c r="CC89" s="39">
        <f t="shared" si="32"/>
        <v>42613</v>
      </c>
      <c r="CD89" s="40">
        <f t="shared" si="33"/>
        <v>32.85</v>
      </c>
      <c r="CE89" s="18"/>
      <c r="CF89" s="18"/>
      <c r="CG89" s="18"/>
      <c r="CH89" s="18"/>
      <c r="CI89" s="18"/>
      <c r="CJ89" s="18"/>
      <c r="CK89" s="18"/>
      <c r="CL89" s="18"/>
      <c r="CM89" s="18"/>
      <c r="CN89" s="18"/>
      <c r="CO89" s="18"/>
      <c r="CP89" s="18"/>
      <c r="CQ89" s="18"/>
      <c r="CR89" s="18"/>
      <c r="CS89" s="18"/>
      <c r="CT89" s="18"/>
      <c r="CU89" s="18"/>
      <c r="CV89" s="18"/>
      <c r="CW89" s="18"/>
      <c r="CX89" s="18"/>
      <c r="CY89" s="37">
        <v>44883</v>
      </c>
      <c r="CZ89" s="38">
        <v>17.820699999999999</v>
      </c>
      <c r="DA89" s="18"/>
      <c r="DB89" s="37">
        <v>44883</v>
      </c>
      <c r="DC89" s="38">
        <v>18.071200000000001</v>
      </c>
      <c r="DD89" s="18"/>
      <c r="DE89" s="37">
        <v>44883</v>
      </c>
      <c r="DF89" s="38">
        <v>17.2559</v>
      </c>
      <c r="DG89" s="18"/>
      <c r="DH89" s="37">
        <v>44883</v>
      </c>
      <c r="DI89" s="38">
        <v>20.514500000000002</v>
      </c>
      <c r="DJ89" s="18"/>
      <c r="DK89" s="37">
        <v>44883</v>
      </c>
      <c r="DL89" s="38">
        <v>0.1229</v>
      </c>
      <c r="DM89" s="18"/>
      <c r="DN89" s="18"/>
      <c r="DO89" s="18"/>
      <c r="DP89" s="18"/>
      <c r="DQ89" s="18"/>
      <c r="DR89" s="18"/>
      <c r="DS89" s="18"/>
      <c r="DT89" s="18"/>
      <c r="DU89" s="18"/>
      <c r="DV89" s="18"/>
      <c r="DW89" s="18"/>
      <c r="DX89" s="18"/>
      <c r="DY89" s="18"/>
      <c r="DZ89" s="18"/>
    </row>
    <row r="90" spans="1:130" ht="15" customHeight="1" x14ac:dyDescent="0.3">
      <c r="A90" s="72"/>
      <c r="B90" s="73"/>
      <c r="C90" s="74"/>
      <c r="D90" s="74"/>
      <c r="E90" s="74"/>
      <c r="F90" s="74"/>
      <c r="G90" s="74"/>
      <c r="H90" s="74"/>
      <c r="I90" s="74"/>
      <c r="J90" s="74"/>
      <c r="K90" s="74"/>
      <c r="L90" s="74"/>
      <c r="M90" s="75"/>
      <c r="N90" s="227"/>
      <c r="O90" s="17"/>
      <c r="P90" s="17"/>
      <c r="Q90" s="17"/>
      <c r="R90" s="17"/>
      <c r="S90" s="17"/>
      <c r="T90" s="17"/>
      <c r="U90" s="18"/>
      <c r="V90" s="18"/>
      <c r="W90" s="18"/>
      <c r="X90" s="18"/>
      <c r="Y90" s="18"/>
      <c r="Z90" s="18"/>
      <c r="AA90" s="18"/>
      <c r="AB90" s="18"/>
      <c r="AC90" s="18"/>
      <c r="AD90" s="18"/>
      <c r="AE90" s="18"/>
      <c r="AF90" s="85"/>
      <c r="AG90" s="85"/>
      <c r="AH90" s="85"/>
      <c r="AI90" s="85"/>
      <c r="AJ90" s="85"/>
      <c r="AK90" s="85"/>
      <c r="AL90" s="85"/>
      <c r="AM90" s="85"/>
      <c r="AN90" s="18"/>
      <c r="AO90" s="18"/>
      <c r="AP90" s="77"/>
      <c r="AQ90" s="18"/>
      <c r="AR90" s="18"/>
      <c r="AS90" s="18"/>
      <c r="AT90" s="18"/>
      <c r="AU90" s="18"/>
      <c r="AV90" s="18"/>
      <c r="AW90" s="18"/>
      <c r="AX90" s="18"/>
      <c r="AY90" s="18"/>
      <c r="AZ90" s="18"/>
      <c r="BA90" s="78"/>
      <c r="BB90" s="18"/>
      <c r="BC90" s="18"/>
      <c r="BD90" s="18"/>
      <c r="BE90" s="18"/>
      <c r="BF90" s="18"/>
      <c r="BG90" s="18"/>
      <c r="BH90" s="18"/>
      <c r="BI90" s="18"/>
      <c r="BJ90" s="18"/>
      <c r="BK90" s="18"/>
      <c r="BL90" s="18"/>
      <c r="BM90" s="18"/>
      <c r="BN90" s="18"/>
      <c r="BO90" s="18"/>
      <c r="BP90" s="18"/>
      <c r="BQ90" s="37">
        <v>42643</v>
      </c>
      <c r="BR90" s="38">
        <v>49177.479099999997</v>
      </c>
      <c r="BS90" s="17"/>
      <c r="BT90" s="37">
        <v>42643</v>
      </c>
      <c r="BU90" s="38">
        <v>3363</v>
      </c>
      <c r="BV90" s="18"/>
      <c r="BW90" s="37"/>
      <c r="BX90" s="38"/>
      <c r="BY90" s="18"/>
      <c r="BZ90" s="39">
        <f t="shared" si="30"/>
        <v>42643</v>
      </c>
      <c r="CA90" s="40">
        <f t="shared" si="31"/>
        <v>49177.479099999997</v>
      </c>
      <c r="CB90" s="17"/>
      <c r="CC90" s="39">
        <f t="shared" si="32"/>
        <v>42643</v>
      </c>
      <c r="CD90" s="40">
        <f t="shared" si="33"/>
        <v>33.630000000000003</v>
      </c>
      <c r="CE90" s="18"/>
      <c r="CF90" s="18"/>
      <c r="CG90" s="18"/>
      <c r="CH90" s="18"/>
      <c r="CI90" s="18"/>
      <c r="CJ90" s="18"/>
      <c r="CK90" s="18"/>
      <c r="CL90" s="18"/>
      <c r="CM90" s="18"/>
      <c r="CN90" s="18"/>
      <c r="CO90" s="18"/>
      <c r="CP90" s="18"/>
      <c r="CQ90" s="18"/>
      <c r="CR90" s="18"/>
      <c r="CS90" s="18"/>
      <c r="CT90" s="18"/>
      <c r="CU90" s="18"/>
      <c r="CV90" s="18"/>
      <c r="CW90" s="18"/>
      <c r="CX90" s="18"/>
      <c r="CY90" s="37">
        <v>44886</v>
      </c>
      <c r="CZ90" s="38">
        <v>17.765599999999999</v>
      </c>
      <c r="DA90" s="18"/>
      <c r="DB90" s="37">
        <v>44886</v>
      </c>
      <c r="DC90" s="38">
        <v>18.091100000000001</v>
      </c>
      <c r="DD90" s="18"/>
      <c r="DE90" s="37">
        <v>44886</v>
      </c>
      <c r="DF90" s="38">
        <v>17.341899999999999</v>
      </c>
      <c r="DG90" s="18"/>
      <c r="DH90" s="37">
        <v>44886</v>
      </c>
      <c r="DI90" s="38">
        <v>20.507999999999999</v>
      </c>
      <c r="DJ90" s="18"/>
      <c r="DK90" s="37">
        <v>44886</v>
      </c>
      <c r="DL90" s="38">
        <v>0.1221</v>
      </c>
      <c r="DM90" s="18"/>
      <c r="DN90" s="18"/>
      <c r="DO90" s="18"/>
      <c r="DP90" s="18"/>
      <c r="DQ90" s="18"/>
      <c r="DR90" s="18"/>
      <c r="DS90" s="18"/>
      <c r="DT90" s="18"/>
      <c r="DU90" s="18"/>
      <c r="DV90" s="18"/>
      <c r="DW90" s="18"/>
      <c r="DX90" s="18"/>
      <c r="DY90" s="18"/>
      <c r="DZ90" s="18"/>
    </row>
    <row r="91" spans="1:130" ht="15" customHeight="1" x14ac:dyDescent="0.3">
      <c r="A91" s="30" t="s">
        <v>344</v>
      </c>
      <c r="B91" s="73" t="s">
        <v>345</v>
      </c>
      <c r="C91" s="48">
        <v>2022</v>
      </c>
      <c r="D91" s="48">
        <v>2021</v>
      </c>
      <c r="E91" s="48">
        <v>2020</v>
      </c>
      <c r="F91" s="48">
        <v>2019</v>
      </c>
      <c r="G91" s="48">
        <v>2018</v>
      </c>
      <c r="H91" s="48">
        <v>2017</v>
      </c>
      <c r="I91" s="48">
        <v>2016</v>
      </c>
      <c r="J91" s="48">
        <v>2015</v>
      </c>
      <c r="K91" s="48">
        <v>2014</v>
      </c>
      <c r="L91" s="48">
        <v>2013</v>
      </c>
      <c r="M91" s="49">
        <v>2012</v>
      </c>
      <c r="N91" s="227"/>
      <c r="O91" s="17"/>
      <c r="P91" s="17"/>
      <c r="Q91" s="17"/>
      <c r="R91" s="17"/>
      <c r="S91" s="17"/>
      <c r="T91" s="17"/>
      <c r="U91" s="18"/>
      <c r="V91" s="18"/>
      <c r="W91" s="18"/>
      <c r="X91" s="18"/>
      <c r="Y91" s="18"/>
      <c r="Z91" s="18"/>
      <c r="AA91" s="18"/>
      <c r="AB91" s="18"/>
      <c r="AC91" s="18"/>
      <c r="AD91" s="18"/>
      <c r="AE91" s="18" t="str">
        <f t="shared" ref="AE91:AM91" si="34">B91</f>
        <v>Year</v>
      </c>
      <c r="AF91" s="76">
        <f t="shared" si="34"/>
        <v>2022</v>
      </c>
      <c r="AG91" s="76">
        <f t="shared" si="34"/>
        <v>2021</v>
      </c>
      <c r="AH91" s="76">
        <f t="shared" si="34"/>
        <v>2020</v>
      </c>
      <c r="AI91" s="76">
        <f t="shared" si="34"/>
        <v>2019</v>
      </c>
      <c r="AJ91" s="76">
        <f t="shared" si="34"/>
        <v>2018</v>
      </c>
      <c r="AK91" s="76">
        <f t="shared" si="34"/>
        <v>2017</v>
      </c>
      <c r="AL91" s="76">
        <f t="shared" si="34"/>
        <v>2016</v>
      </c>
      <c r="AM91" s="76">
        <f t="shared" si="34"/>
        <v>2015</v>
      </c>
      <c r="AN91" s="18"/>
      <c r="AO91" s="18"/>
      <c r="AP91" s="77"/>
      <c r="AQ91" s="76" t="str">
        <f>_xll.BDH($B$10,"BS_CASH_NEAR_CASH_ITEM","-10FY","","Per=fy","Days=W","Fill=E","Curr=","DtFmt=P","Sort=D","Dts=S","Dir=H","FILING_STATUS,EQY_CONSOLIDATED","MR,","cols=11;rows=2")</f>
        <v>FY1 2022</v>
      </c>
      <c r="AR91" s="76" t="s">
        <v>1921</v>
      </c>
      <c r="AS91" s="76" t="s">
        <v>1821</v>
      </c>
      <c r="AT91" s="76" t="s">
        <v>1812</v>
      </c>
      <c r="AU91" s="76" t="s">
        <v>1813</v>
      </c>
      <c r="AV91" s="76" t="s">
        <v>1814</v>
      </c>
      <c r="AW91" s="76" t="s">
        <v>1815</v>
      </c>
      <c r="AX91" s="76" t="s">
        <v>1816</v>
      </c>
      <c r="AY91" s="76" t="s">
        <v>1817</v>
      </c>
      <c r="AZ91" s="76" t="s">
        <v>1818</v>
      </c>
      <c r="BA91" s="83" t="s">
        <v>1819</v>
      </c>
      <c r="BB91" s="18"/>
      <c r="BC91" s="18"/>
      <c r="BD91" s="18"/>
      <c r="BE91" s="18"/>
      <c r="BF91" s="18"/>
      <c r="BG91" s="18"/>
      <c r="BH91" s="18"/>
      <c r="BI91" s="18"/>
      <c r="BJ91" s="18"/>
      <c r="BK91" s="18"/>
      <c r="BL91" s="18"/>
      <c r="BM91" s="18"/>
      <c r="BN91" s="18"/>
      <c r="BO91" s="18"/>
      <c r="BP91" s="18"/>
      <c r="BQ91" s="37">
        <v>42674</v>
      </c>
      <c r="BR91" s="38">
        <v>50639.7889</v>
      </c>
      <c r="BS91" s="17"/>
      <c r="BT91" s="37">
        <v>42674</v>
      </c>
      <c r="BU91" s="38">
        <v>3463</v>
      </c>
      <c r="BV91" s="18"/>
      <c r="BW91" s="37"/>
      <c r="BX91" s="38"/>
      <c r="BY91" s="18"/>
      <c r="BZ91" s="39">
        <f t="shared" si="30"/>
        <v>42674</v>
      </c>
      <c r="CA91" s="40">
        <f t="shared" si="31"/>
        <v>50639.7889</v>
      </c>
      <c r="CB91" s="17"/>
      <c r="CC91" s="39">
        <f t="shared" si="32"/>
        <v>42674</v>
      </c>
      <c r="CD91" s="40">
        <f t="shared" si="33"/>
        <v>34.630000000000003</v>
      </c>
      <c r="CE91" s="18"/>
      <c r="CF91" s="18"/>
      <c r="CG91" s="18"/>
      <c r="CH91" s="18"/>
      <c r="CI91" s="18"/>
      <c r="CJ91" s="18"/>
      <c r="CK91" s="18"/>
      <c r="CL91" s="18"/>
      <c r="CM91" s="18"/>
      <c r="CN91" s="18"/>
      <c r="CO91" s="18"/>
      <c r="CP91" s="18"/>
      <c r="CQ91" s="18"/>
      <c r="CR91" s="18"/>
      <c r="CS91" s="18"/>
      <c r="CT91" s="18"/>
      <c r="CU91" s="18"/>
      <c r="CV91" s="18"/>
      <c r="CW91" s="18"/>
      <c r="CX91" s="18"/>
      <c r="CY91" s="37">
        <v>44887</v>
      </c>
      <c r="CZ91" s="38">
        <v>17.8033</v>
      </c>
      <c r="DA91" s="18"/>
      <c r="DB91" s="37">
        <v>44887</v>
      </c>
      <c r="DC91" s="38">
        <v>18.146799999999999</v>
      </c>
      <c r="DD91" s="18"/>
      <c r="DE91" s="37">
        <v>44887</v>
      </c>
      <c r="DF91" s="38">
        <v>17.261900000000001</v>
      </c>
      <c r="DG91" s="18"/>
      <c r="DH91" s="37">
        <v>44887</v>
      </c>
      <c r="DI91" s="38">
        <v>20.529599999999999</v>
      </c>
      <c r="DJ91" s="18"/>
      <c r="DK91" s="37">
        <v>44887</v>
      </c>
      <c r="DL91" s="38">
        <v>0.12230000000000001</v>
      </c>
      <c r="DM91" s="18"/>
      <c r="DN91" s="18"/>
      <c r="DO91" s="18"/>
      <c r="DP91" s="18"/>
      <c r="DQ91" s="18"/>
      <c r="DR91" s="18"/>
      <c r="DS91" s="18"/>
      <c r="DT91" s="18"/>
      <c r="DU91" s="18"/>
      <c r="DV91" s="18"/>
      <c r="DW91" s="18"/>
      <c r="DX91" s="18"/>
      <c r="DY91" s="18"/>
      <c r="DZ91" s="18"/>
    </row>
    <row r="92" spans="1:130" ht="15" customHeight="1" x14ac:dyDescent="0.3">
      <c r="A92" s="30" t="s">
        <v>361</v>
      </c>
      <c r="B92" s="73" t="s">
        <v>209</v>
      </c>
      <c r="C92" s="74">
        <v>1499</v>
      </c>
      <c r="D92" s="74">
        <v>1456</v>
      </c>
      <c r="E92" s="74">
        <v>1450</v>
      </c>
      <c r="F92" s="74">
        <v>1732</v>
      </c>
      <c r="G92" s="74">
        <v>1371</v>
      </c>
      <c r="H92" s="74">
        <v>2531</v>
      </c>
      <c r="I92" s="74">
        <v>1980</v>
      </c>
      <c r="J92" s="74">
        <v>2551</v>
      </c>
      <c r="K92" s="74">
        <v>1712</v>
      </c>
      <c r="L92" s="74">
        <v>1620</v>
      </c>
      <c r="M92" s="75">
        <v>2906</v>
      </c>
      <c r="N92" s="227"/>
      <c r="O92" s="17"/>
      <c r="P92" s="17"/>
      <c r="Q92" s="17"/>
      <c r="R92" s="17"/>
      <c r="S92" s="17"/>
      <c r="T92" s="17"/>
      <c r="U92" s="18"/>
      <c r="V92" s="18"/>
      <c r="W92" s="18"/>
      <c r="X92" s="18"/>
      <c r="Y92" s="18"/>
      <c r="Z92" s="18"/>
      <c r="AA92" s="18"/>
      <c r="AB92" s="18"/>
      <c r="AC92" s="18"/>
      <c r="AD92" s="18"/>
      <c r="AE92" s="18" t="str">
        <f t="shared" ref="AE92:AE106" si="35">B92</f>
        <v>Cash &amp; Near Cash Items</v>
      </c>
      <c r="AF92" s="85">
        <f t="shared" ref="AF92:AF106" si="36">C92-AQ92</f>
        <v>0</v>
      </c>
      <c r="AG92" s="85">
        <f t="shared" ref="AG92:AG106" si="37">D92-AR92</f>
        <v>0</v>
      </c>
      <c r="AH92" s="85">
        <f t="shared" ref="AH92:AH106" si="38">E92-AS92</f>
        <v>0</v>
      </c>
      <c r="AI92" s="85">
        <f t="shared" ref="AI92:AI106" si="39">F92-AT92</f>
        <v>0</v>
      </c>
      <c r="AJ92" s="85">
        <f t="shared" ref="AJ92:AJ106" si="40">G92-AU92</f>
        <v>0</v>
      </c>
      <c r="AK92" s="85">
        <f t="shared" ref="AK92:AK106" si="41">H92-AV92</f>
        <v>0</v>
      </c>
      <c r="AL92" s="85">
        <f t="shared" ref="AL92:AL106" si="42">I92-AW92</f>
        <v>0</v>
      </c>
      <c r="AM92" s="85">
        <f t="shared" ref="AM92:AM106" si="43">J92-AX92</f>
        <v>0</v>
      </c>
      <c r="AN92" s="18"/>
      <c r="AO92" s="18"/>
      <c r="AP92" s="77" t="s">
        <v>209</v>
      </c>
      <c r="AQ92" s="18">
        <v>1499</v>
      </c>
      <c r="AR92" s="18">
        <v>1456</v>
      </c>
      <c r="AS92" s="18">
        <v>1450</v>
      </c>
      <c r="AT92" s="18">
        <v>1732</v>
      </c>
      <c r="AU92" s="18">
        <v>1371</v>
      </c>
      <c r="AV92" s="18">
        <v>2531</v>
      </c>
      <c r="AW92" s="18">
        <v>1980</v>
      </c>
      <c r="AX92" s="18">
        <v>2551</v>
      </c>
      <c r="AY92" s="18">
        <v>1712</v>
      </c>
      <c r="AZ92" s="18">
        <v>1620</v>
      </c>
      <c r="BA92" s="78">
        <v>2906</v>
      </c>
      <c r="BB92" s="18"/>
      <c r="BC92" s="18"/>
      <c r="BD92" s="18"/>
      <c r="BE92" s="18"/>
      <c r="BF92" s="18"/>
      <c r="BG92" s="18"/>
      <c r="BH92" s="18"/>
      <c r="BI92" s="18"/>
      <c r="BJ92" s="18"/>
      <c r="BK92" s="18"/>
      <c r="BL92" s="18"/>
      <c r="BM92" s="18"/>
      <c r="BN92" s="18"/>
      <c r="BO92" s="18"/>
      <c r="BP92" s="18"/>
      <c r="BQ92" s="37">
        <v>42704</v>
      </c>
      <c r="BR92" s="38">
        <v>45682.558599999997</v>
      </c>
      <c r="BS92" s="17"/>
      <c r="BT92" s="37">
        <v>42704</v>
      </c>
      <c r="BU92" s="38">
        <v>3124</v>
      </c>
      <c r="BV92" s="18"/>
      <c r="BW92" s="37"/>
      <c r="BX92" s="38"/>
      <c r="BY92" s="18"/>
      <c r="BZ92" s="39">
        <f t="shared" si="30"/>
        <v>42704</v>
      </c>
      <c r="CA92" s="40">
        <f t="shared" si="31"/>
        <v>45682.558599999997</v>
      </c>
      <c r="CB92" s="17"/>
      <c r="CC92" s="39">
        <f t="shared" si="32"/>
        <v>42704</v>
      </c>
      <c r="CD92" s="40">
        <f t="shared" si="33"/>
        <v>31.240000000000002</v>
      </c>
      <c r="CE92" s="18"/>
      <c r="CF92" s="18"/>
      <c r="CG92" s="18"/>
      <c r="CH92" s="18"/>
      <c r="CI92" s="18"/>
      <c r="CJ92" s="18"/>
      <c r="CK92" s="18"/>
      <c r="CL92" s="18"/>
      <c r="CM92" s="18"/>
      <c r="CN92" s="18"/>
      <c r="CO92" s="18"/>
      <c r="CP92" s="18"/>
      <c r="CQ92" s="18"/>
      <c r="CR92" s="18"/>
      <c r="CS92" s="18"/>
      <c r="CT92" s="18"/>
      <c r="CU92" s="18"/>
      <c r="CV92" s="18"/>
      <c r="CW92" s="18"/>
      <c r="CX92" s="18"/>
      <c r="CY92" s="37">
        <v>44888</v>
      </c>
      <c r="CZ92" s="38">
        <v>17.693100000000001</v>
      </c>
      <c r="DA92" s="18"/>
      <c r="DB92" s="37">
        <v>44888</v>
      </c>
      <c r="DC92" s="38">
        <v>18.042200000000001</v>
      </c>
      <c r="DD92" s="18"/>
      <c r="DE92" s="37">
        <v>44888</v>
      </c>
      <c r="DF92" s="38">
        <v>16.980599999999999</v>
      </c>
      <c r="DG92" s="18"/>
      <c r="DH92" s="37">
        <v>44888</v>
      </c>
      <c r="DI92" s="38">
        <v>20.506799999999998</v>
      </c>
      <c r="DJ92" s="18"/>
      <c r="DK92" s="37">
        <v>44888</v>
      </c>
      <c r="DL92" s="38">
        <v>0.122</v>
      </c>
      <c r="DM92" s="18"/>
      <c r="DN92" s="18"/>
      <c r="DO92" s="18"/>
      <c r="DP92" s="18"/>
      <c r="DQ92" s="18"/>
      <c r="DR92" s="18"/>
      <c r="DS92" s="18"/>
      <c r="DT92" s="18"/>
      <c r="DU92" s="18"/>
      <c r="DV92" s="18"/>
      <c r="DW92" s="18"/>
      <c r="DX92" s="18"/>
      <c r="DY92" s="18"/>
      <c r="DZ92" s="18"/>
    </row>
    <row r="93" spans="1:130" ht="15" customHeight="1" x14ac:dyDescent="0.3">
      <c r="A93" s="30" t="s">
        <v>362</v>
      </c>
      <c r="B93" s="73" t="s">
        <v>210</v>
      </c>
      <c r="C93" s="74">
        <v>2</v>
      </c>
      <c r="D93" s="74">
        <v>4</v>
      </c>
      <c r="E93" s="74" t="s">
        <v>615</v>
      </c>
      <c r="F93" s="74" t="s">
        <v>615</v>
      </c>
      <c r="G93" s="74" t="s">
        <v>615</v>
      </c>
      <c r="H93" s="74">
        <v>1</v>
      </c>
      <c r="I93" s="74" t="s">
        <v>615</v>
      </c>
      <c r="J93" s="74" t="s">
        <v>615</v>
      </c>
      <c r="K93" s="74" t="s">
        <v>615</v>
      </c>
      <c r="L93" s="74" t="s">
        <v>615</v>
      </c>
      <c r="M93" s="75" t="s">
        <v>615</v>
      </c>
      <c r="N93" s="227"/>
      <c r="O93" s="17"/>
      <c r="P93" s="17"/>
      <c r="Q93" s="17"/>
      <c r="R93" s="17"/>
      <c r="S93" s="17"/>
      <c r="T93" s="17"/>
      <c r="U93" s="18"/>
      <c r="V93" s="18"/>
      <c r="W93" s="18"/>
      <c r="X93" s="18"/>
      <c r="Y93" s="18"/>
      <c r="Z93" s="18"/>
      <c r="AA93" s="18"/>
      <c r="AB93" s="18"/>
      <c r="AC93" s="18"/>
      <c r="AD93" s="18"/>
      <c r="AE93" s="18" t="str">
        <f t="shared" si="35"/>
        <v>Short-Term Investments</v>
      </c>
      <c r="AF93" s="85">
        <f t="shared" si="36"/>
        <v>0</v>
      </c>
      <c r="AG93" s="85">
        <f t="shared" si="37"/>
        <v>0</v>
      </c>
      <c r="AH93" s="85" t="e">
        <f t="shared" si="38"/>
        <v>#VALUE!</v>
      </c>
      <c r="AI93" s="85" t="e">
        <f t="shared" si="39"/>
        <v>#VALUE!</v>
      </c>
      <c r="AJ93" s="85" t="e">
        <f t="shared" si="40"/>
        <v>#VALUE!</v>
      </c>
      <c r="AK93" s="85">
        <f t="shared" si="41"/>
        <v>0</v>
      </c>
      <c r="AL93" s="85" t="e">
        <f t="shared" si="42"/>
        <v>#VALUE!</v>
      </c>
      <c r="AM93" s="85" t="e">
        <f t="shared" si="43"/>
        <v>#VALUE!</v>
      </c>
      <c r="AN93" s="18"/>
      <c r="AO93" s="18"/>
      <c r="AP93" s="77" t="s">
        <v>210</v>
      </c>
      <c r="AQ93" s="18">
        <f>_xll.BDH($B$10,"BS_MKT_SEC_OTHER_ST_INVEST","-10FY","","Per=fy","Days=W","Fill=E","Curr=","DtFmt=P","Sort=D","Dts=H","Dir=H","FILING_STATUS,EQY_CONSOLIDATED","MR,","cols=11;rows=1")</f>
        <v>2</v>
      </c>
      <c r="AR93" s="18">
        <v>4</v>
      </c>
      <c r="AS93" s="18">
        <v>0</v>
      </c>
      <c r="AT93" s="18">
        <v>0</v>
      </c>
      <c r="AU93" s="18">
        <v>0</v>
      </c>
      <c r="AV93" s="18">
        <v>1</v>
      </c>
      <c r="AW93" s="18">
        <v>0</v>
      </c>
      <c r="AX93" s="18">
        <v>0</v>
      </c>
      <c r="AY93" s="18">
        <v>0</v>
      </c>
      <c r="AZ93" s="18">
        <v>0</v>
      </c>
      <c r="BA93" s="78">
        <v>0</v>
      </c>
      <c r="BB93" s="18"/>
      <c r="BC93" s="18"/>
      <c r="BD93" s="18"/>
      <c r="BE93" s="18"/>
      <c r="BF93" s="18"/>
      <c r="BG93" s="18"/>
      <c r="BH93" s="18"/>
      <c r="BI93" s="18"/>
      <c r="BJ93" s="18"/>
      <c r="BK93" s="18"/>
      <c r="BL93" s="18"/>
      <c r="BM93" s="18"/>
      <c r="BN93" s="18"/>
      <c r="BO93" s="18"/>
      <c r="BP93" s="18"/>
      <c r="BQ93" s="37">
        <v>42734</v>
      </c>
      <c r="BR93" s="38">
        <v>46559.944499999998</v>
      </c>
      <c r="BS93" s="17"/>
      <c r="BT93" s="37">
        <v>42734</v>
      </c>
      <c r="BU93" s="38">
        <v>3184</v>
      </c>
      <c r="BV93" s="18"/>
      <c r="BW93" s="37"/>
      <c r="BX93" s="38"/>
      <c r="BY93" s="18"/>
      <c r="BZ93" s="39">
        <f t="shared" si="30"/>
        <v>42734</v>
      </c>
      <c r="CA93" s="40">
        <f t="shared" si="31"/>
        <v>46559.944499999998</v>
      </c>
      <c r="CB93" s="17"/>
      <c r="CC93" s="39">
        <f t="shared" si="32"/>
        <v>42734</v>
      </c>
      <c r="CD93" s="40">
        <f t="shared" si="33"/>
        <v>31.84</v>
      </c>
      <c r="CE93" s="18"/>
      <c r="CF93" s="18"/>
      <c r="CG93" s="18"/>
      <c r="CH93" s="18"/>
      <c r="CI93" s="18"/>
      <c r="CJ93" s="18"/>
      <c r="CK93" s="18"/>
      <c r="CL93" s="18"/>
      <c r="CM93" s="18"/>
      <c r="CN93" s="18"/>
      <c r="CO93" s="18"/>
      <c r="CP93" s="18"/>
      <c r="CQ93" s="18"/>
      <c r="CR93" s="18"/>
      <c r="CS93" s="18"/>
      <c r="CT93" s="18"/>
      <c r="CU93" s="18"/>
      <c r="CV93" s="18"/>
      <c r="CW93" s="18"/>
      <c r="CX93" s="18"/>
      <c r="CY93" s="37">
        <v>44889</v>
      </c>
      <c r="CZ93" s="38">
        <v>17.71</v>
      </c>
      <c r="DA93" s="18"/>
      <c r="DB93" s="37">
        <v>44889</v>
      </c>
      <c r="DC93" s="38">
        <v>18.0244</v>
      </c>
      <c r="DD93" s="18"/>
      <c r="DE93" s="37">
        <v>44889</v>
      </c>
      <c r="DF93" s="38">
        <v>17.003799999999998</v>
      </c>
      <c r="DG93" s="18"/>
      <c r="DH93" s="37">
        <v>44889</v>
      </c>
      <c r="DI93" s="38">
        <v>20.607700000000001</v>
      </c>
      <c r="DJ93" s="18"/>
      <c r="DK93" s="37">
        <v>44889</v>
      </c>
      <c r="DL93" s="38">
        <v>0.1227</v>
      </c>
      <c r="DM93" s="18"/>
      <c r="DN93" s="18"/>
      <c r="DO93" s="18"/>
      <c r="DP93" s="18"/>
      <c r="DQ93" s="18"/>
      <c r="DR93" s="18"/>
      <c r="DS93" s="18"/>
      <c r="DT93" s="18"/>
      <c r="DU93" s="18"/>
      <c r="DV93" s="18"/>
      <c r="DW93" s="18"/>
      <c r="DX93" s="18"/>
      <c r="DY93" s="18"/>
      <c r="DZ93" s="18"/>
    </row>
    <row r="94" spans="1:130" ht="15" customHeight="1" x14ac:dyDescent="0.3">
      <c r="A94" s="30" t="s">
        <v>363</v>
      </c>
      <c r="B94" s="73" t="s">
        <v>211</v>
      </c>
      <c r="C94" s="74">
        <v>2939</v>
      </c>
      <c r="D94" s="74">
        <v>2947</v>
      </c>
      <c r="E94" s="74">
        <v>2699</v>
      </c>
      <c r="F94" s="74">
        <v>2473</v>
      </c>
      <c r="G94" s="74">
        <v>2358</v>
      </c>
      <c r="H94" s="74">
        <v>3498</v>
      </c>
      <c r="I94" s="74">
        <v>3736</v>
      </c>
      <c r="J94" s="74">
        <v>3976</v>
      </c>
      <c r="K94" s="74">
        <v>3567</v>
      </c>
      <c r="L94" s="74">
        <v>3158</v>
      </c>
      <c r="M94" s="75">
        <v>2834</v>
      </c>
      <c r="N94" s="227"/>
      <c r="O94" s="17"/>
      <c r="P94" s="17"/>
      <c r="Q94" s="17"/>
      <c r="R94" s="17"/>
      <c r="S94" s="17"/>
      <c r="T94" s="17"/>
      <c r="U94" s="18"/>
      <c r="V94" s="18"/>
      <c r="W94" s="18"/>
      <c r="X94" s="18"/>
      <c r="Y94" s="18"/>
      <c r="Z94" s="18"/>
      <c r="AA94" s="18"/>
      <c r="AB94" s="18"/>
      <c r="AC94" s="18"/>
      <c r="AD94" s="18"/>
      <c r="AE94" s="18" t="str">
        <f t="shared" si="35"/>
        <v>Accounts &amp; Notes Receivable</v>
      </c>
      <c r="AF94" s="85">
        <f t="shared" si="36"/>
        <v>0</v>
      </c>
      <c r="AG94" s="85">
        <f t="shared" si="37"/>
        <v>0</v>
      </c>
      <c r="AH94" s="85">
        <f t="shared" si="38"/>
        <v>0</v>
      </c>
      <c r="AI94" s="85">
        <f t="shared" si="39"/>
        <v>0</v>
      </c>
      <c r="AJ94" s="85">
        <f t="shared" si="40"/>
        <v>0</v>
      </c>
      <c r="AK94" s="85">
        <f t="shared" si="41"/>
        <v>0</v>
      </c>
      <c r="AL94" s="85">
        <f t="shared" si="42"/>
        <v>0</v>
      </c>
      <c r="AM94" s="85">
        <f t="shared" si="43"/>
        <v>0</v>
      </c>
      <c r="AN94" s="18"/>
      <c r="AO94" s="18"/>
      <c r="AP94" s="77" t="s">
        <v>211</v>
      </c>
      <c r="AQ94" s="18">
        <f>_xll.BDH($B$10,"BS_ACCT_NOTE_RCV","-10FY","","Per=fy","Days=W","Fill=E","Curr=","DtFmt=P","Sort=D","Dts=H","Dir=H","FILING_STATUS,EQY_CONSOLIDATED","MR,","cols=11;rows=1")</f>
        <v>2939</v>
      </c>
      <c r="AR94" s="18">
        <v>2947</v>
      </c>
      <c r="AS94" s="18">
        <v>2699</v>
      </c>
      <c r="AT94" s="18">
        <v>2473</v>
      </c>
      <c r="AU94" s="18">
        <v>2358</v>
      </c>
      <c r="AV94" s="18">
        <v>3498</v>
      </c>
      <c r="AW94" s="18">
        <v>3736</v>
      </c>
      <c r="AX94" s="18">
        <v>3976</v>
      </c>
      <c r="AY94" s="18">
        <v>3567</v>
      </c>
      <c r="AZ94" s="18">
        <v>3158</v>
      </c>
      <c r="BA94" s="78">
        <v>2834</v>
      </c>
      <c r="BB94" s="18"/>
      <c r="BC94" s="18"/>
      <c r="BD94" s="18"/>
      <c r="BE94" s="18"/>
      <c r="BF94" s="18"/>
      <c r="BG94" s="18"/>
      <c r="BH94" s="18"/>
      <c r="BI94" s="18"/>
      <c r="BJ94" s="18"/>
      <c r="BK94" s="18"/>
      <c r="BL94" s="18"/>
      <c r="BM94" s="18"/>
      <c r="BN94" s="18"/>
      <c r="BO94" s="18"/>
      <c r="BP94" s="18"/>
      <c r="BQ94" s="37">
        <v>42766</v>
      </c>
      <c r="BR94" s="38">
        <v>47232.607000000004</v>
      </c>
      <c r="BS94" s="17"/>
      <c r="BT94" s="37">
        <v>42766</v>
      </c>
      <c r="BU94" s="38">
        <v>3230</v>
      </c>
      <c r="BV94" s="18"/>
      <c r="BW94" s="37"/>
      <c r="BX94" s="38"/>
      <c r="BY94" s="18"/>
      <c r="BZ94" s="39">
        <f t="shared" si="30"/>
        <v>42766</v>
      </c>
      <c r="CA94" s="40">
        <f t="shared" si="31"/>
        <v>47232.607000000004</v>
      </c>
      <c r="CB94" s="17"/>
      <c r="CC94" s="39">
        <f t="shared" si="32"/>
        <v>42766</v>
      </c>
      <c r="CD94" s="40">
        <f t="shared" si="33"/>
        <v>32.299999999999997</v>
      </c>
      <c r="CE94" s="18"/>
      <c r="CF94" s="18"/>
      <c r="CG94" s="18"/>
      <c r="CH94" s="18"/>
      <c r="CI94" s="18"/>
      <c r="CJ94" s="18"/>
      <c r="CK94" s="18"/>
      <c r="CL94" s="18"/>
      <c r="CM94" s="18"/>
      <c r="CN94" s="18"/>
      <c r="CO94" s="18"/>
      <c r="CP94" s="18"/>
      <c r="CQ94" s="18"/>
      <c r="CR94" s="18"/>
      <c r="CS94" s="18"/>
      <c r="CT94" s="18"/>
      <c r="CU94" s="18"/>
      <c r="CV94" s="18"/>
      <c r="CW94" s="18"/>
      <c r="CX94" s="18"/>
      <c r="CY94" s="37">
        <v>44890</v>
      </c>
      <c r="CZ94" s="38">
        <v>17.77</v>
      </c>
      <c r="DA94" s="18"/>
      <c r="DB94" s="37">
        <v>44890</v>
      </c>
      <c r="DC94" s="38">
        <v>18.059999999999999</v>
      </c>
      <c r="DD94" s="18"/>
      <c r="DE94" s="37">
        <v>44890</v>
      </c>
      <c r="DF94" s="38">
        <v>17.081299999999999</v>
      </c>
      <c r="DG94" s="18"/>
      <c r="DH94" s="37">
        <v>44890</v>
      </c>
      <c r="DI94" s="38">
        <v>20.664200000000001</v>
      </c>
      <c r="DJ94" s="18"/>
      <c r="DK94" s="37">
        <v>44890</v>
      </c>
      <c r="DL94" s="38">
        <v>0.1227</v>
      </c>
      <c r="DM94" s="18"/>
      <c r="DN94" s="18"/>
      <c r="DO94" s="18"/>
      <c r="DP94" s="18"/>
      <c r="DQ94" s="18"/>
      <c r="DR94" s="18"/>
      <c r="DS94" s="18"/>
      <c r="DT94" s="18"/>
      <c r="DU94" s="18"/>
      <c r="DV94" s="18"/>
      <c r="DW94" s="18"/>
      <c r="DX94" s="18"/>
      <c r="DY94" s="18"/>
      <c r="DZ94" s="18"/>
    </row>
    <row r="95" spans="1:130" ht="15" customHeight="1" x14ac:dyDescent="0.3">
      <c r="A95" s="30" t="s">
        <v>173</v>
      </c>
      <c r="B95" s="73" t="s">
        <v>50</v>
      </c>
      <c r="C95" s="74">
        <v>562</v>
      </c>
      <c r="D95" s="74">
        <v>640</v>
      </c>
      <c r="E95" s="74">
        <v>1206</v>
      </c>
      <c r="F95" s="74">
        <v>564</v>
      </c>
      <c r="G95" s="74">
        <v>589</v>
      </c>
      <c r="H95" s="74">
        <v>984</v>
      </c>
      <c r="I95" s="74">
        <v>1019</v>
      </c>
      <c r="J95" s="74">
        <v>1107</v>
      </c>
      <c r="K95" s="74">
        <v>987</v>
      </c>
      <c r="L95" s="74">
        <v>912</v>
      </c>
      <c r="M95" s="75">
        <v>817</v>
      </c>
      <c r="N95" s="227"/>
      <c r="O95" s="17"/>
      <c r="P95" s="17"/>
      <c r="Q95" s="17"/>
      <c r="R95" s="17"/>
      <c r="S95" s="17"/>
      <c r="T95" s="17"/>
      <c r="U95" s="18"/>
      <c r="V95" s="18"/>
      <c r="W95" s="18"/>
      <c r="X95" s="18"/>
      <c r="Y95" s="18"/>
      <c r="Z95" s="18"/>
      <c r="AA95" s="18"/>
      <c r="AB95" s="18"/>
      <c r="AC95" s="18"/>
      <c r="AD95" s="18"/>
      <c r="AE95" s="18" t="str">
        <f t="shared" si="35"/>
        <v>Stock &amp; Work in Progress</v>
      </c>
      <c r="AF95" s="85">
        <f t="shared" si="36"/>
        <v>0</v>
      </c>
      <c r="AG95" s="85">
        <f t="shared" si="37"/>
        <v>0</v>
      </c>
      <c r="AH95" s="85">
        <f t="shared" si="38"/>
        <v>0</v>
      </c>
      <c r="AI95" s="85">
        <f t="shared" si="39"/>
        <v>0</v>
      </c>
      <c r="AJ95" s="85">
        <f t="shared" si="40"/>
        <v>0</v>
      </c>
      <c r="AK95" s="85">
        <f t="shared" si="41"/>
        <v>0</v>
      </c>
      <c r="AL95" s="85">
        <f t="shared" si="42"/>
        <v>0</v>
      </c>
      <c r="AM95" s="85">
        <f t="shared" si="43"/>
        <v>0</v>
      </c>
      <c r="AN95" s="18"/>
      <c r="AO95" s="18"/>
      <c r="AP95" s="77" t="s">
        <v>447</v>
      </c>
      <c r="AQ95" s="18">
        <f>_xll.BDH($B$10,"BS_INVENTORIES","-10FY","","Per=fy","Days=W","Fill=E","Curr=","DtFmt=P","Sort=D","Dts=H","Dir=H","FILING_STATUS,EQY_CONSOLIDATED","MR,","cols=11;rows=1")</f>
        <v>562</v>
      </c>
      <c r="AR95" s="18">
        <v>640</v>
      </c>
      <c r="AS95" s="18">
        <v>1206</v>
      </c>
      <c r="AT95" s="18">
        <v>564</v>
      </c>
      <c r="AU95" s="18">
        <v>589</v>
      </c>
      <c r="AV95" s="18">
        <v>984</v>
      </c>
      <c r="AW95" s="18">
        <v>1019</v>
      </c>
      <c r="AX95" s="18">
        <v>1107</v>
      </c>
      <c r="AY95" s="18">
        <v>987</v>
      </c>
      <c r="AZ95" s="18">
        <v>912</v>
      </c>
      <c r="BA95" s="78">
        <v>817</v>
      </c>
      <c r="BB95" s="18"/>
      <c r="BC95" s="18"/>
      <c r="BD95" s="18"/>
      <c r="BE95" s="18"/>
      <c r="BF95" s="18"/>
      <c r="BG95" s="18"/>
      <c r="BH95" s="18"/>
      <c r="BI95" s="18"/>
      <c r="BJ95" s="18"/>
      <c r="BK95" s="18"/>
      <c r="BL95" s="18"/>
      <c r="BM95" s="18"/>
      <c r="BN95" s="18"/>
      <c r="BO95" s="18"/>
      <c r="BP95" s="18"/>
      <c r="BQ95" s="37">
        <v>42794</v>
      </c>
      <c r="BR95" s="38">
        <v>46501.452100000002</v>
      </c>
      <c r="BS95" s="17"/>
      <c r="BT95" s="37">
        <v>42794</v>
      </c>
      <c r="BU95" s="38">
        <v>3180</v>
      </c>
      <c r="BV95" s="18"/>
      <c r="BW95" s="37"/>
      <c r="BX95" s="38"/>
      <c r="BY95" s="18"/>
      <c r="BZ95" s="39">
        <f t="shared" si="30"/>
        <v>42794</v>
      </c>
      <c r="CA95" s="40">
        <f t="shared" si="31"/>
        <v>46501.452100000002</v>
      </c>
      <c r="CB95" s="17"/>
      <c r="CC95" s="39">
        <f t="shared" si="32"/>
        <v>42794</v>
      </c>
      <c r="CD95" s="40">
        <f t="shared" si="33"/>
        <v>31.8</v>
      </c>
      <c r="CE95" s="18"/>
      <c r="CF95" s="18"/>
      <c r="CG95" s="18"/>
      <c r="CH95" s="18"/>
      <c r="CI95" s="18"/>
      <c r="CJ95" s="18"/>
      <c r="CK95" s="18"/>
      <c r="CL95" s="18"/>
      <c r="CM95" s="18"/>
      <c r="CN95" s="18"/>
      <c r="CO95" s="18"/>
      <c r="CP95" s="18"/>
      <c r="CQ95" s="18"/>
      <c r="CR95" s="18"/>
      <c r="CS95" s="18"/>
      <c r="CT95" s="18"/>
      <c r="CU95" s="18"/>
      <c r="CV95" s="18"/>
      <c r="CW95" s="18"/>
      <c r="CX95" s="18"/>
      <c r="CY95" s="37">
        <v>44893</v>
      </c>
      <c r="CZ95" s="38">
        <v>17.741299999999999</v>
      </c>
      <c r="DA95" s="18"/>
      <c r="DB95" s="37">
        <v>44893</v>
      </c>
      <c r="DC95" s="38">
        <v>18.0687</v>
      </c>
      <c r="DD95" s="18"/>
      <c r="DE95" s="37">
        <v>44893</v>
      </c>
      <c r="DF95" s="38">
        <v>17.146899999999999</v>
      </c>
      <c r="DG95" s="18"/>
      <c r="DH95" s="37">
        <v>44893</v>
      </c>
      <c r="DI95" s="38">
        <v>20.5105</v>
      </c>
      <c r="DJ95" s="18"/>
      <c r="DK95" s="37">
        <v>44893</v>
      </c>
      <c r="DL95" s="38">
        <v>0.1236</v>
      </c>
      <c r="DM95" s="18"/>
      <c r="DN95" s="18"/>
      <c r="DO95" s="18"/>
      <c r="DP95" s="18"/>
      <c r="DQ95" s="18"/>
      <c r="DR95" s="18"/>
      <c r="DS95" s="18"/>
      <c r="DT95" s="18"/>
      <c r="DU95" s="18"/>
      <c r="DV95" s="18"/>
      <c r="DW95" s="18"/>
      <c r="DX95" s="18"/>
      <c r="DY95" s="18"/>
      <c r="DZ95" s="18"/>
    </row>
    <row r="96" spans="1:130" ht="15" customHeight="1" x14ac:dyDescent="0.3">
      <c r="A96" s="30" t="s">
        <v>174</v>
      </c>
      <c r="B96" s="73" t="s">
        <v>51</v>
      </c>
      <c r="C96" s="74">
        <v>436</v>
      </c>
      <c r="D96" s="74">
        <v>548</v>
      </c>
      <c r="E96" s="74">
        <v>695</v>
      </c>
      <c r="F96" s="74">
        <v>755</v>
      </c>
      <c r="G96" s="74">
        <v>930</v>
      </c>
      <c r="H96" s="74">
        <v>1145</v>
      </c>
      <c r="I96" s="74">
        <v>1310</v>
      </c>
      <c r="J96" s="74">
        <v>1314</v>
      </c>
      <c r="K96" s="74">
        <v>1152</v>
      </c>
      <c r="L96" s="74">
        <v>926</v>
      </c>
      <c r="M96" s="75">
        <v>699</v>
      </c>
      <c r="N96" s="227"/>
      <c r="O96" s="17"/>
      <c r="P96" s="17"/>
      <c r="Q96" s="17"/>
      <c r="R96" s="17"/>
      <c r="S96" s="17"/>
      <c r="T96" s="17"/>
      <c r="U96" s="18"/>
      <c r="V96" s="18"/>
      <c r="W96" s="18"/>
      <c r="X96" s="18"/>
      <c r="Y96" s="18"/>
      <c r="Z96" s="18"/>
      <c r="AA96" s="18"/>
      <c r="AB96" s="18"/>
      <c r="AC96" s="18"/>
      <c r="AD96" s="18"/>
      <c r="AE96" s="18" t="str">
        <f t="shared" si="35"/>
        <v>Other Current Assets</v>
      </c>
      <c r="AF96" s="85">
        <f t="shared" si="36"/>
        <v>0</v>
      </c>
      <c r="AG96" s="85">
        <f t="shared" si="37"/>
        <v>0</v>
      </c>
      <c r="AH96" s="85">
        <f t="shared" si="38"/>
        <v>0</v>
      </c>
      <c r="AI96" s="85">
        <f t="shared" si="39"/>
        <v>0</v>
      </c>
      <c r="AJ96" s="85">
        <f t="shared" si="40"/>
        <v>0</v>
      </c>
      <c r="AK96" s="85">
        <f t="shared" si="41"/>
        <v>0</v>
      </c>
      <c r="AL96" s="85">
        <f t="shared" si="42"/>
        <v>0</v>
      </c>
      <c r="AM96" s="85">
        <f t="shared" si="43"/>
        <v>0</v>
      </c>
      <c r="AN96" s="18"/>
      <c r="AO96" s="18"/>
      <c r="AP96" s="77" t="s">
        <v>51</v>
      </c>
      <c r="AQ96" s="86">
        <f>_xll.BDH($B$10,"BS_OTHER_CUR_ASSET","-10FY","","Per=fy","Days=W","Fill=E","Curr=","DtFmt=P","Sort=D","Dts=H","Dir=H","FILING_STATUS,EQY_CONSOLIDATED","MR,","cols=11;rows=1")</f>
        <v>436</v>
      </c>
      <c r="AR96" s="86">
        <v>548</v>
      </c>
      <c r="AS96" s="86">
        <v>695</v>
      </c>
      <c r="AT96" s="86">
        <v>755</v>
      </c>
      <c r="AU96" s="86">
        <v>930</v>
      </c>
      <c r="AV96" s="86">
        <v>1145</v>
      </c>
      <c r="AW96" s="86">
        <v>1310</v>
      </c>
      <c r="AX96" s="86">
        <v>1314</v>
      </c>
      <c r="AY96" s="86">
        <v>1152</v>
      </c>
      <c r="AZ96" s="86">
        <v>926</v>
      </c>
      <c r="BA96" s="87">
        <v>699</v>
      </c>
      <c r="BB96" s="18"/>
      <c r="BC96" s="18"/>
      <c r="BD96" s="18"/>
      <c r="BE96" s="18"/>
      <c r="BF96" s="18"/>
      <c r="BG96" s="18"/>
      <c r="BH96" s="18"/>
      <c r="BI96" s="18"/>
      <c r="BJ96" s="18"/>
      <c r="BK96" s="18"/>
      <c r="BL96" s="18"/>
      <c r="BM96" s="18"/>
      <c r="BN96" s="18"/>
      <c r="BO96" s="18"/>
      <c r="BP96" s="18"/>
      <c r="BQ96" s="37">
        <v>42825</v>
      </c>
      <c r="BR96" s="38">
        <v>37447.931299999997</v>
      </c>
      <c r="BS96" s="17"/>
      <c r="BT96" s="37">
        <v>42825</v>
      </c>
      <c r="BU96" s="38">
        <v>2560</v>
      </c>
      <c r="BV96" s="18"/>
      <c r="BW96" s="37"/>
      <c r="BX96" s="38"/>
      <c r="BY96" s="18"/>
      <c r="BZ96" s="39">
        <f t="shared" si="30"/>
        <v>42825</v>
      </c>
      <c r="CA96" s="40">
        <f t="shared" si="31"/>
        <v>37447.931299999997</v>
      </c>
      <c r="CB96" s="17"/>
      <c r="CC96" s="39">
        <f t="shared" si="32"/>
        <v>42825</v>
      </c>
      <c r="CD96" s="40">
        <f t="shared" si="33"/>
        <v>25.6</v>
      </c>
      <c r="CE96" s="18"/>
      <c r="CF96" s="18"/>
      <c r="CG96" s="18"/>
      <c r="CH96" s="18"/>
      <c r="CI96" s="18"/>
      <c r="CJ96" s="18"/>
      <c r="CK96" s="18"/>
      <c r="CL96" s="18"/>
      <c r="CM96" s="18"/>
      <c r="CN96" s="18"/>
      <c r="CO96" s="18"/>
      <c r="CP96" s="18"/>
      <c r="CQ96" s="18"/>
      <c r="CR96" s="18"/>
      <c r="CS96" s="18"/>
      <c r="CT96" s="18"/>
      <c r="CU96" s="18"/>
      <c r="CV96" s="18"/>
      <c r="CW96" s="18"/>
      <c r="CX96" s="18"/>
      <c r="CY96" s="37">
        <v>44894</v>
      </c>
      <c r="CZ96" s="38">
        <v>17.548500000000001</v>
      </c>
      <c r="DA96" s="18"/>
      <c r="DB96" s="37">
        <v>44894</v>
      </c>
      <c r="DC96" s="38">
        <v>17.812100000000001</v>
      </c>
      <c r="DD96" s="18"/>
      <c r="DE96" s="37">
        <v>44894</v>
      </c>
      <c r="DF96" s="38">
        <v>17.002400000000002</v>
      </c>
      <c r="DG96" s="18"/>
      <c r="DH96" s="37">
        <v>44894</v>
      </c>
      <c r="DI96" s="38">
        <v>20.301300000000001</v>
      </c>
      <c r="DJ96" s="18"/>
      <c r="DK96" s="37">
        <v>44894</v>
      </c>
      <c r="DL96" s="38">
        <v>0.1226</v>
      </c>
      <c r="DM96" s="18"/>
      <c r="DN96" s="18"/>
      <c r="DO96" s="18"/>
      <c r="DP96" s="18"/>
      <c r="DQ96" s="18"/>
      <c r="DR96" s="18"/>
      <c r="DS96" s="18"/>
      <c r="DT96" s="18"/>
      <c r="DU96" s="18"/>
      <c r="DV96" s="18"/>
      <c r="DW96" s="18"/>
      <c r="DX96" s="18"/>
      <c r="DY96" s="18"/>
      <c r="DZ96" s="18"/>
    </row>
    <row r="97" spans="1:130" ht="15" customHeight="1" x14ac:dyDescent="0.3">
      <c r="A97" s="30" t="s">
        <v>364</v>
      </c>
      <c r="B97" s="90" t="s">
        <v>52</v>
      </c>
      <c r="C97" s="91">
        <v>5438</v>
      </c>
      <c r="D97" s="91">
        <v>5595</v>
      </c>
      <c r="E97" s="91">
        <v>6050</v>
      </c>
      <c r="F97" s="91">
        <v>5524</v>
      </c>
      <c r="G97" s="91">
        <v>5248</v>
      </c>
      <c r="H97" s="91">
        <v>8159</v>
      </c>
      <c r="I97" s="91">
        <v>8045</v>
      </c>
      <c r="J97" s="91">
        <v>8948</v>
      </c>
      <c r="K97" s="91">
        <v>7418</v>
      </c>
      <c r="L97" s="91">
        <v>6616</v>
      </c>
      <c r="M97" s="92">
        <v>7256</v>
      </c>
      <c r="N97" s="227"/>
      <c r="O97" s="17"/>
      <c r="P97" s="17"/>
      <c r="Q97" s="17"/>
      <c r="R97" s="17"/>
      <c r="S97" s="17"/>
      <c r="T97" s="17"/>
      <c r="U97" s="18"/>
      <c r="V97" s="18"/>
      <c r="W97" s="18"/>
      <c r="X97" s="18"/>
      <c r="Y97" s="18"/>
      <c r="Z97" s="18"/>
      <c r="AA97" s="18"/>
      <c r="AB97" s="18"/>
      <c r="AC97" s="18"/>
      <c r="AD97" s="18"/>
      <c r="AE97" s="18" t="str">
        <f t="shared" si="35"/>
        <v>Total Current Assets</v>
      </c>
      <c r="AF97" s="85">
        <f t="shared" si="36"/>
        <v>0</v>
      </c>
      <c r="AG97" s="85">
        <f t="shared" si="37"/>
        <v>0</v>
      </c>
      <c r="AH97" s="85">
        <f t="shared" si="38"/>
        <v>0</v>
      </c>
      <c r="AI97" s="85">
        <f t="shared" si="39"/>
        <v>0</v>
      </c>
      <c r="AJ97" s="85">
        <f t="shared" si="40"/>
        <v>0</v>
      </c>
      <c r="AK97" s="85">
        <f t="shared" si="41"/>
        <v>0</v>
      </c>
      <c r="AL97" s="85">
        <f t="shared" si="42"/>
        <v>0</v>
      </c>
      <c r="AM97" s="85">
        <f t="shared" si="43"/>
        <v>0</v>
      </c>
      <c r="AN97" s="18"/>
      <c r="AO97" s="18"/>
      <c r="AP97" s="93" t="s">
        <v>52</v>
      </c>
      <c r="AQ97" s="18">
        <f>_xll.BDH($B$10,"BS_CUR_ASSET_REPORT","-10FY","","Per=fy","Days=W","Fill=E","Curr=","DtFmt=P","Sort=D","Dts=H","Dir=H","FILING_STATUS,EQY_CONSOLIDATED","MR,","cols=11;rows=1")</f>
        <v>5438</v>
      </c>
      <c r="AR97" s="18">
        <v>5595</v>
      </c>
      <c r="AS97" s="18">
        <v>6050</v>
      </c>
      <c r="AT97" s="18">
        <v>5524</v>
      </c>
      <c r="AU97" s="18">
        <v>5248</v>
      </c>
      <c r="AV97" s="18">
        <v>8159</v>
      </c>
      <c r="AW97" s="18">
        <v>8045</v>
      </c>
      <c r="AX97" s="18">
        <v>8948</v>
      </c>
      <c r="AY97" s="18">
        <v>7418</v>
      </c>
      <c r="AZ97" s="18">
        <v>6616</v>
      </c>
      <c r="BA97" s="78">
        <v>7256</v>
      </c>
      <c r="BB97" s="18"/>
      <c r="BC97" s="18"/>
      <c r="BD97" s="18"/>
      <c r="BE97" s="18"/>
      <c r="BF97" s="18"/>
      <c r="BG97" s="18"/>
      <c r="BH97" s="18"/>
      <c r="BI97" s="18"/>
      <c r="BJ97" s="18"/>
      <c r="BK97" s="18"/>
      <c r="BL97" s="18"/>
      <c r="BM97" s="18"/>
      <c r="BN97" s="18"/>
      <c r="BO97" s="18"/>
      <c r="BP97" s="18"/>
      <c r="BQ97" s="37">
        <v>42853</v>
      </c>
      <c r="BR97" s="38">
        <v>38779.088199999998</v>
      </c>
      <c r="BS97" s="17"/>
      <c r="BT97" s="37">
        <v>42853</v>
      </c>
      <c r="BU97" s="38">
        <v>2651</v>
      </c>
      <c r="BV97" s="18"/>
      <c r="BW97" s="37"/>
      <c r="BX97" s="38"/>
      <c r="BY97" s="18"/>
      <c r="BZ97" s="39">
        <f t="shared" si="30"/>
        <v>42853</v>
      </c>
      <c r="CA97" s="40">
        <f t="shared" si="31"/>
        <v>38779.088199999998</v>
      </c>
      <c r="CB97" s="17"/>
      <c r="CC97" s="39">
        <f t="shared" si="32"/>
        <v>42853</v>
      </c>
      <c r="CD97" s="40">
        <f t="shared" si="33"/>
        <v>26.51</v>
      </c>
      <c r="CE97" s="18"/>
      <c r="CF97" s="18"/>
      <c r="CG97" s="18"/>
      <c r="CH97" s="18"/>
      <c r="CI97" s="18"/>
      <c r="CJ97" s="18"/>
      <c r="CK97" s="18"/>
      <c r="CL97" s="18"/>
      <c r="CM97" s="18"/>
      <c r="CN97" s="18"/>
      <c r="CO97" s="18"/>
      <c r="CP97" s="18"/>
      <c r="CQ97" s="18"/>
      <c r="CR97" s="18"/>
      <c r="CS97" s="18"/>
      <c r="CT97" s="18"/>
      <c r="CU97" s="18"/>
      <c r="CV97" s="18"/>
      <c r="CW97" s="18"/>
      <c r="CX97" s="18"/>
      <c r="CY97" s="37">
        <v>44895</v>
      </c>
      <c r="CZ97" s="38">
        <v>17.8932</v>
      </c>
      <c r="DA97" s="18"/>
      <c r="DB97" s="37">
        <v>44895</v>
      </c>
      <c r="DC97" s="38">
        <v>18.184799999999999</v>
      </c>
      <c r="DD97" s="18"/>
      <c r="DE97" s="37">
        <v>44895</v>
      </c>
      <c r="DF97" s="38">
        <v>17.164200000000001</v>
      </c>
      <c r="DG97" s="18"/>
      <c r="DH97" s="37">
        <v>44895</v>
      </c>
      <c r="DI97" s="38">
        <v>20.725300000000001</v>
      </c>
      <c r="DJ97" s="18"/>
      <c r="DK97" s="37">
        <v>44895</v>
      </c>
      <c r="DL97" s="38">
        <v>0.125</v>
      </c>
      <c r="DM97" s="18"/>
      <c r="DN97" s="18"/>
      <c r="DO97" s="18"/>
      <c r="DP97" s="18"/>
      <c r="DQ97" s="18"/>
      <c r="DR97" s="18"/>
      <c r="DS97" s="18"/>
      <c r="DT97" s="18"/>
      <c r="DU97" s="18"/>
      <c r="DV97" s="18"/>
      <c r="DW97" s="18"/>
      <c r="DX97" s="18"/>
      <c r="DY97" s="18"/>
      <c r="DZ97" s="18"/>
    </row>
    <row r="98" spans="1:130" ht="15" customHeight="1" x14ac:dyDescent="0.3">
      <c r="A98" s="30" t="s">
        <v>365</v>
      </c>
      <c r="B98" s="73" t="s">
        <v>212</v>
      </c>
      <c r="C98" s="74">
        <v>176</v>
      </c>
      <c r="D98" s="74">
        <v>219</v>
      </c>
      <c r="E98" s="74">
        <v>158</v>
      </c>
      <c r="F98" s="74">
        <v>289</v>
      </c>
      <c r="G98" s="74">
        <v>249</v>
      </c>
      <c r="H98" s="74">
        <v>1831</v>
      </c>
      <c r="I98" s="74">
        <v>1667</v>
      </c>
      <c r="J98" s="74">
        <v>1699</v>
      </c>
      <c r="K98" s="74">
        <v>1357</v>
      </c>
      <c r="L98" s="74">
        <v>979</v>
      </c>
      <c r="M98" s="75">
        <v>646</v>
      </c>
      <c r="N98" s="227"/>
      <c r="O98" s="17"/>
      <c r="P98" s="17"/>
      <c r="Q98" s="17"/>
      <c r="R98" s="17"/>
      <c r="S98" s="17"/>
      <c r="T98" s="17"/>
      <c r="U98" s="18"/>
      <c r="V98" s="18"/>
      <c r="W98" s="18"/>
      <c r="X98" s="18"/>
      <c r="Y98" s="18"/>
      <c r="Z98" s="18"/>
      <c r="AA98" s="18"/>
      <c r="AB98" s="18"/>
      <c r="AC98" s="18"/>
      <c r="AD98" s="18"/>
      <c r="AE98" s="18" t="str">
        <f t="shared" si="35"/>
        <v>LT Investments &amp; LT Receivables</v>
      </c>
      <c r="AF98" s="85">
        <f t="shared" si="36"/>
        <v>0</v>
      </c>
      <c r="AG98" s="85">
        <f t="shared" si="37"/>
        <v>0</v>
      </c>
      <c r="AH98" s="85">
        <f t="shared" si="38"/>
        <v>0</v>
      </c>
      <c r="AI98" s="85">
        <f t="shared" si="39"/>
        <v>0</v>
      </c>
      <c r="AJ98" s="85">
        <f t="shared" si="40"/>
        <v>0</v>
      </c>
      <c r="AK98" s="85">
        <f t="shared" si="41"/>
        <v>0</v>
      </c>
      <c r="AL98" s="85">
        <f t="shared" si="42"/>
        <v>0</v>
      </c>
      <c r="AM98" s="85">
        <f t="shared" si="43"/>
        <v>0</v>
      </c>
      <c r="AN98" s="18"/>
      <c r="AO98" s="18"/>
      <c r="AP98" s="77" t="s">
        <v>212</v>
      </c>
      <c r="AQ98" s="18">
        <f>_xll.BDH($B$10,"BS_LT_INVEST","-10FY","","Per=fy","Days=W","Fill=E","Curr=","DtFmt=P","Sort=D","Dts=H","Dir=H","FILING_STATUS,EQY_CONSOLIDATED","MR,","cols=11;rows=1")</f>
        <v>176</v>
      </c>
      <c r="AR98" s="18">
        <v>219</v>
      </c>
      <c r="AS98" s="18">
        <v>158</v>
      </c>
      <c r="AT98" s="18">
        <v>289</v>
      </c>
      <c r="AU98" s="18">
        <v>249</v>
      </c>
      <c r="AV98" s="18">
        <v>1831</v>
      </c>
      <c r="AW98" s="18">
        <v>1667</v>
      </c>
      <c r="AX98" s="18">
        <v>1699</v>
      </c>
      <c r="AY98" s="18">
        <v>1357</v>
      </c>
      <c r="AZ98" s="18">
        <v>979</v>
      </c>
      <c r="BA98" s="78">
        <v>646</v>
      </c>
      <c r="BB98" s="18"/>
      <c r="BC98" s="18"/>
      <c r="BD98" s="18"/>
      <c r="BE98" s="18"/>
      <c r="BF98" s="18"/>
      <c r="BG98" s="18"/>
      <c r="BH98" s="18"/>
      <c r="BI98" s="18"/>
      <c r="BJ98" s="18"/>
      <c r="BK98" s="18"/>
      <c r="BL98" s="18"/>
      <c r="BM98" s="18"/>
      <c r="BN98" s="18"/>
      <c r="BO98" s="18"/>
      <c r="BP98" s="18"/>
      <c r="BQ98" s="37">
        <v>42886</v>
      </c>
      <c r="BR98" s="38">
        <v>39437.352599999998</v>
      </c>
      <c r="BS98" s="17"/>
      <c r="BT98" s="37">
        <v>42886</v>
      </c>
      <c r="BU98" s="38">
        <v>2696</v>
      </c>
      <c r="BV98" s="18"/>
      <c r="BW98" s="37"/>
      <c r="BX98" s="38"/>
      <c r="BY98" s="18"/>
      <c r="BZ98" s="39">
        <f t="shared" si="30"/>
        <v>42886</v>
      </c>
      <c r="CA98" s="40">
        <f t="shared" si="31"/>
        <v>39437.352599999998</v>
      </c>
      <c r="CB98" s="17"/>
      <c r="CC98" s="39">
        <f t="shared" si="32"/>
        <v>42886</v>
      </c>
      <c r="CD98" s="40">
        <f t="shared" si="33"/>
        <v>26.96</v>
      </c>
      <c r="CE98" s="18"/>
      <c r="CF98" s="18"/>
      <c r="CG98" s="18"/>
      <c r="CH98" s="18"/>
      <c r="CI98" s="18"/>
      <c r="CJ98" s="18"/>
      <c r="CK98" s="18"/>
      <c r="CL98" s="18"/>
      <c r="CM98" s="18"/>
      <c r="CN98" s="18"/>
      <c r="CO98" s="18"/>
      <c r="CP98" s="18"/>
      <c r="CQ98" s="18"/>
      <c r="CR98" s="18"/>
      <c r="CS98" s="18"/>
      <c r="CT98" s="18"/>
      <c r="CU98" s="18"/>
      <c r="CV98" s="18"/>
      <c r="CW98" s="18"/>
      <c r="CX98" s="18"/>
      <c r="CY98" s="37">
        <v>44896</v>
      </c>
      <c r="CZ98" s="38">
        <v>18.505199999999999</v>
      </c>
      <c r="DA98" s="18"/>
      <c r="DB98" s="37">
        <v>44896</v>
      </c>
      <c r="DC98" s="38">
        <v>18.765899999999998</v>
      </c>
      <c r="DD98" s="18"/>
      <c r="DE98" s="37">
        <v>44896</v>
      </c>
      <c r="DF98" s="38">
        <v>17.5749</v>
      </c>
      <c r="DG98" s="18"/>
      <c r="DH98" s="37">
        <v>44896</v>
      </c>
      <c r="DI98" s="38">
        <v>21.543199999999999</v>
      </c>
      <c r="DJ98" s="18"/>
      <c r="DK98" s="37">
        <v>44896</v>
      </c>
      <c r="DL98" s="38">
        <v>0.13009999999999999</v>
      </c>
      <c r="DM98" s="18"/>
      <c r="DN98" s="18"/>
      <c r="DO98" s="18"/>
      <c r="DP98" s="18"/>
      <c r="DQ98" s="18"/>
      <c r="DR98" s="18"/>
      <c r="DS98" s="18"/>
      <c r="DT98" s="18"/>
      <c r="DU98" s="18"/>
      <c r="DV98" s="18"/>
      <c r="DW98" s="18"/>
      <c r="DX98" s="18"/>
      <c r="DY98" s="18"/>
      <c r="DZ98" s="18"/>
    </row>
    <row r="99" spans="1:130" ht="15" customHeight="1" x14ac:dyDescent="0.3">
      <c r="A99" s="30" t="s">
        <v>366</v>
      </c>
      <c r="B99" s="73" t="s">
        <v>213</v>
      </c>
      <c r="C99" s="74">
        <v>22953</v>
      </c>
      <c r="D99" s="74">
        <v>22042</v>
      </c>
      <c r="E99" s="74">
        <v>21671</v>
      </c>
      <c r="F99" s="74">
        <v>17365</v>
      </c>
      <c r="G99" s="74">
        <v>16628</v>
      </c>
      <c r="H99" s="74">
        <v>24395</v>
      </c>
      <c r="I99" s="74">
        <v>22527</v>
      </c>
      <c r="J99" s="74">
        <v>21410</v>
      </c>
      <c r="K99" s="74">
        <v>18058</v>
      </c>
      <c r="L99" s="74">
        <v>15722</v>
      </c>
      <c r="M99" s="75">
        <v>34735</v>
      </c>
      <c r="N99" s="227"/>
      <c r="O99" s="17"/>
      <c r="P99" s="17"/>
      <c r="Q99" s="17"/>
      <c r="R99" s="17"/>
      <c r="S99" s="17"/>
      <c r="T99" s="17"/>
      <c r="U99" s="18"/>
      <c r="V99" s="18"/>
      <c r="W99" s="18"/>
      <c r="X99" s="18"/>
      <c r="Y99" s="18"/>
      <c r="Z99" s="18"/>
      <c r="AA99" s="18"/>
      <c r="AB99" s="18"/>
      <c r="AC99" s="18"/>
      <c r="AD99" s="18"/>
      <c r="AE99" s="18" t="str">
        <f t="shared" si="35"/>
        <v>Gross Fixed Assets</v>
      </c>
      <c r="AF99" s="85">
        <f t="shared" si="36"/>
        <v>0</v>
      </c>
      <c r="AG99" s="85">
        <f t="shared" si="37"/>
        <v>0</v>
      </c>
      <c r="AH99" s="85">
        <f t="shared" si="38"/>
        <v>0</v>
      </c>
      <c r="AI99" s="85">
        <f t="shared" si="39"/>
        <v>0</v>
      </c>
      <c r="AJ99" s="85">
        <f t="shared" si="40"/>
        <v>0</v>
      </c>
      <c r="AK99" s="85">
        <f t="shared" si="41"/>
        <v>0</v>
      </c>
      <c r="AL99" s="85">
        <f t="shared" si="42"/>
        <v>0</v>
      </c>
      <c r="AM99" s="85">
        <f t="shared" si="43"/>
        <v>0</v>
      </c>
      <c r="AN99" s="18"/>
      <c r="AO99" s="18"/>
      <c r="AP99" s="77" t="s">
        <v>213</v>
      </c>
      <c r="AQ99" s="88">
        <f>_xll.BDH($B$10,"BS_GROSS_FIX_ASSET","-10FY","","Per=fy","Days=W","Fill=E","Curr=","DtFmt=P","Sort=D","Dts=H","Dir=H","FILING_STATUS,EQY_CONSOLIDATED","MR,","cols=11;rows=1")</f>
        <v>22953</v>
      </c>
      <c r="AR99" s="18">
        <v>22042</v>
      </c>
      <c r="AS99" s="18">
        <v>21671</v>
      </c>
      <c r="AT99" s="18">
        <v>17365</v>
      </c>
      <c r="AU99" s="18">
        <v>16628</v>
      </c>
      <c r="AV99" s="18">
        <v>24395</v>
      </c>
      <c r="AW99" s="18">
        <v>22527</v>
      </c>
      <c r="AX99" s="18">
        <v>21410</v>
      </c>
      <c r="AY99" s="18">
        <v>18058</v>
      </c>
      <c r="AZ99" s="18">
        <v>15722</v>
      </c>
      <c r="BA99" s="78">
        <v>34735</v>
      </c>
      <c r="BB99" s="18"/>
      <c r="BC99" s="18"/>
      <c r="BD99" s="18"/>
      <c r="BE99" s="18"/>
      <c r="BF99" s="18"/>
      <c r="BG99" s="18"/>
      <c r="BH99" s="18"/>
      <c r="BI99" s="18"/>
      <c r="BJ99" s="18"/>
      <c r="BK99" s="18"/>
      <c r="BL99" s="18"/>
      <c r="BM99" s="18"/>
      <c r="BN99" s="18"/>
      <c r="BO99" s="18"/>
      <c r="BP99" s="18"/>
      <c r="BQ99" s="37">
        <v>42916</v>
      </c>
      <c r="BR99" s="38">
        <v>37638.0965</v>
      </c>
      <c r="BS99" s="17"/>
      <c r="BT99" s="37">
        <v>42916</v>
      </c>
      <c r="BU99" s="38">
        <v>2573</v>
      </c>
      <c r="BV99" s="18"/>
      <c r="BW99" s="37"/>
      <c r="BX99" s="38"/>
      <c r="BY99" s="18"/>
      <c r="BZ99" s="39">
        <f t="shared" si="30"/>
        <v>42916</v>
      </c>
      <c r="CA99" s="40">
        <f t="shared" si="31"/>
        <v>37638.0965</v>
      </c>
      <c r="CB99" s="17"/>
      <c r="CC99" s="39">
        <f t="shared" si="32"/>
        <v>42916</v>
      </c>
      <c r="CD99" s="40">
        <f t="shared" si="33"/>
        <v>25.73</v>
      </c>
      <c r="CE99" s="18"/>
      <c r="CF99" s="18"/>
      <c r="CG99" s="18"/>
      <c r="CH99" s="18"/>
      <c r="CI99" s="18"/>
      <c r="CJ99" s="18"/>
      <c r="CK99" s="18"/>
      <c r="CL99" s="18"/>
      <c r="CM99" s="18"/>
      <c r="CN99" s="18"/>
      <c r="CO99" s="18"/>
      <c r="CP99" s="18"/>
      <c r="CQ99" s="18"/>
      <c r="CR99" s="18"/>
      <c r="CS99" s="18"/>
      <c r="CT99" s="18"/>
      <c r="CU99" s="18"/>
      <c r="CV99" s="18"/>
      <c r="CW99" s="18"/>
      <c r="CX99" s="18"/>
      <c r="CY99" s="37">
        <v>44897</v>
      </c>
      <c r="CZ99" s="38">
        <v>18.413900000000002</v>
      </c>
      <c r="DA99" s="18"/>
      <c r="DB99" s="37">
        <v>44897</v>
      </c>
      <c r="DC99" s="38">
        <v>18.734400000000001</v>
      </c>
      <c r="DD99" s="18"/>
      <c r="DE99" s="37">
        <v>44897</v>
      </c>
      <c r="DF99" s="38">
        <v>17.505199999999999</v>
      </c>
      <c r="DG99" s="18"/>
      <c r="DH99" s="37">
        <v>44897</v>
      </c>
      <c r="DI99" s="38">
        <v>21.504200000000001</v>
      </c>
      <c r="DJ99" s="18"/>
      <c r="DK99" s="37">
        <v>44897</v>
      </c>
      <c r="DL99" s="38">
        <v>0.1303</v>
      </c>
      <c r="DM99" s="18"/>
      <c r="DN99" s="18"/>
      <c r="DO99" s="18"/>
      <c r="DP99" s="18"/>
      <c r="DQ99" s="18"/>
      <c r="DR99" s="18"/>
      <c r="DS99" s="18"/>
      <c r="DT99" s="18"/>
      <c r="DU99" s="18"/>
      <c r="DV99" s="18"/>
      <c r="DW99" s="18"/>
      <c r="DX99" s="18"/>
      <c r="DY99" s="18"/>
      <c r="DZ99" s="18"/>
    </row>
    <row r="100" spans="1:130" ht="15" customHeight="1" x14ac:dyDescent="0.3">
      <c r="A100" s="30" t="s">
        <v>367</v>
      </c>
      <c r="B100" s="73" t="s">
        <v>214</v>
      </c>
      <c r="C100" s="74">
        <v>5714</v>
      </c>
      <c r="D100" s="74">
        <v>5527</v>
      </c>
      <c r="E100" s="74">
        <v>5251</v>
      </c>
      <c r="F100" s="74">
        <v>4824</v>
      </c>
      <c r="G100" s="74">
        <v>4530</v>
      </c>
      <c r="H100" s="74">
        <v>10487</v>
      </c>
      <c r="I100" s="74">
        <v>8106</v>
      </c>
      <c r="J100" s="74">
        <v>7788</v>
      </c>
      <c r="K100" s="74">
        <v>6554</v>
      </c>
      <c r="L100" s="74">
        <v>5321</v>
      </c>
      <c r="M100" s="75">
        <v>7057</v>
      </c>
      <c r="N100" s="227"/>
      <c r="O100" s="17"/>
      <c r="P100" s="17"/>
      <c r="Q100" s="17"/>
      <c r="R100" s="17"/>
      <c r="S100" s="17"/>
      <c r="T100" s="17"/>
      <c r="U100" s="18"/>
      <c r="V100" s="18"/>
      <c r="W100" s="18"/>
      <c r="X100" s="18"/>
      <c r="Y100" s="18"/>
      <c r="Z100" s="18"/>
      <c r="AA100" s="18"/>
      <c r="AB100" s="18"/>
      <c r="AC100" s="18"/>
      <c r="AD100" s="18"/>
      <c r="AE100" s="18" t="str">
        <f t="shared" si="35"/>
        <v>Accumulated Depreciation</v>
      </c>
      <c r="AF100" s="85">
        <f t="shared" si="36"/>
        <v>0</v>
      </c>
      <c r="AG100" s="85">
        <f t="shared" si="37"/>
        <v>0</v>
      </c>
      <c r="AH100" s="85">
        <f t="shared" si="38"/>
        <v>0</v>
      </c>
      <c r="AI100" s="85">
        <f t="shared" si="39"/>
        <v>0</v>
      </c>
      <c r="AJ100" s="85">
        <f t="shared" si="40"/>
        <v>0</v>
      </c>
      <c r="AK100" s="85">
        <f t="shared" si="41"/>
        <v>0</v>
      </c>
      <c r="AL100" s="85">
        <f t="shared" si="42"/>
        <v>0</v>
      </c>
      <c r="AM100" s="85">
        <f t="shared" si="43"/>
        <v>0</v>
      </c>
      <c r="AN100" s="18"/>
      <c r="AO100" s="18"/>
      <c r="AP100" s="77" t="s">
        <v>214</v>
      </c>
      <c r="AQ100" s="18">
        <f>_xll.BDH($B$10,"BS_ACCUM_DEPR","-10FY","","Per=fy","Days=W","Fill=E","Curr=","DtFmt=P","Sort=D","Dts=H","Dir=H","FILING_STATUS,EQY_CONSOLIDATED","MR,","cols=11;rows=1")</f>
        <v>5714</v>
      </c>
      <c r="AR100" s="18">
        <v>5527</v>
      </c>
      <c r="AS100" s="18">
        <v>5251</v>
      </c>
      <c r="AT100" s="18">
        <v>4824</v>
      </c>
      <c r="AU100" s="18">
        <v>4530</v>
      </c>
      <c r="AV100" s="18">
        <v>10487</v>
      </c>
      <c r="AW100" s="18">
        <v>8106</v>
      </c>
      <c r="AX100" s="18">
        <v>7788</v>
      </c>
      <c r="AY100" s="18">
        <v>6554</v>
      </c>
      <c r="AZ100" s="18">
        <v>5321</v>
      </c>
      <c r="BA100" s="78">
        <v>7057</v>
      </c>
      <c r="BB100" s="18"/>
      <c r="BC100" s="18"/>
      <c r="BD100" s="18"/>
      <c r="BE100" s="18"/>
      <c r="BF100" s="18"/>
      <c r="BG100" s="18"/>
      <c r="BH100" s="18"/>
      <c r="BI100" s="18"/>
      <c r="BJ100" s="18"/>
      <c r="BK100" s="18"/>
      <c r="BL100" s="18"/>
      <c r="BM100" s="18"/>
      <c r="BN100" s="18"/>
      <c r="BO100" s="18"/>
      <c r="BP100" s="18"/>
      <c r="BQ100" s="37">
        <v>42947</v>
      </c>
      <c r="BR100" s="38">
        <v>35911.980900000002</v>
      </c>
      <c r="BS100" s="17"/>
      <c r="BT100" s="37">
        <v>42947</v>
      </c>
      <c r="BU100" s="38">
        <v>2455</v>
      </c>
      <c r="BV100" s="18"/>
      <c r="BW100" s="37"/>
      <c r="BX100" s="38"/>
      <c r="BY100" s="18"/>
      <c r="BZ100" s="39">
        <f t="shared" si="30"/>
        <v>42947</v>
      </c>
      <c r="CA100" s="40">
        <f t="shared" si="31"/>
        <v>35911.980900000002</v>
      </c>
      <c r="CB100" s="17"/>
      <c r="CC100" s="39">
        <f t="shared" si="32"/>
        <v>42947</v>
      </c>
      <c r="CD100" s="40">
        <f t="shared" si="33"/>
        <v>24.55</v>
      </c>
      <c r="CE100" s="18"/>
      <c r="CF100" s="18"/>
      <c r="CG100" s="18"/>
      <c r="CH100" s="18"/>
      <c r="CI100" s="18"/>
      <c r="CJ100" s="18"/>
      <c r="CK100" s="18"/>
      <c r="CL100" s="18"/>
      <c r="CM100" s="18"/>
      <c r="CN100" s="18"/>
      <c r="CO100" s="18"/>
      <c r="CP100" s="18"/>
      <c r="CQ100" s="18"/>
      <c r="CR100" s="18"/>
      <c r="CS100" s="18"/>
      <c r="CT100" s="18"/>
      <c r="CU100" s="18"/>
      <c r="CV100" s="18"/>
      <c r="CW100" s="18"/>
      <c r="CX100" s="18"/>
      <c r="CY100" s="37">
        <v>44900</v>
      </c>
      <c r="CZ100" s="38">
        <v>18.322800000000001</v>
      </c>
      <c r="DA100" s="18"/>
      <c r="DB100" s="37">
        <v>44900</v>
      </c>
      <c r="DC100" s="38">
        <v>18.519400000000001</v>
      </c>
      <c r="DD100" s="18"/>
      <c r="DE100" s="37">
        <v>44900</v>
      </c>
      <c r="DF100" s="38">
        <v>17.453099999999999</v>
      </c>
      <c r="DG100" s="18"/>
      <c r="DH100" s="37">
        <v>44900</v>
      </c>
      <c r="DI100" s="38">
        <v>21.279199999999999</v>
      </c>
      <c r="DJ100" s="18"/>
      <c r="DK100" s="37">
        <v>44900</v>
      </c>
      <c r="DL100" s="38">
        <v>0.1278</v>
      </c>
      <c r="DM100" s="18"/>
      <c r="DN100" s="18"/>
      <c r="DO100" s="18"/>
      <c r="DP100" s="18"/>
      <c r="DQ100" s="18"/>
      <c r="DR100" s="18"/>
      <c r="DS100" s="18"/>
      <c r="DT100" s="18"/>
      <c r="DU100" s="18"/>
      <c r="DV100" s="18"/>
      <c r="DW100" s="18"/>
      <c r="DX100" s="18"/>
      <c r="DY100" s="18"/>
      <c r="DZ100" s="18"/>
    </row>
    <row r="101" spans="1:130" ht="15" customHeight="1" x14ac:dyDescent="0.3">
      <c r="A101" s="30" t="s">
        <v>368</v>
      </c>
      <c r="B101" s="73" t="s">
        <v>215</v>
      </c>
      <c r="C101" s="74">
        <v>17239</v>
      </c>
      <c r="D101" s="74">
        <v>16515</v>
      </c>
      <c r="E101" s="74">
        <v>16420</v>
      </c>
      <c r="F101" s="74">
        <v>12541</v>
      </c>
      <c r="G101" s="74">
        <v>12098</v>
      </c>
      <c r="H101" s="74">
        <v>13908</v>
      </c>
      <c r="I101" s="74">
        <v>14421</v>
      </c>
      <c r="J101" s="74">
        <v>13622</v>
      </c>
      <c r="K101" s="74">
        <v>11504</v>
      </c>
      <c r="L101" s="74">
        <v>10401</v>
      </c>
      <c r="M101" s="75">
        <v>27678</v>
      </c>
      <c r="N101" s="227"/>
      <c r="O101" s="17"/>
      <c r="P101" s="17"/>
      <c r="Q101" s="17"/>
      <c r="R101" s="17"/>
      <c r="S101" s="17"/>
      <c r="T101" s="17"/>
      <c r="U101" s="18"/>
      <c r="V101" s="18"/>
      <c r="W101" s="18"/>
      <c r="X101" s="18"/>
      <c r="Y101" s="18"/>
      <c r="Z101" s="18"/>
      <c r="AA101" s="18"/>
      <c r="AB101" s="18"/>
      <c r="AC101" s="18"/>
      <c r="AD101" s="18"/>
      <c r="AE101" s="18" t="str">
        <f t="shared" si="35"/>
        <v>Net Fixed Assets</v>
      </c>
      <c r="AF101" s="85">
        <f t="shared" si="36"/>
        <v>0</v>
      </c>
      <c r="AG101" s="85">
        <f t="shared" si="37"/>
        <v>0</v>
      </c>
      <c r="AH101" s="85">
        <f t="shared" si="38"/>
        <v>0</v>
      </c>
      <c r="AI101" s="85">
        <f t="shared" si="39"/>
        <v>0</v>
      </c>
      <c r="AJ101" s="85">
        <f t="shared" si="40"/>
        <v>0</v>
      </c>
      <c r="AK101" s="85">
        <f t="shared" si="41"/>
        <v>0</v>
      </c>
      <c r="AL101" s="85">
        <f t="shared" si="42"/>
        <v>0</v>
      </c>
      <c r="AM101" s="85">
        <f t="shared" si="43"/>
        <v>0</v>
      </c>
      <c r="AN101" s="18"/>
      <c r="AO101" s="18"/>
      <c r="AP101" s="77" t="s">
        <v>215</v>
      </c>
      <c r="AQ101" s="18">
        <f>_xll.BDH($B$10,"BS_NET_FIX_ASSET","-10FY","","Per=fy","Days=W","Fill=E","Curr=","DtFmt=P","Sort=D","Dts=H","Dir=H","FILING_STATUS,EQY_CONSOLIDATED","MR,","cols=11;rows=1")</f>
        <v>17239</v>
      </c>
      <c r="AR101" s="18">
        <v>16515</v>
      </c>
      <c r="AS101" s="18">
        <v>16420</v>
      </c>
      <c r="AT101" s="18">
        <v>12541</v>
      </c>
      <c r="AU101" s="18">
        <v>12098</v>
      </c>
      <c r="AV101" s="18">
        <v>13908</v>
      </c>
      <c r="AW101" s="18">
        <v>14421</v>
      </c>
      <c r="AX101" s="18">
        <v>13622</v>
      </c>
      <c r="AY101" s="18">
        <v>11504</v>
      </c>
      <c r="AZ101" s="18">
        <v>10401</v>
      </c>
      <c r="BA101" s="78">
        <v>27678</v>
      </c>
      <c r="BB101" s="18"/>
      <c r="BC101" s="18"/>
      <c r="BD101" s="18"/>
      <c r="BE101" s="18"/>
      <c r="BF101" s="18"/>
      <c r="BG101" s="18"/>
      <c r="BH101" s="18"/>
      <c r="BI101" s="18"/>
      <c r="BJ101" s="18"/>
      <c r="BK101" s="18"/>
      <c r="BL101" s="18"/>
      <c r="BM101" s="18"/>
      <c r="BN101" s="18"/>
      <c r="BO101" s="18"/>
      <c r="BP101" s="18"/>
      <c r="BQ101" s="37">
        <v>42978</v>
      </c>
      <c r="BR101" s="38">
        <v>35268.344599999997</v>
      </c>
      <c r="BS101" s="17"/>
      <c r="BT101" s="37">
        <v>42978</v>
      </c>
      <c r="BU101" s="38">
        <v>2411</v>
      </c>
      <c r="BV101" s="18"/>
      <c r="BW101" s="37"/>
      <c r="BX101" s="38"/>
      <c r="BY101" s="18"/>
      <c r="BZ101" s="39">
        <f t="shared" si="30"/>
        <v>42978</v>
      </c>
      <c r="CA101" s="40">
        <f t="shared" si="31"/>
        <v>35268.344599999997</v>
      </c>
      <c r="CB101" s="17"/>
      <c r="CC101" s="39">
        <f t="shared" si="32"/>
        <v>42978</v>
      </c>
      <c r="CD101" s="40">
        <f t="shared" si="33"/>
        <v>24.11</v>
      </c>
      <c r="CE101" s="18"/>
      <c r="CF101" s="18"/>
      <c r="CG101" s="18"/>
      <c r="CH101" s="18"/>
      <c r="CI101" s="18"/>
      <c r="CJ101" s="18"/>
      <c r="CK101" s="18"/>
      <c r="CL101" s="18"/>
      <c r="CM101" s="18"/>
      <c r="CN101" s="18"/>
      <c r="CO101" s="18"/>
      <c r="CP101" s="18"/>
      <c r="CQ101" s="18"/>
      <c r="CR101" s="18"/>
      <c r="CS101" s="18"/>
      <c r="CT101" s="18"/>
      <c r="CU101" s="18"/>
      <c r="CV101" s="18"/>
      <c r="CW101" s="18"/>
      <c r="CX101" s="18"/>
      <c r="CY101" s="37">
        <v>44901</v>
      </c>
      <c r="CZ101" s="38">
        <v>18.134899999999998</v>
      </c>
      <c r="DA101" s="18"/>
      <c r="DB101" s="37">
        <v>44901</v>
      </c>
      <c r="DC101" s="38">
        <v>18.396799999999999</v>
      </c>
      <c r="DD101" s="18"/>
      <c r="DE101" s="37">
        <v>44901</v>
      </c>
      <c r="DF101" s="38">
        <v>17.3323</v>
      </c>
      <c r="DG101" s="18"/>
      <c r="DH101" s="37">
        <v>44901</v>
      </c>
      <c r="DI101" s="38">
        <v>21.026599999999998</v>
      </c>
      <c r="DJ101" s="18"/>
      <c r="DK101" s="37">
        <v>44901</v>
      </c>
      <c r="DL101" s="38">
        <v>0.12659999999999999</v>
      </c>
      <c r="DM101" s="18"/>
      <c r="DN101" s="18"/>
      <c r="DO101" s="18"/>
      <c r="DP101" s="18"/>
      <c r="DQ101" s="18"/>
      <c r="DR101" s="18"/>
      <c r="DS101" s="18"/>
      <c r="DT101" s="18"/>
      <c r="DU101" s="18"/>
      <c r="DV101" s="18"/>
      <c r="DW101" s="18"/>
      <c r="DX101" s="18"/>
      <c r="DY101" s="18"/>
      <c r="DZ101" s="18"/>
    </row>
    <row r="102" spans="1:130" ht="15" customHeight="1" x14ac:dyDescent="0.3">
      <c r="A102" s="119" t="s">
        <v>429</v>
      </c>
      <c r="B102" s="73" t="s">
        <v>48</v>
      </c>
      <c r="C102" s="74">
        <v>3417</v>
      </c>
      <c r="D102" s="74">
        <v>3292</v>
      </c>
      <c r="E102" s="74">
        <v>3316</v>
      </c>
      <c r="F102" s="74">
        <v>3061</v>
      </c>
      <c r="G102" s="74">
        <v>2953</v>
      </c>
      <c r="H102" s="74">
        <v>4214</v>
      </c>
      <c r="I102" s="74">
        <v>6526</v>
      </c>
      <c r="J102" s="74">
        <v>7395</v>
      </c>
      <c r="K102" s="74">
        <v>6438</v>
      </c>
      <c r="L102" s="74">
        <v>5812</v>
      </c>
      <c r="M102" s="75">
        <v>8642</v>
      </c>
      <c r="N102" s="227"/>
      <c r="O102" s="17"/>
      <c r="P102" s="17"/>
      <c r="Q102" s="17"/>
      <c r="R102" s="17"/>
      <c r="S102" s="17"/>
      <c r="T102" s="17"/>
      <c r="U102" s="18"/>
      <c r="V102" s="18"/>
      <c r="W102" s="18"/>
      <c r="X102" s="18"/>
      <c r="Y102" s="18"/>
      <c r="Z102" s="18"/>
      <c r="AA102" s="18"/>
      <c r="AB102" s="18"/>
      <c r="AC102" s="18"/>
      <c r="AD102" s="18"/>
      <c r="AE102" s="18" t="str">
        <f t="shared" si="35"/>
        <v>Other Long-Term Assets</v>
      </c>
      <c r="AF102" s="85">
        <f t="shared" si="36"/>
        <v>0</v>
      </c>
      <c r="AG102" s="85">
        <f t="shared" si="37"/>
        <v>0</v>
      </c>
      <c r="AH102" s="85">
        <f t="shared" si="38"/>
        <v>0</v>
      </c>
      <c r="AI102" s="85">
        <f t="shared" si="39"/>
        <v>0</v>
      </c>
      <c r="AJ102" s="85">
        <f t="shared" si="40"/>
        <v>0</v>
      </c>
      <c r="AK102" s="85">
        <f t="shared" si="41"/>
        <v>0</v>
      </c>
      <c r="AL102" s="85">
        <f t="shared" si="42"/>
        <v>0</v>
      </c>
      <c r="AM102" s="85">
        <f t="shared" si="43"/>
        <v>0</v>
      </c>
      <c r="AN102" s="18"/>
      <c r="AO102" s="18"/>
      <c r="AP102" s="120" t="s">
        <v>48</v>
      </c>
      <c r="AQ102" s="86">
        <f>_xll.BDH($B$10,"BS_OTHER_ASSET_DEF_CHNG_OTHER","-10FY","","Per=fy","Days=W","Fill=E","Curr=","DtFmt=P","Sort=D","Dts=H","Dir=H","FILING_STATUS,EQY_CONSOLIDATED","MR,","cols=11;rows=1")</f>
        <v>3417</v>
      </c>
      <c r="AR102" s="86">
        <v>3292</v>
      </c>
      <c r="AS102" s="86">
        <v>3316</v>
      </c>
      <c r="AT102" s="86">
        <v>3061</v>
      </c>
      <c r="AU102" s="86">
        <v>2953</v>
      </c>
      <c r="AV102" s="86">
        <v>4214</v>
      </c>
      <c r="AW102" s="86">
        <v>6526</v>
      </c>
      <c r="AX102" s="86">
        <v>7395</v>
      </c>
      <c r="AY102" s="86">
        <v>6438</v>
      </c>
      <c r="AZ102" s="86">
        <v>5812</v>
      </c>
      <c r="BA102" s="87">
        <v>8642</v>
      </c>
      <c r="BB102" s="18"/>
      <c r="BC102" s="18"/>
      <c r="BD102" s="18"/>
      <c r="BE102" s="18"/>
      <c r="BF102" s="18"/>
      <c r="BG102" s="18"/>
      <c r="BH102" s="18"/>
      <c r="BI102" s="18"/>
      <c r="BJ102" s="18"/>
      <c r="BK102" s="18"/>
      <c r="BL102" s="18"/>
      <c r="BM102" s="18"/>
      <c r="BN102" s="18"/>
      <c r="BO102" s="18"/>
      <c r="BP102" s="18"/>
      <c r="BQ102" s="37">
        <v>43007</v>
      </c>
      <c r="BR102" s="38">
        <v>34814.873599999999</v>
      </c>
      <c r="BS102" s="17"/>
      <c r="BT102" s="37">
        <v>43007</v>
      </c>
      <c r="BU102" s="38">
        <v>2380</v>
      </c>
      <c r="BV102" s="18"/>
      <c r="BW102" s="37"/>
      <c r="BX102" s="38"/>
      <c r="BY102" s="18"/>
      <c r="BZ102" s="39">
        <f t="shared" si="30"/>
        <v>43007</v>
      </c>
      <c r="CA102" s="40">
        <f t="shared" si="31"/>
        <v>34814.873599999999</v>
      </c>
      <c r="CB102" s="17"/>
      <c r="CC102" s="39">
        <f t="shared" si="32"/>
        <v>43007</v>
      </c>
      <c r="CD102" s="40">
        <f t="shared" si="33"/>
        <v>23.8</v>
      </c>
      <c r="CE102" s="18"/>
      <c r="CF102" s="18"/>
      <c r="CG102" s="18"/>
      <c r="CH102" s="18"/>
      <c r="CI102" s="18"/>
      <c r="CJ102" s="18"/>
      <c r="CK102" s="18"/>
      <c r="CL102" s="18"/>
      <c r="CM102" s="18"/>
      <c r="CN102" s="18"/>
      <c r="CO102" s="18"/>
      <c r="CP102" s="18"/>
      <c r="CQ102" s="18"/>
      <c r="CR102" s="18"/>
      <c r="CS102" s="18"/>
      <c r="CT102" s="18"/>
      <c r="CU102" s="18"/>
      <c r="CV102" s="18"/>
      <c r="CW102" s="18"/>
      <c r="CX102" s="18"/>
      <c r="CY102" s="37">
        <v>44902</v>
      </c>
      <c r="CZ102" s="38">
        <v>18.043800000000001</v>
      </c>
      <c r="DA102" s="18"/>
      <c r="DB102" s="37">
        <v>44902</v>
      </c>
      <c r="DC102" s="38">
        <v>18.253900000000002</v>
      </c>
      <c r="DD102" s="18"/>
      <c r="DE102" s="37">
        <v>44902</v>
      </c>
      <c r="DF102" s="38">
        <v>17.165199999999999</v>
      </c>
      <c r="DG102" s="18"/>
      <c r="DH102" s="37">
        <v>44902</v>
      </c>
      <c r="DI102" s="38">
        <v>20.953900000000001</v>
      </c>
      <c r="DJ102" s="18"/>
      <c r="DK102" s="37">
        <v>44902</v>
      </c>
      <c r="DL102" s="38">
        <v>0.12590000000000001</v>
      </c>
      <c r="DM102" s="18"/>
      <c r="DN102" s="18"/>
      <c r="DO102" s="18"/>
      <c r="DP102" s="18"/>
      <c r="DQ102" s="18"/>
      <c r="DR102" s="18"/>
      <c r="DS102" s="18"/>
      <c r="DT102" s="18"/>
      <c r="DU102" s="18"/>
      <c r="DV102" s="18"/>
      <c r="DW102" s="18"/>
      <c r="DX102" s="18"/>
      <c r="DY102" s="18"/>
      <c r="DZ102" s="18"/>
    </row>
    <row r="103" spans="1:130" ht="15" customHeight="1" x14ac:dyDescent="0.3">
      <c r="A103" s="30" t="s">
        <v>172</v>
      </c>
      <c r="B103" s="90" t="s">
        <v>49</v>
      </c>
      <c r="C103" s="91">
        <v>20832</v>
      </c>
      <c r="D103" s="91">
        <v>20026</v>
      </c>
      <c r="E103" s="91">
        <v>19894</v>
      </c>
      <c r="F103" s="91">
        <v>15891</v>
      </c>
      <c r="G103" s="91">
        <v>15300</v>
      </c>
      <c r="H103" s="91">
        <v>19953</v>
      </c>
      <c r="I103" s="91">
        <v>22614</v>
      </c>
      <c r="J103" s="91">
        <v>22716</v>
      </c>
      <c r="K103" s="91">
        <v>19299</v>
      </c>
      <c r="L103" s="91">
        <v>17192</v>
      </c>
      <c r="M103" s="92">
        <v>36966</v>
      </c>
      <c r="N103" s="227"/>
      <c r="O103" s="17"/>
      <c r="P103" s="17"/>
      <c r="Q103" s="17"/>
      <c r="R103" s="17"/>
      <c r="S103" s="17"/>
      <c r="T103" s="17"/>
      <c r="U103" s="18"/>
      <c r="V103" s="18"/>
      <c r="W103" s="18"/>
      <c r="X103" s="18"/>
      <c r="Y103" s="18"/>
      <c r="Z103" s="18"/>
      <c r="AA103" s="18"/>
      <c r="AB103" s="18"/>
      <c r="AC103" s="18"/>
      <c r="AD103" s="18"/>
      <c r="AE103" s="18" t="str">
        <f t="shared" si="35"/>
        <v>Total Long Term Assets</v>
      </c>
      <c r="AF103" s="85">
        <f t="shared" si="36"/>
        <v>0</v>
      </c>
      <c r="AG103" s="85">
        <f t="shared" si="37"/>
        <v>0</v>
      </c>
      <c r="AH103" s="85">
        <f t="shared" si="38"/>
        <v>0</v>
      </c>
      <c r="AI103" s="85">
        <f t="shared" si="39"/>
        <v>0</v>
      </c>
      <c r="AJ103" s="85">
        <f t="shared" si="40"/>
        <v>0</v>
      </c>
      <c r="AK103" s="85">
        <f t="shared" si="41"/>
        <v>0</v>
      </c>
      <c r="AL103" s="85">
        <f t="shared" si="42"/>
        <v>0</v>
      </c>
      <c r="AM103" s="85">
        <f t="shared" si="43"/>
        <v>0</v>
      </c>
      <c r="AN103" s="18"/>
      <c r="AO103" s="18"/>
      <c r="AP103" s="77" t="s">
        <v>448</v>
      </c>
      <c r="AQ103" s="18">
        <f>_xll.BDH($B$10,"BS_TOT_NON_CUR_ASSET","-10FY","","Per=fy","Days=W","Fill=E","Curr=","DtFmt=P","Sort=D","Dts=H","Dir=H","FILING_STATUS,EQY_CONSOLIDATED","MR,","cols=11;rows=1")</f>
        <v>20832</v>
      </c>
      <c r="AR103" s="18">
        <v>20026</v>
      </c>
      <c r="AS103" s="18">
        <v>19894</v>
      </c>
      <c r="AT103" s="18">
        <v>15891</v>
      </c>
      <c r="AU103" s="18">
        <v>15300</v>
      </c>
      <c r="AV103" s="18">
        <v>19953</v>
      </c>
      <c r="AW103" s="18">
        <v>22614</v>
      </c>
      <c r="AX103" s="18">
        <v>22716</v>
      </c>
      <c r="AY103" s="18">
        <v>19299</v>
      </c>
      <c r="AZ103" s="18">
        <v>17192</v>
      </c>
      <c r="BA103" s="78">
        <v>36966</v>
      </c>
      <c r="BB103" s="18"/>
      <c r="BC103" s="18"/>
      <c r="BD103" s="18"/>
      <c r="BE103" s="18"/>
      <c r="BF103" s="18"/>
      <c r="BG103" s="18"/>
      <c r="BH103" s="18"/>
      <c r="BI103" s="18"/>
      <c r="BJ103" s="18"/>
      <c r="BK103" s="18"/>
      <c r="BL103" s="18"/>
      <c r="BM103" s="18"/>
      <c r="BN103" s="18"/>
      <c r="BO103" s="18"/>
      <c r="BP103" s="18"/>
      <c r="BQ103" s="37">
        <v>43039</v>
      </c>
      <c r="BR103" s="38">
        <v>36409.336300000003</v>
      </c>
      <c r="BS103" s="17"/>
      <c r="BT103" s="37">
        <v>43039</v>
      </c>
      <c r="BU103" s="38">
        <v>2489</v>
      </c>
      <c r="BV103" s="18"/>
      <c r="BW103" s="37"/>
      <c r="BX103" s="38"/>
      <c r="BY103" s="18"/>
      <c r="BZ103" s="39">
        <f t="shared" si="30"/>
        <v>43039</v>
      </c>
      <c r="CA103" s="40">
        <f t="shared" si="31"/>
        <v>36409.336300000003</v>
      </c>
      <c r="CB103" s="17"/>
      <c r="CC103" s="39">
        <f t="shared" si="32"/>
        <v>43039</v>
      </c>
      <c r="CD103" s="40">
        <f t="shared" si="33"/>
        <v>24.89</v>
      </c>
      <c r="CE103" s="18"/>
      <c r="CF103" s="18"/>
      <c r="CG103" s="18"/>
      <c r="CH103" s="18"/>
      <c r="CI103" s="18"/>
      <c r="CJ103" s="18"/>
      <c r="CK103" s="18"/>
      <c r="CL103" s="18"/>
      <c r="CM103" s="18"/>
      <c r="CN103" s="18"/>
      <c r="CO103" s="18"/>
      <c r="CP103" s="18"/>
      <c r="CQ103" s="18"/>
      <c r="CR103" s="18"/>
      <c r="CS103" s="18"/>
      <c r="CT103" s="18"/>
      <c r="CU103" s="18"/>
      <c r="CV103" s="18"/>
      <c r="CW103" s="18"/>
      <c r="CX103" s="18"/>
      <c r="CY103" s="37">
        <v>44903</v>
      </c>
      <c r="CZ103" s="38">
        <v>18.1235</v>
      </c>
      <c r="DA103" s="18"/>
      <c r="DB103" s="37">
        <v>44903</v>
      </c>
      <c r="DC103" s="38">
        <v>18.340399999999999</v>
      </c>
      <c r="DD103" s="18"/>
      <c r="DE103" s="37">
        <v>44903</v>
      </c>
      <c r="DF103" s="38">
        <v>17.1677</v>
      </c>
      <c r="DG103" s="18"/>
      <c r="DH103" s="37">
        <v>44903</v>
      </c>
      <c r="DI103" s="38">
        <v>21.003900000000002</v>
      </c>
      <c r="DJ103" s="18"/>
      <c r="DK103" s="37">
        <v>44903</v>
      </c>
      <c r="DL103" s="38">
        <v>0.12559999999999999</v>
      </c>
      <c r="DM103" s="18"/>
      <c r="DN103" s="18"/>
      <c r="DO103" s="18"/>
      <c r="DP103" s="18"/>
      <c r="DQ103" s="18"/>
      <c r="DR103" s="18"/>
      <c r="DS103" s="18"/>
      <c r="DT103" s="18"/>
      <c r="DU103" s="18"/>
      <c r="DV103" s="18"/>
      <c r="DW103" s="18"/>
      <c r="DX103" s="18"/>
      <c r="DY103" s="18"/>
      <c r="DZ103" s="18"/>
    </row>
    <row r="104" spans="1:130" ht="15" customHeight="1" thickBot="1" x14ac:dyDescent="0.35">
      <c r="A104" s="30" t="s">
        <v>175</v>
      </c>
      <c r="B104" s="73" t="s">
        <v>53</v>
      </c>
      <c r="C104" s="74">
        <v>26270</v>
      </c>
      <c r="D104" s="74">
        <v>25621</v>
      </c>
      <c r="E104" s="74">
        <v>25944</v>
      </c>
      <c r="F104" s="74">
        <v>21415</v>
      </c>
      <c r="G104" s="74">
        <v>20548</v>
      </c>
      <c r="H104" s="74">
        <v>28112</v>
      </c>
      <c r="I104" s="74">
        <v>30659</v>
      </c>
      <c r="J104" s="74">
        <v>31664</v>
      </c>
      <c r="K104" s="74">
        <v>26717</v>
      </c>
      <c r="L104" s="74">
        <v>23808</v>
      </c>
      <c r="M104" s="75">
        <v>44222</v>
      </c>
      <c r="N104" s="227"/>
      <c r="O104" s="17"/>
      <c r="P104" s="17"/>
      <c r="Q104" s="17"/>
      <c r="R104" s="17"/>
      <c r="S104" s="17"/>
      <c r="T104" s="17"/>
      <c r="U104" s="18"/>
      <c r="V104" s="18"/>
      <c r="W104" s="18"/>
      <c r="X104" s="18"/>
      <c r="Y104" s="18"/>
      <c r="Z104" s="18"/>
      <c r="AA104" s="18"/>
      <c r="AB104" s="18"/>
      <c r="AC104" s="18"/>
      <c r="AD104" s="18"/>
      <c r="AE104" s="18" t="str">
        <f t="shared" si="35"/>
        <v>Total Assets</v>
      </c>
      <c r="AF104" s="85">
        <f t="shared" si="36"/>
        <v>0</v>
      </c>
      <c r="AG104" s="85">
        <f t="shared" si="37"/>
        <v>0</v>
      </c>
      <c r="AH104" s="85">
        <f t="shared" si="38"/>
        <v>0</v>
      </c>
      <c r="AI104" s="85">
        <f t="shared" si="39"/>
        <v>0</v>
      </c>
      <c r="AJ104" s="85">
        <f t="shared" si="40"/>
        <v>0</v>
      </c>
      <c r="AK104" s="85">
        <f t="shared" si="41"/>
        <v>0</v>
      </c>
      <c r="AL104" s="85">
        <f t="shared" si="42"/>
        <v>0</v>
      </c>
      <c r="AM104" s="85">
        <f t="shared" si="43"/>
        <v>0</v>
      </c>
      <c r="AN104" s="18"/>
      <c r="AO104" s="18"/>
      <c r="AP104" s="104" t="s">
        <v>53</v>
      </c>
      <c r="AQ104" s="86">
        <f>_xll.BDH($B$10,"BS_TOT_ASSET","-10FY","","Per=fy","Days=W","Fill=E","Curr=","DtFmt=P","Sort=D","Dts=H","Dir=H","FILING_STATUS,EQY_CONSOLIDATED","MR,","cols=11;rows=1")</f>
        <v>26270</v>
      </c>
      <c r="AR104" s="86">
        <v>25621</v>
      </c>
      <c r="AS104" s="86">
        <v>25944</v>
      </c>
      <c r="AT104" s="86">
        <v>21415</v>
      </c>
      <c r="AU104" s="86">
        <v>20548</v>
      </c>
      <c r="AV104" s="86">
        <v>28112</v>
      </c>
      <c r="AW104" s="86">
        <v>30659</v>
      </c>
      <c r="AX104" s="86">
        <v>31664</v>
      </c>
      <c r="AY104" s="86">
        <v>26717</v>
      </c>
      <c r="AZ104" s="86">
        <v>23808</v>
      </c>
      <c r="BA104" s="87">
        <v>44222</v>
      </c>
      <c r="BB104" s="18"/>
      <c r="BC104" s="18"/>
      <c r="BD104" s="18"/>
      <c r="BE104" s="18"/>
      <c r="BF104" s="18"/>
      <c r="BG104" s="18"/>
      <c r="BH104" s="18"/>
      <c r="BI104" s="18"/>
      <c r="BJ104" s="18"/>
      <c r="BK104" s="18"/>
      <c r="BL104" s="18"/>
      <c r="BM104" s="18"/>
      <c r="BN104" s="18"/>
      <c r="BO104" s="18"/>
      <c r="BP104" s="18"/>
      <c r="BQ104" s="37">
        <v>43069</v>
      </c>
      <c r="BR104" s="38">
        <v>32917.72</v>
      </c>
      <c r="BS104" s="17"/>
      <c r="BT104" s="37">
        <v>43069</v>
      </c>
      <c r="BU104" s="38">
        <v>2250</v>
      </c>
      <c r="BV104" s="18"/>
      <c r="BW104" s="37"/>
      <c r="BX104" s="38"/>
      <c r="BY104" s="18"/>
      <c r="BZ104" s="39">
        <f t="shared" si="30"/>
        <v>43069</v>
      </c>
      <c r="CA104" s="40">
        <f t="shared" si="31"/>
        <v>32917.72</v>
      </c>
      <c r="CB104" s="17"/>
      <c r="CC104" s="39">
        <f t="shared" si="32"/>
        <v>43069</v>
      </c>
      <c r="CD104" s="40">
        <f t="shared" si="33"/>
        <v>22.5</v>
      </c>
      <c r="CE104" s="18"/>
      <c r="CF104" s="18"/>
      <c r="CG104" s="18"/>
      <c r="CH104" s="18"/>
      <c r="CI104" s="18"/>
      <c r="CJ104" s="18"/>
      <c r="CK104" s="18"/>
      <c r="CL104" s="18"/>
      <c r="CM104" s="18"/>
      <c r="CN104" s="18"/>
      <c r="CO104" s="18"/>
      <c r="CP104" s="18"/>
      <c r="CQ104" s="18"/>
      <c r="CR104" s="18"/>
      <c r="CS104" s="18"/>
      <c r="CT104" s="18"/>
      <c r="CU104" s="18"/>
      <c r="CV104" s="18"/>
      <c r="CW104" s="18"/>
      <c r="CX104" s="18"/>
      <c r="CY104" s="37">
        <v>44904</v>
      </c>
      <c r="CZ104" s="38">
        <v>18.303799999999999</v>
      </c>
      <c r="DA104" s="18"/>
      <c r="DB104" s="37">
        <v>44904</v>
      </c>
      <c r="DC104" s="38">
        <v>18.5778</v>
      </c>
      <c r="DD104" s="18"/>
      <c r="DE104" s="37">
        <v>44904</v>
      </c>
      <c r="DF104" s="38">
        <v>17.354199999999999</v>
      </c>
      <c r="DG104" s="18"/>
      <c r="DH104" s="37">
        <v>44904</v>
      </c>
      <c r="DI104" s="38">
        <v>21.2882</v>
      </c>
      <c r="DJ104" s="18"/>
      <c r="DK104" s="37">
        <v>44904</v>
      </c>
      <c r="DL104" s="38">
        <v>0.12709999999999999</v>
      </c>
      <c r="DM104" s="18"/>
      <c r="DN104" s="18"/>
      <c r="DO104" s="18"/>
      <c r="DP104" s="18"/>
      <c r="DQ104" s="18"/>
      <c r="DR104" s="18"/>
      <c r="DS104" s="18"/>
      <c r="DT104" s="18"/>
      <c r="DU104" s="18"/>
      <c r="DV104" s="18"/>
      <c r="DW104" s="18"/>
      <c r="DX104" s="18"/>
      <c r="DY104" s="18"/>
      <c r="DZ104" s="18"/>
    </row>
    <row r="105" spans="1:130" ht="15" customHeight="1" x14ac:dyDescent="0.3">
      <c r="A105" s="30" t="s">
        <v>167</v>
      </c>
      <c r="B105" s="90" t="s">
        <v>44</v>
      </c>
      <c r="C105" s="91">
        <v>1324</v>
      </c>
      <c r="D105" s="91">
        <v>1076</v>
      </c>
      <c r="E105" s="91">
        <v>1050</v>
      </c>
      <c r="F105" s="91">
        <v>1328</v>
      </c>
      <c r="G105" s="91">
        <v>1191</v>
      </c>
      <c r="H105" s="91">
        <v>1789</v>
      </c>
      <c r="I105" s="91">
        <v>2401</v>
      </c>
      <c r="J105" s="91">
        <v>2637</v>
      </c>
      <c r="K105" s="91">
        <v>2245</v>
      </c>
      <c r="L105" s="91">
        <v>1894</v>
      </c>
      <c r="M105" s="92">
        <v>1877</v>
      </c>
      <c r="N105" s="227"/>
      <c r="O105" s="17"/>
      <c r="P105" s="17"/>
      <c r="Q105" s="17"/>
      <c r="R105" s="17"/>
      <c r="S105" s="17"/>
      <c r="T105" s="17"/>
      <c r="U105" s="18"/>
      <c r="V105" s="18"/>
      <c r="W105" s="18"/>
      <c r="X105" s="18"/>
      <c r="Y105" s="18"/>
      <c r="Z105" s="18"/>
      <c r="AA105" s="18"/>
      <c r="AB105" s="18"/>
      <c r="AC105" s="18"/>
      <c r="AD105" s="18"/>
      <c r="AE105" s="18" t="str">
        <f t="shared" si="35"/>
        <v>Trade Creditors</v>
      </c>
      <c r="AF105" s="85">
        <f t="shared" si="36"/>
        <v>0</v>
      </c>
      <c r="AG105" s="85">
        <f t="shared" si="37"/>
        <v>0</v>
      </c>
      <c r="AH105" s="85">
        <f t="shared" si="38"/>
        <v>0</v>
      </c>
      <c r="AI105" s="85">
        <f t="shared" si="39"/>
        <v>0</v>
      </c>
      <c r="AJ105" s="85">
        <f t="shared" si="40"/>
        <v>0</v>
      </c>
      <c r="AK105" s="85">
        <f t="shared" si="41"/>
        <v>0</v>
      </c>
      <c r="AL105" s="85">
        <f t="shared" si="42"/>
        <v>0</v>
      </c>
      <c r="AM105" s="85">
        <f t="shared" si="43"/>
        <v>0</v>
      </c>
      <c r="AN105" s="18"/>
      <c r="AO105" s="18"/>
      <c r="AP105" s="77" t="s">
        <v>449</v>
      </c>
      <c r="AQ105" s="18">
        <f>_xll.BDH($B$10,"BS_ACCT_PAYABLE","-10FY","","Per=fy","Days=W","Fill=E","Curr=","DtFmt=P","Sort=D","Dts=H","Dir=H","FILING_STATUS,EQY_CONSOLIDATED","MR,","cols=11;rows=1")</f>
        <v>1324</v>
      </c>
      <c r="AR105" s="18">
        <v>1076</v>
      </c>
      <c r="AS105" s="18">
        <v>1050</v>
      </c>
      <c r="AT105" s="18">
        <v>1328</v>
      </c>
      <c r="AU105" s="18">
        <v>1191</v>
      </c>
      <c r="AV105" s="18">
        <v>1789</v>
      </c>
      <c r="AW105" s="18">
        <v>2401</v>
      </c>
      <c r="AX105" s="18">
        <v>2637</v>
      </c>
      <c r="AY105" s="18">
        <v>2245</v>
      </c>
      <c r="AZ105" s="18">
        <v>1894</v>
      </c>
      <c r="BA105" s="78">
        <v>1877</v>
      </c>
      <c r="BB105" s="18"/>
      <c r="BC105" s="18"/>
      <c r="BD105" s="18"/>
      <c r="BE105" s="18"/>
      <c r="BF105" s="18"/>
      <c r="BG105" s="18"/>
      <c r="BH105" s="18"/>
      <c r="BI105" s="18"/>
      <c r="BJ105" s="18"/>
      <c r="BK105" s="18"/>
      <c r="BL105" s="18"/>
      <c r="BM105" s="18"/>
      <c r="BN105" s="18"/>
      <c r="BO105" s="18"/>
      <c r="BP105" s="18"/>
      <c r="BQ105" s="37">
        <v>43098</v>
      </c>
      <c r="BR105" s="38">
        <v>36987.661599999999</v>
      </c>
      <c r="BS105" s="17"/>
      <c r="BT105" s="37">
        <v>43098</v>
      </c>
      <c r="BU105" s="38">
        <v>2515</v>
      </c>
      <c r="BV105" s="18"/>
      <c r="BW105" s="37"/>
      <c r="BX105" s="38"/>
      <c r="BY105" s="18"/>
      <c r="BZ105" s="39">
        <f t="shared" si="30"/>
        <v>43098</v>
      </c>
      <c r="CA105" s="40">
        <f t="shared" si="31"/>
        <v>36987.661599999999</v>
      </c>
      <c r="CB105" s="17"/>
      <c r="CC105" s="39">
        <f t="shared" si="32"/>
        <v>43098</v>
      </c>
      <c r="CD105" s="40">
        <f t="shared" si="33"/>
        <v>25.150000000000002</v>
      </c>
      <c r="CE105" s="18"/>
      <c r="CF105" s="18"/>
      <c r="CG105" s="18"/>
      <c r="CH105" s="18"/>
      <c r="CI105" s="18"/>
      <c r="CJ105" s="18"/>
      <c r="CK105" s="18"/>
      <c r="CL105" s="18"/>
      <c r="CM105" s="18"/>
      <c r="CN105" s="18"/>
      <c r="CO105" s="18"/>
      <c r="CP105" s="18"/>
      <c r="CQ105" s="18"/>
      <c r="CR105" s="18"/>
      <c r="CS105" s="18"/>
      <c r="CT105" s="18"/>
      <c r="CU105" s="18"/>
      <c r="CV105" s="18"/>
      <c r="CW105" s="18"/>
      <c r="CX105" s="18"/>
      <c r="CY105" s="37">
        <v>44907</v>
      </c>
      <c r="CZ105" s="38">
        <v>18.518599999999999</v>
      </c>
      <c r="DA105" s="18"/>
      <c r="DB105" s="37">
        <v>44907</v>
      </c>
      <c r="DC105" s="38">
        <v>18.785</v>
      </c>
      <c r="DD105" s="18"/>
      <c r="DE105" s="37">
        <v>44907</v>
      </c>
      <c r="DF105" s="38">
        <v>17.581199999999999</v>
      </c>
      <c r="DG105" s="18"/>
      <c r="DH105" s="37">
        <v>44907</v>
      </c>
      <c r="DI105" s="38">
        <v>21.560500000000001</v>
      </c>
      <c r="DJ105" s="18"/>
      <c r="DK105" s="37">
        <v>44907</v>
      </c>
      <c r="DL105" s="38">
        <v>0.1278</v>
      </c>
      <c r="DM105" s="18"/>
      <c r="DN105" s="18"/>
      <c r="DO105" s="18"/>
      <c r="DP105" s="18"/>
      <c r="DQ105" s="18"/>
      <c r="DR105" s="18"/>
      <c r="DS105" s="18"/>
      <c r="DT105" s="18"/>
      <c r="DU105" s="18"/>
      <c r="DV105" s="18"/>
      <c r="DW105" s="18"/>
      <c r="DX105" s="18"/>
      <c r="DY105" s="18"/>
      <c r="DZ105" s="18"/>
    </row>
    <row r="106" spans="1:130" ht="15" customHeight="1" x14ac:dyDescent="0.3">
      <c r="A106" s="30" t="s">
        <v>369</v>
      </c>
      <c r="B106" s="73" t="s">
        <v>1861</v>
      </c>
      <c r="C106" s="74">
        <v>1687</v>
      </c>
      <c r="D106" s="74">
        <v>2359</v>
      </c>
      <c r="E106" s="74">
        <v>1611</v>
      </c>
      <c r="F106" s="74">
        <v>1785</v>
      </c>
      <c r="G106" s="74">
        <v>1062</v>
      </c>
      <c r="H106" s="74">
        <v>1709</v>
      </c>
      <c r="I106" s="74">
        <v>1390</v>
      </c>
      <c r="J106" s="74">
        <v>2237</v>
      </c>
      <c r="K106" s="74">
        <v>1745</v>
      </c>
      <c r="L106" s="74">
        <v>1257</v>
      </c>
      <c r="M106" s="75">
        <v>2375</v>
      </c>
      <c r="N106" s="227"/>
      <c r="O106" s="17"/>
      <c r="P106" s="17"/>
      <c r="Q106" s="17"/>
      <c r="R106" s="17"/>
      <c r="S106" s="17"/>
      <c r="T106" s="17"/>
      <c r="U106" s="18"/>
      <c r="V106" s="18"/>
      <c r="W106" s="18"/>
      <c r="X106" s="18"/>
      <c r="Y106" s="18"/>
      <c r="Z106" s="18"/>
      <c r="AA106" s="18"/>
      <c r="AB106" s="18"/>
      <c r="AC106" s="18"/>
      <c r="AD106" s="18"/>
      <c r="AE106" s="18" t="str">
        <f t="shared" si="35"/>
        <v>Short Term Debt</v>
      </c>
      <c r="AF106" s="85">
        <f t="shared" si="36"/>
        <v>0</v>
      </c>
      <c r="AG106" s="85">
        <f t="shared" si="37"/>
        <v>0</v>
      </c>
      <c r="AH106" s="85">
        <f t="shared" si="38"/>
        <v>0</v>
      </c>
      <c r="AI106" s="85">
        <f t="shared" si="39"/>
        <v>0</v>
      </c>
      <c r="AJ106" s="85">
        <f t="shared" si="40"/>
        <v>0</v>
      </c>
      <c r="AK106" s="85">
        <f t="shared" si="41"/>
        <v>0</v>
      </c>
      <c r="AL106" s="85">
        <f t="shared" si="42"/>
        <v>0</v>
      </c>
      <c r="AM106" s="85">
        <f t="shared" si="43"/>
        <v>0</v>
      </c>
      <c r="AN106" s="18"/>
      <c r="AO106" s="18"/>
      <c r="AP106" s="77" t="s">
        <v>216</v>
      </c>
      <c r="AQ106" s="18">
        <f>_xll.BDH($B$10,"BS_ST_BORROW","-10FY","","Per=fy","Days=W","Fill=E","Curr=","DtFmt=P","Sort=D","Dts=H","Dir=H","FILING_STATUS,EQY_CONSOLIDATED","MR,","cols=11;rows=1")</f>
        <v>1687</v>
      </c>
      <c r="AR106" s="18">
        <v>2359</v>
      </c>
      <c r="AS106" s="18">
        <v>1611</v>
      </c>
      <c r="AT106" s="18">
        <v>1785</v>
      </c>
      <c r="AU106" s="18">
        <v>1062</v>
      </c>
      <c r="AV106" s="18">
        <v>1709</v>
      </c>
      <c r="AW106" s="18">
        <v>1390</v>
      </c>
      <c r="AX106" s="18">
        <v>2237</v>
      </c>
      <c r="AY106" s="18">
        <v>1745</v>
      </c>
      <c r="AZ106" s="18">
        <v>1257</v>
      </c>
      <c r="BA106" s="78">
        <v>2375</v>
      </c>
      <c r="BB106" s="18"/>
      <c r="BC106" s="18"/>
      <c r="BD106" s="18"/>
      <c r="BE106" s="18"/>
      <c r="BF106" s="18"/>
      <c r="BG106" s="18"/>
      <c r="BH106" s="18"/>
      <c r="BI106" s="18"/>
      <c r="BJ106" s="18"/>
      <c r="BK106" s="18"/>
      <c r="BL106" s="18"/>
      <c r="BM106" s="18"/>
      <c r="BN106" s="18"/>
      <c r="BO106" s="18"/>
      <c r="BP106" s="18"/>
      <c r="BQ106" s="37">
        <v>43131</v>
      </c>
      <c r="BR106" s="38">
        <v>38311.275699999998</v>
      </c>
      <c r="BS106" s="17"/>
      <c r="BT106" s="37">
        <v>43131</v>
      </c>
      <c r="BU106" s="38">
        <v>2605</v>
      </c>
      <c r="BV106" s="18"/>
      <c r="BW106" s="37"/>
      <c r="BX106" s="38"/>
      <c r="BY106" s="18"/>
      <c r="BZ106" s="39">
        <f t="shared" si="30"/>
        <v>43131</v>
      </c>
      <c r="CA106" s="40">
        <f t="shared" si="31"/>
        <v>38311.275699999998</v>
      </c>
      <c r="CB106" s="17"/>
      <c r="CC106" s="39">
        <f t="shared" si="32"/>
        <v>43131</v>
      </c>
      <c r="CD106" s="40">
        <f t="shared" si="33"/>
        <v>26.05</v>
      </c>
      <c r="CE106" s="18"/>
      <c r="CF106" s="18"/>
      <c r="CG106" s="18"/>
      <c r="CH106" s="18"/>
      <c r="CI106" s="18"/>
      <c r="CJ106" s="18"/>
      <c r="CK106" s="18"/>
      <c r="CL106" s="18"/>
      <c r="CM106" s="18"/>
      <c r="CN106" s="18"/>
      <c r="CO106" s="18"/>
      <c r="CP106" s="18"/>
      <c r="CQ106" s="18"/>
      <c r="CR106" s="18"/>
      <c r="CS106" s="18"/>
      <c r="CT106" s="18"/>
      <c r="CU106" s="18"/>
      <c r="CV106" s="18"/>
      <c r="CW106" s="18"/>
      <c r="CX106" s="18"/>
      <c r="CY106" s="37">
        <v>44908</v>
      </c>
      <c r="CZ106" s="38">
        <v>18.332599999999999</v>
      </c>
      <c r="DA106" s="18"/>
      <c r="DB106" s="37">
        <v>44908</v>
      </c>
      <c r="DC106" s="38">
        <v>18.5747</v>
      </c>
      <c r="DD106" s="18"/>
      <c r="DE106" s="37">
        <v>44908</v>
      </c>
      <c r="DF106" s="38">
        <v>17.252500000000001</v>
      </c>
      <c r="DG106" s="18"/>
      <c r="DH106" s="37">
        <v>44908</v>
      </c>
      <c r="DI106" s="38">
        <v>21.3156</v>
      </c>
      <c r="DJ106" s="18"/>
      <c r="DK106" s="37">
        <v>44908</v>
      </c>
      <c r="DL106" s="38">
        <v>0.1273</v>
      </c>
      <c r="DM106" s="18"/>
      <c r="DN106" s="18"/>
      <c r="DO106" s="18"/>
      <c r="DP106" s="18"/>
      <c r="DQ106" s="18"/>
      <c r="DR106" s="18"/>
      <c r="DS106" s="18"/>
      <c r="DT106" s="18"/>
      <c r="DU106" s="18"/>
      <c r="DV106" s="18"/>
      <c r="DW106" s="18"/>
      <c r="DX106" s="18"/>
      <c r="DY106" s="18"/>
      <c r="DZ106" s="18"/>
    </row>
    <row r="107" spans="1:130" ht="15" customHeight="1" x14ac:dyDescent="0.3">
      <c r="A107" s="30" t="s">
        <v>1803</v>
      </c>
      <c r="B107" s="73" t="s">
        <v>1806</v>
      </c>
      <c r="C107" s="74">
        <v>1105</v>
      </c>
      <c r="D107" s="74">
        <v>1851</v>
      </c>
      <c r="E107" s="74">
        <v>1112</v>
      </c>
      <c r="F107" s="74">
        <v>1782</v>
      </c>
      <c r="G107" s="74">
        <v>1054</v>
      </c>
      <c r="H107" s="74">
        <v>1632</v>
      </c>
      <c r="I107" s="74">
        <v>1316</v>
      </c>
      <c r="J107" s="74">
        <v>1207</v>
      </c>
      <c r="K107" s="74">
        <v>1234</v>
      </c>
      <c r="L107" s="74">
        <v>877</v>
      </c>
      <c r="M107" s="75">
        <v>1141</v>
      </c>
      <c r="N107" s="227"/>
      <c r="O107" s="17"/>
      <c r="P107" s="17"/>
      <c r="Q107" s="17"/>
      <c r="R107" s="17"/>
      <c r="S107" s="17"/>
      <c r="T107" s="17"/>
      <c r="U107" s="18"/>
      <c r="V107" s="18"/>
      <c r="W107" s="18"/>
      <c r="X107" s="18"/>
      <c r="Y107" s="18"/>
      <c r="Z107" s="18"/>
      <c r="AA107" s="18"/>
      <c r="AB107" s="18"/>
      <c r="AC107" s="18"/>
      <c r="AD107" s="18"/>
      <c r="AE107" s="18"/>
      <c r="AF107" s="85"/>
      <c r="AG107" s="85"/>
      <c r="AH107" s="85"/>
      <c r="AI107" s="85"/>
      <c r="AJ107" s="85"/>
      <c r="AK107" s="85"/>
      <c r="AL107" s="85"/>
      <c r="AM107" s="85"/>
      <c r="AN107" s="18"/>
      <c r="AO107" s="18"/>
      <c r="AP107" s="77"/>
      <c r="AQ107" s="18"/>
      <c r="AR107" s="18"/>
      <c r="AS107" s="18"/>
      <c r="AT107" s="18"/>
      <c r="AU107" s="18"/>
      <c r="AV107" s="18"/>
      <c r="AW107" s="18"/>
      <c r="AX107" s="18"/>
      <c r="AY107" s="18"/>
      <c r="AZ107" s="18"/>
      <c r="BA107" s="78"/>
      <c r="BB107" s="18"/>
      <c r="BC107" s="18"/>
      <c r="BD107" s="18"/>
      <c r="BE107" s="18"/>
      <c r="BF107" s="18"/>
      <c r="BG107" s="18"/>
      <c r="BH107" s="18"/>
      <c r="BI107" s="18"/>
      <c r="BJ107" s="18"/>
      <c r="BK107" s="18"/>
      <c r="BL107" s="18"/>
      <c r="BM107" s="18"/>
      <c r="BN107" s="18"/>
      <c r="BO107" s="18"/>
      <c r="BP107" s="18"/>
      <c r="BQ107" s="37">
        <v>43159</v>
      </c>
      <c r="BR107" s="38">
        <v>37502.400399999999</v>
      </c>
      <c r="BS107" s="17"/>
      <c r="BT107" s="37">
        <v>43159</v>
      </c>
      <c r="BU107" s="38">
        <v>2550</v>
      </c>
      <c r="BV107" s="18"/>
      <c r="BW107" s="37"/>
      <c r="BX107" s="38"/>
      <c r="BY107" s="18"/>
      <c r="BZ107" s="39">
        <f t="shared" si="30"/>
        <v>43159</v>
      </c>
      <c r="CA107" s="40">
        <f t="shared" si="31"/>
        <v>37502.400399999999</v>
      </c>
      <c r="CB107" s="17"/>
      <c r="CC107" s="39">
        <f t="shared" si="32"/>
        <v>43159</v>
      </c>
      <c r="CD107" s="40">
        <f t="shared" si="33"/>
        <v>25.5</v>
      </c>
      <c r="CE107" s="18"/>
      <c r="CF107" s="18"/>
      <c r="CG107" s="18"/>
      <c r="CH107" s="18"/>
      <c r="CI107" s="18"/>
      <c r="CJ107" s="18"/>
      <c r="CK107" s="18"/>
      <c r="CL107" s="18"/>
      <c r="CM107" s="18"/>
      <c r="CN107" s="18"/>
      <c r="CO107" s="18"/>
      <c r="CP107" s="18"/>
      <c r="CQ107" s="18"/>
      <c r="CR107" s="18"/>
      <c r="CS107" s="18"/>
      <c r="CT107" s="18"/>
      <c r="CU107" s="18"/>
      <c r="CV107" s="18"/>
      <c r="CW107" s="18"/>
      <c r="CX107" s="18"/>
      <c r="CY107" s="37">
        <v>44909</v>
      </c>
      <c r="CZ107" s="38">
        <v>18.334199999999999</v>
      </c>
      <c r="DA107" s="18"/>
      <c r="DB107" s="37">
        <v>44909</v>
      </c>
      <c r="DC107" s="38">
        <v>18.580500000000001</v>
      </c>
      <c r="DD107" s="18"/>
      <c r="DE107" s="37">
        <v>44909</v>
      </c>
      <c r="DF107" s="38">
        <v>17.172599999999999</v>
      </c>
      <c r="DG107" s="18"/>
      <c r="DH107" s="37">
        <v>44909</v>
      </c>
      <c r="DI107" s="38">
        <v>21.3215</v>
      </c>
      <c r="DJ107" s="18"/>
      <c r="DK107" s="37">
        <v>44909</v>
      </c>
      <c r="DL107" s="38">
        <v>0.12690000000000001</v>
      </c>
      <c r="DM107" s="18"/>
      <c r="DN107" s="18"/>
      <c r="DO107" s="18"/>
      <c r="DP107" s="18"/>
      <c r="DQ107" s="18"/>
      <c r="DR107" s="18"/>
      <c r="DS107" s="18"/>
      <c r="DT107" s="18"/>
      <c r="DU107" s="18"/>
      <c r="DV107" s="18"/>
      <c r="DW107" s="18"/>
      <c r="DX107" s="18"/>
      <c r="DY107" s="18"/>
      <c r="DZ107" s="18"/>
    </row>
    <row r="108" spans="1:130" ht="15" customHeight="1" x14ac:dyDescent="0.3">
      <c r="A108" s="30"/>
      <c r="B108" s="613" t="s">
        <v>1804</v>
      </c>
      <c r="C108" s="614">
        <f t="shared" ref="C108:M108" si="44">IF(ISNUMBER(C107),C107,C106-C109)</f>
        <v>1105</v>
      </c>
      <c r="D108" s="614">
        <f t="shared" si="44"/>
        <v>1851</v>
      </c>
      <c r="E108" s="614">
        <f t="shared" si="44"/>
        <v>1112</v>
      </c>
      <c r="F108" s="614">
        <f t="shared" si="44"/>
        <v>1782</v>
      </c>
      <c r="G108" s="614">
        <f t="shared" si="44"/>
        <v>1054</v>
      </c>
      <c r="H108" s="614">
        <f t="shared" si="44"/>
        <v>1632</v>
      </c>
      <c r="I108" s="614">
        <f t="shared" si="44"/>
        <v>1316</v>
      </c>
      <c r="J108" s="614">
        <f t="shared" si="44"/>
        <v>1207</v>
      </c>
      <c r="K108" s="614">
        <f t="shared" si="44"/>
        <v>1234</v>
      </c>
      <c r="L108" s="614">
        <f t="shared" si="44"/>
        <v>877</v>
      </c>
      <c r="M108" s="615">
        <f t="shared" si="44"/>
        <v>1141</v>
      </c>
      <c r="N108" s="227"/>
      <c r="O108" s="17"/>
      <c r="P108" s="17"/>
      <c r="Q108" s="17"/>
      <c r="R108" s="17"/>
      <c r="S108" s="17"/>
      <c r="T108" s="17"/>
      <c r="U108" s="18"/>
      <c r="V108" s="18"/>
      <c r="W108" s="18"/>
      <c r="X108" s="18"/>
      <c r="Y108" s="18"/>
      <c r="Z108" s="18"/>
      <c r="AA108" s="18"/>
      <c r="AB108" s="18"/>
      <c r="AC108" s="18"/>
      <c r="AD108" s="18"/>
      <c r="AE108" s="18"/>
      <c r="AF108" s="85"/>
      <c r="AG108" s="85"/>
      <c r="AH108" s="85"/>
      <c r="AI108" s="85"/>
      <c r="AJ108" s="85"/>
      <c r="AK108" s="85"/>
      <c r="AL108" s="85"/>
      <c r="AM108" s="85"/>
      <c r="AN108" s="18"/>
      <c r="AO108" s="18"/>
      <c r="AP108" s="77"/>
      <c r="AQ108" s="18"/>
      <c r="AR108" s="18"/>
      <c r="AS108" s="18"/>
      <c r="AT108" s="18"/>
      <c r="AU108" s="18"/>
      <c r="AV108" s="18"/>
      <c r="AW108" s="18"/>
      <c r="AX108" s="18"/>
      <c r="AY108" s="18"/>
      <c r="AZ108" s="18"/>
      <c r="BA108" s="78"/>
      <c r="BB108" s="18"/>
      <c r="BC108" s="18"/>
      <c r="BD108" s="18"/>
      <c r="BE108" s="18"/>
      <c r="BF108" s="18"/>
      <c r="BG108" s="18"/>
      <c r="BH108" s="18"/>
      <c r="BI108" s="18"/>
      <c r="BJ108" s="18"/>
      <c r="BK108" s="18"/>
      <c r="BL108" s="18"/>
      <c r="BM108" s="18"/>
      <c r="BN108" s="18"/>
      <c r="BO108" s="18"/>
      <c r="BP108" s="18"/>
      <c r="BQ108" s="37">
        <v>43188</v>
      </c>
      <c r="BR108" s="38">
        <v>41179.106399999997</v>
      </c>
      <c r="BS108" s="17"/>
      <c r="BT108" s="37">
        <v>43188</v>
      </c>
      <c r="BU108" s="38">
        <v>2800</v>
      </c>
      <c r="BV108" s="18"/>
      <c r="BW108" s="37"/>
      <c r="BX108" s="38"/>
      <c r="BY108" s="18"/>
      <c r="BZ108" s="39">
        <f t="shared" si="30"/>
        <v>43188</v>
      </c>
      <c r="CA108" s="40">
        <f t="shared" si="31"/>
        <v>41179.106399999997</v>
      </c>
      <c r="CB108" s="17"/>
      <c r="CC108" s="39">
        <f t="shared" si="32"/>
        <v>43188</v>
      </c>
      <c r="CD108" s="40">
        <f t="shared" si="33"/>
        <v>28</v>
      </c>
      <c r="CE108" s="18"/>
      <c r="CF108" s="18"/>
      <c r="CG108" s="18"/>
      <c r="CH108" s="18"/>
      <c r="CI108" s="18"/>
      <c r="CJ108" s="18"/>
      <c r="CK108" s="18"/>
      <c r="CL108" s="18"/>
      <c r="CM108" s="18"/>
      <c r="CN108" s="18"/>
      <c r="CO108" s="18"/>
      <c r="CP108" s="18"/>
      <c r="CQ108" s="18"/>
      <c r="CR108" s="18"/>
      <c r="CS108" s="18"/>
      <c r="CT108" s="18"/>
      <c r="CU108" s="18"/>
      <c r="CV108" s="18"/>
      <c r="CW108" s="18"/>
      <c r="CX108" s="18"/>
      <c r="CY108" s="37">
        <v>44910</v>
      </c>
      <c r="CZ108" s="38">
        <v>18.632999999999999</v>
      </c>
      <c r="DA108" s="18"/>
      <c r="DB108" s="37">
        <v>44910</v>
      </c>
      <c r="DC108" s="38">
        <v>18.860199999999999</v>
      </c>
      <c r="DD108" s="18"/>
      <c r="DE108" s="37">
        <v>44910</v>
      </c>
      <c r="DF108" s="38">
        <v>17.4909</v>
      </c>
      <c r="DG108" s="18"/>
      <c r="DH108" s="37">
        <v>44910</v>
      </c>
      <c r="DI108" s="38">
        <v>21.330400000000001</v>
      </c>
      <c r="DJ108" s="18"/>
      <c r="DK108" s="37">
        <v>44910</v>
      </c>
      <c r="DL108" s="38">
        <v>0.127</v>
      </c>
      <c r="DM108" s="18"/>
      <c r="DN108" s="18"/>
      <c r="DO108" s="18"/>
      <c r="DP108" s="18"/>
      <c r="DQ108" s="18"/>
      <c r="DR108" s="18"/>
      <c r="DS108" s="18"/>
      <c r="DT108" s="18"/>
      <c r="DU108" s="18"/>
      <c r="DV108" s="18"/>
      <c r="DW108" s="18"/>
      <c r="DX108" s="18"/>
      <c r="DY108" s="18"/>
      <c r="DZ108" s="18"/>
    </row>
    <row r="109" spans="1:130" ht="15" customHeight="1" x14ac:dyDescent="0.3">
      <c r="A109" s="30"/>
      <c r="B109" s="616" t="s">
        <v>1802</v>
      </c>
      <c r="C109" s="617">
        <f t="shared" ref="C109:M109" si="45">SUM(C110:C112)</f>
        <v>582</v>
      </c>
      <c r="D109" s="617">
        <f t="shared" si="45"/>
        <v>508</v>
      </c>
      <c r="E109" s="617">
        <f t="shared" si="45"/>
        <v>499</v>
      </c>
      <c r="F109" s="617">
        <f t="shared" si="45"/>
        <v>3</v>
      </c>
      <c r="G109" s="617">
        <f t="shared" si="45"/>
        <v>8</v>
      </c>
      <c r="H109" s="617">
        <f t="shared" si="45"/>
        <v>77</v>
      </c>
      <c r="I109" s="617">
        <f t="shared" si="45"/>
        <v>74</v>
      </c>
      <c r="J109" s="617">
        <f t="shared" si="45"/>
        <v>0</v>
      </c>
      <c r="K109" s="617">
        <f t="shared" si="45"/>
        <v>0</v>
      </c>
      <c r="L109" s="617">
        <f t="shared" si="45"/>
        <v>0</v>
      </c>
      <c r="M109" s="618">
        <f t="shared" si="45"/>
        <v>0</v>
      </c>
      <c r="N109" s="227"/>
      <c r="O109" s="17"/>
      <c r="P109" s="17"/>
      <c r="Q109" s="17"/>
      <c r="R109" s="17"/>
      <c r="S109" s="17"/>
      <c r="T109" s="17"/>
      <c r="U109" s="18"/>
      <c r="V109" s="18"/>
      <c r="W109" s="18"/>
      <c r="X109" s="18"/>
      <c r="Y109" s="18"/>
      <c r="Z109" s="18"/>
      <c r="AA109" s="18"/>
      <c r="AB109" s="18"/>
      <c r="AC109" s="18"/>
      <c r="AD109" s="18"/>
      <c r="AE109" s="18"/>
      <c r="AF109" s="85"/>
      <c r="AG109" s="85"/>
      <c r="AH109" s="85"/>
      <c r="AI109" s="85"/>
      <c r="AJ109" s="85"/>
      <c r="AK109" s="85"/>
      <c r="AL109" s="85"/>
      <c r="AM109" s="85"/>
      <c r="AN109" s="18"/>
      <c r="AO109" s="18"/>
      <c r="AP109" s="77"/>
      <c r="AQ109" s="18"/>
      <c r="AR109" s="18"/>
      <c r="AS109" s="18"/>
      <c r="AT109" s="18"/>
      <c r="AU109" s="18"/>
      <c r="AV109" s="18"/>
      <c r="AW109" s="18"/>
      <c r="AX109" s="18"/>
      <c r="AY109" s="18"/>
      <c r="AZ109" s="18"/>
      <c r="BA109" s="78"/>
      <c r="BB109" s="18"/>
      <c r="BC109" s="18"/>
      <c r="BD109" s="18"/>
      <c r="BE109" s="18"/>
      <c r="BF109" s="18"/>
      <c r="BG109" s="18"/>
      <c r="BH109" s="18"/>
      <c r="BI109" s="18"/>
      <c r="BJ109" s="18"/>
      <c r="BK109" s="18"/>
      <c r="BL109" s="18"/>
      <c r="BM109" s="18"/>
      <c r="BN109" s="18"/>
      <c r="BO109" s="18"/>
      <c r="BP109" s="18"/>
      <c r="BQ109" s="37">
        <v>43220</v>
      </c>
      <c r="BR109" s="38">
        <v>45576.446600000003</v>
      </c>
      <c r="BS109" s="17"/>
      <c r="BT109" s="37">
        <v>43220</v>
      </c>
      <c r="BU109" s="38">
        <v>3099</v>
      </c>
      <c r="BV109" s="18"/>
      <c r="BW109" s="37"/>
      <c r="BX109" s="38"/>
      <c r="BY109" s="18"/>
      <c r="BZ109" s="39">
        <f t="shared" si="30"/>
        <v>43220</v>
      </c>
      <c r="CA109" s="40">
        <f t="shared" si="31"/>
        <v>45576.446600000003</v>
      </c>
      <c r="CB109" s="17"/>
      <c r="CC109" s="39">
        <f t="shared" si="32"/>
        <v>43220</v>
      </c>
      <c r="CD109" s="40">
        <f t="shared" si="33"/>
        <v>30.990000000000002</v>
      </c>
      <c r="CE109" s="18"/>
      <c r="CF109" s="18"/>
      <c r="CG109" s="18"/>
      <c r="CH109" s="18"/>
      <c r="CI109" s="18"/>
      <c r="CJ109" s="18"/>
      <c r="CK109" s="18"/>
      <c r="CL109" s="18"/>
      <c r="CM109" s="18"/>
      <c r="CN109" s="18"/>
      <c r="CO109" s="18"/>
      <c r="CP109" s="18"/>
      <c r="CQ109" s="18"/>
      <c r="CR109" s="18"/>
      <c r="CS109" s="18"/>
      <c r="CT109" s="18"/>
      <c r="CU109" s="18"/>
      <c r="CV109" s="18"/>
      <c r="CW109" s="18"/>
      <c r="CX109" s="18"/>
      <c r="CY109" s="37">
        <v>44914</v>
      </c>
      <c r="CZ109" s="38">
        <v>18.405200000000001</v>
      </c>
      <c r="DA109" s="18"/>
      <c r="DB109" s="37">
        <v>44914</v>
      </c>
      <c r="DC109" s="38">
        <v>18.678599999999999</v>
      </c>
      <c r="DD109" s="18"/>
      <c r="DE109" s="37">
        <v>44914</v>
      </c>
      <c r="DF109" s="38">
        <v>17.346699999999998</v>
      </c>
      <c r="DG109" s="18"/>
      <c r="DH109" s="37">
        <v>44914</v>
      </c>
      <c r="DI109" s="38">
        <v>21.084700000000002</v>
      </c>
      <c r="DJ109" s="18"/>
      <c r="DK109" s="37">
        <v>44914</v>
      </c>
      <c r="DL109" s="38">
        <v>0.12670000000000001</v>
      </c>
      <c r="DM109" s="18"/>
      <c r="DN109" s="18"/>
      <c r="DO109" s="18"/>
      <c r="DP109" s="18"/>
      <c r="DQ109" s="18"/>
      <c r="DR109" s="18"/>
      <c r="DS109" s="18"/>
      <c r="DT109" s="18"/>
      <c r="DU109" s="18"/>
      <c r="DV109" s="18"/>
      <c r="DW109" s="18"/>
      <c r="DX109" s="18"/>
      <c r="DY109" s="18"/>
      <c r="DZ109" s="18"/>
    </row>
    <row r="110" spans="1:130" ht="15" customHeight="1" x14ac:dyDescent="0.3">
      <c r="A110" s="30" t="s">
        <v>825</v>
      </c>
      <c r="B110" s="73" t="s">
        <v>826</v>
      </c>
      <c r="C110" s="74" t="s">
        <v>615</v>
      </c>
      <c r="D110" s="74" t="s">
        <v>615</v>
      </c>
      <c r="E110" s="74" t="s">
        <v>615</v>
      </c>
      <c r="F110" s="74">
        <v>3</v>
      </c>
      <c r="G110" s="74">
        <v>8</v>
      </c>
      <c r="H110" s="74">
        <v>77</v>
      </c>
      <c r="I110" s="74">
        <v>74</v>
      </c>
      <c r="J110" s="74" t="s">
        <v>615</v>
      </c>
      <c r="K110" s="74" t="s">
        <v>615</v>
      </c>
      <c r="L110" s="74" t="s">
        <v>615</v>
      </c>
      <c r="M110" s="75" t="s">
        <v>615</v>
      </c>
      <c r="N110" s="227"/>
      <c r="O110" s="17"/>
      <c r="P110" s="17"/>
      <c r="Q110" s="17"/>
      <c r="R110" s="17"/>
      <c r="S110" s="17"/>
      <c r="T110" s="17"/>
      <c r="U110" s="18"/>
      <c r="V110" s="18"/>
      <c r="W110" s="18"/>
      <c r="X110" s="18"/>
      <c r="Y110" s="18"/>
      <c r="Z110" s="18"/>
      <c r="AA110" s="18"/>
      <c r="AB110" s="18"/>
      <c r="AC110" s="18"/>
      <c r="AD110" s="18"/>
      <c r="AE110" s="18"/>
      <c r="AF110" s="85"/>
      <c r="AG110" s="85"/>
      <c r="AH110" s="85"/>
      <c r="AI110" s="85"/>
      <c r="AJ110" s="85"/>
      <c r="AK110" s="85"/>
      <c r="AL110" s="85"/>
      <c r="AM110" s="85"/>
      <c r="AN110" s="18"/>
      <c r="AO110" s="18"/>
      <c r="AP110" s="77"/>
      <c r="AQ110" s="18"/>
      <c r="AR110" s="18"/>
      <c r="AS110" s="18"/>
      <c r="AT110" s="18"/>
      <c r="AU110" s="18"/>
      <c r="AV110" s="18"/>
      <c r="AW110" s="18"/>
      <c r="AX110" s="18"/>
      <c r="AY110" s="18"/>
      <c r="AZ110" s="18"/>
      <c r="BA110" s="78"/>
      <c r="BB110" s="18"/>
      <c r="BC110" s="18"/>
      <c r="BD110" s="18"/>
      <c r="BE110" s="18"/>
      <c r="BF110" s="18"/>
      <c r="BG110" s="18"/>
      <c r="BH110" s="18"/>
      <c r="BI110" s="18"/>
      <c r="BJ110" s="18"/>
      <c r="BK110" s="18"/>
      <c r="BL110" s="18"/>
      <c r="BM110" s="18"/>
      <c r="BN110" s="18"/>
      <c r="BO110" s="18"/>
      <c r="BP110" s="18"/>
      <c r="BQ110" s="37">
        <v>43251</v>
      </c>
      <c r="BR110" s="38">
        <v>43546.904999999999</v>
      </c>
      <c r="BS110" s="17"/>
      <c r="BT110" s="37">
        <v>43251</v>
      </c>
      <c r="BU110" s="38">
        <v>2961</v>
      </c>
      <c r="BV110" s="18"/>
      <c r="BW110" s="37"/>
      <c r="BX110" s="38"/>
      <c r="BY110" s="18"/>
      <c r="BZ110" s="39">
        <f t="shared" si="30"/>
        <v>43251</v>
      </c>
      <c r="CA110" s="40">
        <f t="shared" si="31"/>
        <v>43546.904999999999</v>
      </c>
      <c r="CB110" s="17"/>
      <c r="CC110" s="39">
        <f t="shared" si="32"/>
        <v>43251</v>
      </c>
      <c r="CD110" s="40">
        <f t="shared" si="33"/>
        <v>29.61</v>
      </c>
      <c r="CE110" s="18"/>
      <c r="CF110" s="18"/>
      <c r="CG110" s="18"/>
      <c r="CH110" s="18"/>
      <c r="CI110" s="18"/>
      <c r="CJ110" s="18"/>
      <c r="CK110" s="18"/>
      <c r="CL110" s="18"/>
      <c r="CM110" s="18"/>
      <c r="CN110" s="18"/>
      <c r="CO110" s="18"/>
      <c r="CP110" s="18"/>
      <c r="CQ110" s="18"/>
      <c r="CR110" s="18"/>
      <c r="CS110" s="18"/>
      <c r="CT110" s="18"/>
      <c r="CU110" s="18"/>
      <c r="CV110" s="18"/>
      <c r="CW110" s="18"/>
      <c r="CX110" s="18"/>
      <c r="CY110" s="37">
        <v>44915</v>
      </c>
      <c r="CZ110" s="38">
        <v>18.404399999999999</v>
      </c>
      <c r="DA110" s="18"/>
      <c r="DB110" s="37">
        <v>44915</v>
      </c>
      <c r="DC110" s="38">
        <v>18.699300000000001</v>
      </c>
      <c r="DD110" s="18"/>
      <c r="DE110" s="37">
        <v>44915</v>
      </c>
      <c r="DF110" s="38">
        <v>17.3231</v>
      </c>
      <c r="DG110" s="18"/>
      <c r="DH110" s="37">
        <v>44915</v>
      </c>
      <c r="DI110" s="38">
        <v>21.107199999999999</v>
      </c>
      <c r="DJ110" s="18"/>
      <c r="DK110" s="37">
        <v>44915</v>
      </c>
      <c r="DL110" s="38">
        <v>0.1313</v>
      </c>
      <c r="DM110" s="18"/>
      <c r="DN110" s="18"/>
      <c r="DO110" s="18"/>
      <c r="DP110" s="18"/>
      <c r="DQ110" s="18"/>
      <c r="DR110" s="18"/>
      <c r="DS110" s="18"/>
      <c r="DT110" s="18"/>
      <c r="DU110" s="18"/>
      <c r="DV110" s="18"/>
      <c r="DW110" s="18"/>
      <c r="DX110" s="18"/>
      <c r="DY110" s="18"/>
      <c r="DZ110" s="18"/>
    </row>
    <row r="111" spans="1:130" ht="15" customHeight="1" x14ac:dyDescent="0.3">
      <c r="A111" s="30" t="s">
        <v>1796</v>
      </c>
      <c r="B111" s="73" t="s">
        <v>1797</v>
      </c>
      <c r="C111" s="74" t="s">
        <v>615</v>
      </c>
      <c r="D111" s="74" t="s">
        <v>615</v>
      </c>
      <c r="E111" s="74" t="s">
        <v>615</v>
      </c>
      <c r="F111" s="74" t="s">
        <v>615</v>
      </c>
      <c r="G111" s="74" t="s">
        <v>615</v>
      </c>
      <c r="H111" s="74" t="s">
        <v>615</v>
      </c>
      <c r="I111" s="74" t="s">
        <v>615</v>
      </c>
      <c r="J111" s="74" t="s">
        <v>615</v>
      </c>
      <c r="K111" s="74" t="s">
        <v>615</v>
      </c>
      <c r="L111" s="74" t="s">
        <v>615</v>
      </c>
      <c r="M111" s="75" t="s">
        <v>615</v>
      </c>
      <c r="N111" s="227"/>
      <c r="O111" s="17"/>
      <c r="P111" s="17"/>
      <c r="Q111" s="17"/>
      <c r="R111" s="17"/>
      <c r="S111" s="17"/>
      <c r="T111" s="17"/>
      <c r="U111" s="18"/>
      <c r="V111" s="18"/>
      <c r="W111" s="18"/>
      <c r="X111" s="18"/>
      <c r="Y111" s="18"/>
      <c r="Z111" s="18"/>
      <c r="AA111" s="18"/>
      <c r="AB111" s="18"/>
      <c r="AC111" s="18"/>
      <c r="AD111" s="18"/>
      <c r="AE111" s="18"/>
      <c r="AF111" s="85"/>
      <c r="AG111" s="85"/>
      <c r="AH111" s="85"/>
      <c r="AI111" s="85"/>
      <c r="AJ111" s="85"/>
      <c r="AK111" s="85"/>
      <c r="AL111" s="85"/>
      <c r="AM111" s="85"/>
      <c r="AN111" s="18"/>
      <c r="AO111" s="18"/>
      <c r="AP111" s="77"/>
      <c r="AQ111" s="18"/>
      <c r="AR111" s="18"/>
      <c r="AS111" s="18"/>
      <c r="AT111" s="18"/>
      <c r="AU111" s="18"/>
      <c r="AV111" s="18"/>
      <c r="AW111" s="18"/>
      <c r="AX111" s="18"/>
      <c r="AY111" s="18"/>
      <c r="AZ111" s="18"/>
      <c r="BA111" s="78"/>
      <c r="BB111" s="18"/>
      <c r="BC111" s="18"/>
      <c r="BD111" s="18"/>
      <c r="BE111" s="18"/>
      <c r="BF111" s="18"/>
      <c r="BG111" s="18"/>
      <c r="BH111" s="18"/>
      <c r="BI111" s="18"/>
      <c r="BJ111" s="18"/>
      <c r="BK111" s="18"/>
      <c r="BL111" s="18"/>
      <c r="BM111" s="18"/>
      <c r="BN111" s="18"/>
      <c r="BO111" s="18"/>
      <c r="BP111" s="18"/>
      <c r="BQ111" s="37">
        <v>43280</v>
      </c>
      <c r="BR111" s="38">
        <v>40629.290099999998</v>
      </c>
      <c r="BS111" s="17"/>
      <c r="BT111" s="37">
        <v>43280</v>
      </c>
      <c r="BU111" s="38">
        <v>2762</v>
      </c>
      <c r="BV111" s="18"/>
      <c r="BW111" s="37"/>
      <c r="BX111" s="38"/>
      <c r="BY111" s="18"/>
      <c r="BZ111" s="39">
        <f t="shared" si="30"/>
        <v>43280</v>
      </c>
      <c r="CA111" s="40">
        <f t="shared" si="31"/>
        <v>40629.290099999998</v>
      </c>
      <c r="CB111" s="17"/>
      <c r="CC111" s="39">
        <f t="shared" si="32"/>
        <v>43280</v>
      </c>
      <c r="CD111" s="40">
        <f t="shared" si="33"/>
        <v>27.62</v>
      </c>
      <c r="CE111" s="18"/>
      <c r="CF111" s="18"/>
      <c r="CG111" s="18"/>
      <c r="CH111" s="18"/>
      <c r="CI111" s="18"/>
      <c r="CJ111" s="18"/>
      <c r="CK111" s="18"/>
      <c r="CL111" s="18"/>
      <c r="CM111" s="18"/>
      <c r="CN111" s="18"/>
      <c r="CO111" s="18"/>
      <c r="CP111" s="18"/>
      <c r="CQ111" s="18"/>
      <c r="CR111" s="18"/>
      <c r="CS111" s="18"/>
      <c r="CT111" s="18"/>
      <c r="CU111" s="18"/>
      <c r="CV111" s="18"/>
      <c r="CW111" s="18"/>
      <c r="CX111" s="18"/>
      <c r="CY111" s="37">
        <v>44916</v>
      </c>
      <c r="CZ111" s="38">
        <v>18.238399999999999</v>
      </c>
      <c r="DA111" s="18"/>
      <c r="DB111" s="37">
        <v>44916</v>
      </c>
      <c r="DC111" s="38">
        <v>18.555700000000002</v>
      </c>
      <c r="DD111" s="18"/>
      <c r="DE111" s="37">
        <v>44916</v>
      </c>
      <c r="DF111" s="38">
        <v>17.194299999999998</v>
      </c>
      <c r="DG111" s="18"/>
      <c r="DH111" s="37">
        <v>44916</v>
      </c>
      <c r="DI111" s="38">
        <v>20.763400000000001</v>
      </c>
      <c r="DJ111" s="18"/>
      <c r="DK111" s="37">
        <v>44916</v>
      </c>
      <c r="DL111" s="38">
        <v>0.12989999999999999</v>
      </c>
      <c r="DM111" s="18"/>
      <c r="DN111" s="18"/>
      <c r="DO111" s="18"/>
      <c r="DP111" s="18"/>
      <c r="DQ111" s="18"/>
      <c r="DR111" s="18"/>
      <c r="DS111" s="18"/>
      <c r="DT111" s="18"/>
      <c r="DU111" s="18"/>
      <c r="DV111" s="18"/>
      <c r="DW111" s="18"/>
      <c r="DX111" s="18"/>
      <c r="DY111" s="18"/>
      <c r="DZ111" s="18"/>
    </row>
    <row r="112" spans="1:130" ht="15" customHeight="1" x14ac:dyDescent="0.3">
      <c r="A112" s="30" t="s">
        <v>1798</v>
      </c>
      <c r="B112" s="73" t="s">
        <v>1799</v>
      </c>
      <c r="C112" s="74">
        <v>582</v>
      </c>
      <c r="D112" s="74">
        <v>508</v>
      </c>
      <c r="E112" s="74">
        <v>499</v>
      </c>
      <c r="F112" s="74" t="s">
        <v>615</v>
      </c>
      <c r="G112" s="74" t="s">
        <v>615</v>
      </c>
      <c r="H112" s="74" t="s">
        <v>615</v>
      </c>
      <c r="I112" s="74" t="s">
        <v>615</v>
      </c>
      <c r="J112" s="74" t="s">
        <v>615</v>
      </c>
      <c r="K112" s="74" t="s">
        <v>615</v>
      </c>
      <c r="L112" s="74" t="s">
        <v>615</v>
      </c>
      <c r="M112" s="75" t="s">
        <v>615</v>
      </c>
      <c r="N112" s="227"/>
      <c r="O112" s="17"/>
      <c r="P112" s="17"/>
      <c r="Q112" s="17"/>
      <c r="R112" s="17"/>
      <c r="S112" s="17"/>
      <c r="T112" s="17"/>
      <c r="U112" s="18"/>
      <c r="V112" s="18"/>
      <c r="W112" s="18"/>
      <c r="X112" s="18"/>
      <c r="Y112" s="18"/>
      <c r="Z112" s="18"/>
      <c r="AA112" s="18"/>
      <c r="AB112" s="18"/>
      <c r="AC112" s="18"/>
      <c r="AD112" s="18"/>
      <c r="AE112" s="18"/>
      <c r="AF112" s="85"/>
      <c r="AG112" s="85"/>
      <c r="AH112" s="85"/>
      <c r="AI112" s="85"/>
      <c r="AJ112" s="85"/>
      <c r="AK112" s="85"/>
      <c r="AL112" s="85"/>
      <c r="AM112" s="85"/>
      <c r="AN112" s="18"/>
      <c r="AO112" s="18"/>
      <c r="AP112" s="77"/>
      <c r="AQ112" s="18"/>
      <c r="AR112" s="18"/>
      <c r="AS112" s="18"/>
      <c r="AT112" s="18"/>
      <c r="AU112" s="18"/>
      <c r="AV112" s="18"/>
      <c r="AW112" s="18"/>
      <c r="AX112" s="18"/>
      <c r="AY112" s="18"/>
      <c r="AZ112" s="18"/>
      <c r="BA112" s="78"/>
      <c r="BB112" s="18"/>
      <c r="BC112" s="18"/>
      <c r="BD112" s="18"/>
      <c r="BE112" s="18"/>
      <c r="BF112" s="18"/>
      <c r="BG112" s="18"/>
      <c r="BH112" s="18"/>
      <c r="BI112" s="18"/>
      <c r="BJ112" s="18"/>
      <c r="BK112" s="18"/>
      <c r="BL112" s="18"/>
      <c r="BM112" s="18"/>
      <c r="BN112" s="18"/>
      <c r="BO112" s="18"/>
      <c r="BP112" s="18"/>
      <c r="BQ112" s="37">
        <v>43312</v>
      </c>
      <c r="BR112" s="38">
        <v>39776.104399999997</v>
      </c>
      <c r="BS112" s="17"/>
      <c r="BT112" s="37">
        <v>43312</v>
      </c>
      <c r="BU112" s="38">
        <v>2704</v>
      </c>
      <c r="BV112" s="18"/>
      <c r="BW112" s="37"/>
      <c r="BX112" s="38"/>
      <c r="BY112" s="18"/>
      <c r="BZ112" s="39">
        <f t="shared" si="30"/>
        <v>43312</v>
      </c>
      <c r="CA112" s="40">
        <f t="shared" si="31"/>
        <v>39776.104399999997</v>
      </c>
      <c r="CB112" s="17"/>
      <c r="CC112" s="39">
        <f t="shared" si="32"/>
        <v>43312</v>
      </c>
      <c r="CD112" s="40">
        <f t="shared" si="33"/>
        <v>27.04</v>
      </c>
      <c r="CE112" s="18"/>
      <c r="CF112" s="18"/>
      <c r="CG112" s="18"/>
      <c r="CH112" s="18"/>
      <c r="CI112" s="18"/>
      <c r="CJ112" s="18"/>
      <c r="CK112" s="18"/>
      <c r="CL112" s="18"/>
      <c r="CM112" s="18"/>
      <c r="CN112" s="18"/>
      <c r="CO112" s="18"/>
      <c r="CP112" s="18"/>
      <c r="CQ112" s="18"/>
      <c r="CR112" s="18"/>
      <c r="CS112" s="18"/>
      <c r="CT112" s="18"/>
      <c r="CU112" s="18"/>
      <c r="CV112" s="18"/>
      <c r="CW112" s="18"/>
      <c r="CX112" s="18"/>
      <c r="CY112" s="37">
        <v>44917</v>
      </c>
      <c r="CZ112" s="38">
        <v>18.188300000000002</v>
      </c>
      <c r="DA112" s="18"/>
      <c r="DB112" s="37">
        <v>44917</v>
      </c>
      <c r="DC112" s="38">
        <v>18.425000000000001</v>
      </c>
      <c r="DD112" s="18"/>
      <c r="DE112" s="37">
        <v>44917</v>
      </c>
      <c r="DF112" s="38">
        <v>17.155899999999999</v>
      </c>
      <c r="DG112" s="18"/>
      <c r="DH112" s="37">
        <v>44917</v>
      </c>
      <c r="DI112" s="38">
        <v>20.651800000000001</v>
      </c>
      <c r="DJ112" s="18"/>
      <c r="DK112" s="37">
        <v>44917</v>
      </c>
      <c r="DL112" s="38">
        <v>0.12959999999999999</v>
      </c>
      <c r="DM112" s="18"/>
      <c r="DN112" s="18"/>
      <c r="DO112" s="18"/>
      <c r="DP112" s="18"/>
      <c r="DQ112" s="18"/>
      <c r="DR112" s="18"/>
      <c r="DS112" s="18"/>
      <c r="DT112" s="18"/>
      <c r="DU112" s="18"/>
      <c r="DV112" s="18"/>
      <c r="DW112" s="18"/>
      <c r="DX112" s="18"/>
      <c r="DY112" s="18"/>
      <c r="DZ112" s="18"/>
    </row>
    <row r="113" spans="1:130" ht="15" customHeight="1" x14ac:dyDescent="0.3">
      <c r="A113" s="30" t="s">
        <v>168</v>
      </c>
      <c r="B113" s="73" t="s">
        <v>45</v>
      </c>
      <c r="C113" s="74">
        <v>2270</v>
      </c>
      <c r="D113" s="74">
        <v>2187</v>
      </c>
      <c r="E113" s="74">
        <v>2356</v>
      </c>
      <c r="F113" s="74">
        <v>2183</v>
      </c>
      <c r="G113" s="74">
        <v>1953</v>
      </c>
      <c r="H113" s="74">
        <v>4193</v>
      </c>
      <c r="I113" s="74">
        <v>3698</v>
      </c>
      <c r="J113" s="74">
        <v>3880</v>
      </c>
      <c r="K113" s="74">
        <v>3687</v>
      </c>
      <c r="L113" s="74">
        <v>3419</v>
      </c>
      <c r="M113" s="75">
        <v>2675</v>
      </c>
      <c r="N113" s="227"/>
      <c r="O113" s="17"/>
      <c r="P113" s="17"/>
      <c r="Q113" s="17"/>
      <c r="R113" s="17"/>
      <c r="S113" s="17"/>
      <c r="T113" s="17"/>
      <c r="U113" s="18"/>
      <c r="V113" s="18"/>
      <c r="W113" s="18"/>
      <c r="X113" s="18"/>
      <c r="Y113" s="18"/>
      <c r="Z113" s="18"/>
      <c r="AA113" s="18"/>
      <c r="AB113" s="18"/>
      <c r="AC113" s="18"/>
      <c r="AD113" s="18"/>
      <c r="AE113" s="18" t="str">
        <f>B113</f>
        <v>Other Current Liabilities</v>
      </c>
      <c r="AF113" s="85">
        <f t="shared" ref="AF113:AM115" si="46">C113-AQ113</f>
        <v>0</v>
      </c>
      <c r="AG113" s="85">
        <f t="shared" si="46"/>
        <v>0</v>
      </c>
      <c r="AH113" s="85">
        <f t="shared" si="46"/>
        <v>0</v>
      </c>
      <c r="AI113" s="85">
        <f t="shared" si="46"/>
        <v>0</v>
      </c>
      <c r="AJ113" s="85">
        <f t="shared" si="46"/>
        <v>0</v>
      </c>
      <c r="AK113" s="85">
        <f t="shared" si="46"/>
        <v>0</v>
      </c>
      <c r="AL113" s="85">
        <f t="shared" si="46"/>
        <v>0</v>
      </c>
      <c r="AM113" s="85">
        <f t="shared" si="46"/>
        <v>0</v>
      </c>
      <c r="AN113" s="18"/>
      <c r="AO113" s="18"/>
      <c r="AP113" s="120" t="s">
        <v>424</v>
      </c>
      <c r="AQ113" s="86">
        <f>_xll.BDH($B$10,"BS_OTHER_ST_LIAB","-10FY","","Per=fy","Days=W","Fill=E","Curr=","DtFmt=P","Sort=D","Dts=H","Dir=H","FILING_STATUS,EQY_CONSOLIDATED","MR,","cols=11;rows=1")</f>
        <v>2270</v>
      </c>
      <c r="AR113" s="86">
        <v>2187</v>
      </c>
      <c r="AS113" s="86">
        <v>2356</v>
      </c>
      <c r="AT113" s="86">
        <v>2183</v>
      </c>
      <c r="AU113" s="86">
        <v>1953</v>
      </c>
      <c r="AV113" s="86">
        <v>4193</v>
      </c>
      <c r="AW113" s="86">
        <v>3698</v>
      </c>
      <c r="AX113" s="86">
        <v>3880</v>
      </c>
      <c r="AY113" s="86">
        <v>3687</v>
      </c>
      <c r="AZ113" s="86">
        <v>3419</v>
      </c>
      <c r="BA113" s="87">
        <v>2675</v>
      </c>
      <c r="BB113" s="18"/>
      <c r="BC113" s="18"/>
      <c r="BD113" s="18"/>
      <c r="BE113" s="18"/>
      <c r="BF113" s="18"/>
      <c r="BG113" s="18"/>
      <c r="BH113" s="18"/>
      <c r="BI113" s="18"/>
      <c r="BJ113" s="18"/>
      <c r="BK113" s="18"/>
      <c r="BL113" s="18"/>
      <c r="BM113" s="18"/>
      <c r="BN113" s="18"/>
      <c r="BO113" s="18"/>
      <c r="BP113" s="18"/>
      <c r="BQ113" s="37">
        <v>43343</v>
      </c>
      <c r="BR113" s="38">
        <v>43174.137000000002</v>
      </c>
      <c r="BS113" s="17"/>
      <c r="BT113" s="37">
        <v>43343</v>
      </c>
      <c r="BU113" s="38">
        <v>2935</v>
      </c>
      <c r="BV113" s="18"/>
      <c r="BW113" s="37"/>
      <c r="BX113" s="38"/>
      <c r="BY113" s="18"/>
      <c r="BZ113" s="39">
        <f t="shared" si="30"/>
        <v>43343</v>
      </c>
      <c r="CA113" s="40">
        <f t="shared" si="31"/>
        <v>43174.137000000002</v>
      </c>
      <c r="CB113" s="17"/>
      <c r="CC113" s="39">
        <f t="shared" si="32"/>
        <v>43343</v>
      </c>
      <c r="CD113" s="40">
        <f t="shared" si="33"/>
        <v>29.35</v>
      </c>
      <c r="CE113" s="18"/>
      <c r="CF113" s="18"/>
      <c r="CG113" s="18"/>
      <c r="CH113" s="18"/>
      <c r="CI113" s="18"/>
      <c r="CJ113" s="18"/>
      <c r="CK113" s="18"/>
      <c r="CL113" s="18"/>
      <c r="CM113" s="18"/>
      <c r="CN113" s="18"/>
      <c r="CO113" s="18"/>
      <c r="CP113" s="18"/>
      <c r="CQ113" s="18"/>
      <c r="CR113" s="18"/>
      <c r="CS113" s="18"/>
      <c r="CT113" s="18"/>
      <c r="CU113" s="18"/>
      <c r="CV113" s="18"/>
      <c r="CW113" s="18"/>
      <c r="CX113" s="18"/>
      <c r="CY113" s="37">
        <v>44918</v>
      </c>
      <c r="CZ113" s="38">
        <v>18.072500000000002</v>
      </c>
      <c r="DA113" s="18"/>
      <c r="DB113" s="37">
        <v>44918</v>
      </c>
      <c r="DC113" s="38">
        <v>18.228899999999999</v>
      </c>
      <c r="DD113" s="18"/>
      <c r="DE113" s="37">
        <v>44918</v>
      </c>
      <c r="DF113" s="38">
        <v>17.021699999999999</v>
      </c>
      <c r="DG113" s="18"/>
      <c r="DH113" s="37">
        <v>44918</v>
      </c>
      <c r="DI113" s="38">
        <v>20.497699999999998</v>
      </c>
      <c r="DJ113" s="18"/>
      <c r="DK113" s="37">
        <v>44918</v>
      </c>
      <c r="DL113" s="38">
        <v>0.12820000000000001</v>
      </c>
      <c r="DM113" s="18"/>
      <c r="DN113" s="18"/>
      <c r="DO113" s="18"/>
      <c r="DP113" s="18"/>
      <c r="DQ113" s="18"/>
      <c r="DR113" s="18"/>
      <c r="DS113" s="18"/>
      <c r="DT113" s="18"/>
      <c r="DU113" s="18"/>
      <c r="DV113" s="18"/>
      <c r="DW113" s="18"/>
      <c r="DX113" s="18"/>
      <c r="DY113" s="18"/>
      <c r="DZ113" s="18"/>
    </row>
    <row r="114" spans="1:130" ht="15" customHeight="1" x14ac:dyDescent="0.3">
      <c r="A114" s="30" t="s">
        <v>370</v>
      </c>
      <c r="B114" s="90" t="s">
        <v>217</v>
      </c>
      <c r="C114" s="91">
        <v>5281</v>
      </c>
      <c r="D114" s="91">
        <v>5622</v>
      </c>
      <c r="E114" s="91">
        <v>5017</v>
      </c>
      <c r="F114" s="91">
        <v>5296</v>
      </c>
      <c r="G114" s="91">
        <v>4206</v>
      </c>
      <c r="H114" s="91">
        <v>7691</v>
      </c>
      <c r="I114" s="91">
        <v>7489</v>
      </c>
      <c r="J114" s="91">
        <v>8754</v>
      </c>
      <c r="K114" s="91">
        <v>7677</v>
      </c>
      <c r="L114" s="91">
        <v>6570</v>
      </c>
      <c r="M114" s="92">
        <v>6927</v>
      </c>
      <c r="N114" s="227"/>
      <c r="O114" s="17"/>
      <c r="P114" s="17"/>
      <c r="Q114" s="17"/>
      <c r="R114" s="17"/>
      <c r="S114" s="17"/>
      <c r="T114" s="17"/>
      <c r="U114" s="18"/>
      <c r="V114" s="18"/>
      <c r="W114" s="18"/>
      <c r="X114" s="18"/>
      <c r="Y114" s="18"/>
      <c r="Z114" s="18"/>
      <c r="AA114" s="18"/>
      <c r="AB114" s="18"/>
      <c r="AC114" s="18"/>
      <c r="AD114" s="18"/>
      <c r="AE114" s="18" t="str">
        <f>B114</f>
        <v>Total Current Liabilities</v>
      </c>
      <c r="AF114" s="85">
        <f t="shared" si="46"/>
        <v>0</v>
      </c>
      <c r="AG114" s="85">
        <f t="shared" si="46"/>
        <v>0</v>
      </c>
      <c r="AH114" s="85">
        <f t="shared" si="46"/>
        <v>0</v>
      </c>
      <c r="AI114" s="85">
        <f t="shared" si="46"/>
        <v>0</v>
      </c>
      <c r="AJ114" s="85">
        <f t="shared" si="46"/>
        <v>0</v>
      </c>
      <c r="AK114" s="85">
        <f t="shared" si="46"/>
        <v>0</v>
      </c>
      <c r="AL114" s="85">
        <f t="shared" si="46"/>
        <v>0</v>
      </c>
      <c r="AM114" s="85">
        <f t="shared" si="46"/>
        <v>0</v>
      </c>
      <c r="AN114" s="18"/>
      <c r="AO114" s="18"/>
      <c r="AP114" s="77" t="s">
        <v>217</v>
      </c>
      <c r="AQ114" s="18">
        <f>_xll.BDH($B$10,"BS_CUR_LIAB","-10FY","","Per=fy","Days=W","Fill=E","Curr=","DtFmt=P","Sort=D","Dts=H","Dir=H","FILING_STATUS,EQY_CONSOLIDATED","MR,","cols=11;rows=1")</f>
        <v>5281</v>
      </c>
      <c r="AR114" s="18">
        <v>5622</v>
      </c>
      <c r="AS114" s="18">
        <v>5017</v>
      </c>
      <c r="AT114" s="18">
        <v>5296</v>
      </c>
      <c r="AU114" s="18">
        <v>4206</v>
      </c>
      <c r="AV114" s="18">
        <v>7691</v>
      </c>
      <c r="AW114" s="18">
        <v>7489</v>
      </c>
      <c r="AX114" s="18">
        <v>8754</v>
      </c>
      <c r="AY114" s="18">
        <v>7677</v>
      </c>
      <c r="AZ114" s="18">
        <v>6570</v>
      </c>
      <c r="BA114" s="78">
        <v>6927</v>
      </c>
      <c r="BB114" s="18"/>
      <c r="BC114" s="18"/>
      <c r="BD114" s="18"/>
      <c r="BE114" s="18"/>
      <c r="BF114" s="18"/>
      <c r="BG114" s="18"/>
      <c r="BH114" s="18"/>
      <c r="BI114" s="18"/>
      <c r="BJ114" s="18"/>
      <c r="BK114" s="18"/>
      <c r="BL114" s="18"/>
      <c r="BM114" s="18"/>
      <c r="BN114" s="18"/>
      <c r="BO114" s="18"/>
      <c r="BP114" s="18"/>
      <c r="BQ114" s="37">
        <v>43371</v>
      </c>
      <c r="BR114" s="38">
        <v>35613.146699999998</v>
      </c>
      <c r="BS114" s="17"/>
      <c r="BT114" s="37">
        <v>43371</v>
      </c>
      <c r="BU114" s="38">
        <v>2421</v>
      </c>
      <c r="BV114" s="18"/>
      <c r="BW114" s="37"/>
      <c r="BX114" s="38"/>
      <c r="BY114" s="18"/>
      <c r="BZ114" s="39">
        <f t="shared" si="30"/>
        <v>43371</v>
      </c>
      <c r="CA114" s="40">
        <f t="shared" si="31"/>
        <v>35613.146699999998</v>
      </c>
      <c r="CB114" s="17"/>
      <c r="CC114" s="39">
        <f t="shared" si="32"/>
        <v>43371</v>
      </c>
      <c r="CD114" s="40">
        <f t="shared" si="33"/>
        <v>24.21</v>
      </c>
      <c r="CE114" s="18"/>
      <c r="CF114" s="18"/>
      <c r="CG114" s="18"/>
      <c r="CH114" s="18"/>
      <c r="CI114" s="18"/>
      <c r="CJ114" s="18"/>
      <c r="CK114" s="18"/>
      <c r="CL114" s="18"/>
      <c r="CM114" s="18"/>
      <c r="CN114" s="18"/>
      <c r="CO114" s="18"/>
      <c r="CP114" s="18"/>
      <c r="CQ114" s="18"/>
      <c r="CR114" s="18"/>
      <c r="CS114" s="18"/>
      <c r="CT114" s="18"/>
      <c r="CU114" s="18"/>
      <c r="CV114" s="18"/>
      <c r="CW114" s="18"/>
      <c r="CX114" s="18"/>
      <c r="CY114" s="37">
        <v>44923</v>
      </c>
      <c r="CZ114" s="38">
        <v>18.204799999999999</v>
      </c>
      <c r="DA114" s="18"/>
      <c r="DB114" s="37">
        <v>44923</v>
      </c>
      <c r="DC114" s="38">
        <v>18.465</v>
      </c>
      <c r="DD114" s="18"/>
      <c r="DE114" s="37">
        <v>44923</v>
      </c>
      <c r="DF114" s="38">
        <v>17.1326</v>
      </c>
      <c r="DG114" s="18"/>
      <c r="DH114" s="37">
        <v>44923</v>
      </c>
      <c r="DI114" s="38">
        <v>20.611599999999999</v>
      </c>
      <c r="DJ114" s="18"/>
      <c r="DK114" s="37">
        <v>44923</v>
      </c>
      <c r="DL114" s="38">
        <v>0.12790000000000001</v>
      </c>
      <c r="DM114" s="18"/>
      <c r="DN114" s="18"/>
      <c r="DO114" s="18"/>
      <c r="DP114" s="18"/>
      <c r="DQ114" s="18"/>
      <c r="DR114" s="18"/>
      <c r="DS114" s="18"/>
      <c r="DT114" s="18"/>
      <c r="DU114" s="18"/>
      <c r="DV114" s="18"/>
      <c r="DW114" s="18"/>
      <c r="DX114" s="18"/>
      <c r="DY114" s="18"/>
      <c r="DZ114" s="18"/>
    </row>
    <row r="115" spans="1:130" ht="15" customHeight="1" x14ac:dyDescent="0.3">
      <c r="A115" s="30" t="s">
        <v>371</v>
      </c>
      <c r="B115" s="73" t="s">
        <v>1862</v>
      </c>
      <c r="C115" s="74">
        <v>9171</v>
      </c>
      <c r="D115" s="74">
        <v>8524</v>
      </c>
      <c r="E115" s="74">
        <v>10307</v>
      </c>
      <c r="F115" s="74">
        <v>5061</v>
      </c>
      <c r="G115" s="74">
        <v>5114</v>
      </c>
      <c r="H115" s="74">
        <v>7207</v>
      </c>
      <c r="I115" s="74">
        <v>6132</v>
      </c>
      <c r="J115" s="74">
        <v>6104</v>
      </c>
      <c r="K115" s="74">
        <v>4939</v>
      </c>
      <c r="L115" s="74">
        <v>5290</v>
      </c>
      <c r="M115" s="75">
        <v>27015</v>
      </c>
      <c r="N115" s="227"/>
      <c r="O115" s="17"/>
      <c r="P115" s="17"/>
      <c r="Q115" s="17"/>
      <c r="R115" s="17"/>
      <c r="S115" s="17"/>
      <c r="T115" s="17"/>
      <c r="U115" s="18"/>
      <c r="V115" s="18"/>
      <c r="W115" s="18"/>
      <c r="X115" s="18"/>
      <c r="Y115" s="18"/>
      <c r="Z115" s="18"/>
      <c r="AA115" s="18"/>
      <c r="AB115" s="18"/>
      <c r="AC115" s="18"/>
      <c r="AD115" s="18"/>
      <c r="AE115" s="18" t="str">
        <f>B115</f>
        <v>Long Term Debt</v>
      </c>
      <c r="AF115" s="85">
        <f t="shared" si="46"/>
        <v>0</v>
      </c>
      <c r="AG115" s="85">
        <f t="shared" si="46"/>
        <v>0</v>
      </c>
      <c r="AH115" s="85">
        <f t="shared" si="46"/>
        <v>0</v>
      </c>
      <c r="AI115" s="85">
        <f t="shared" si="46"/>
        <v>0</v>
      </c>
      <c r="AJ115" s="85">
        <f t="shared" si="46"/>
        <v>0</v>
      </c>
      <c r="AK115" s="85">
        <f t="shared" si="46"/>
        <v>0</v>
      </c>
      <c r="AL115" s="85">
        <f t="shared" si="46"/>
        <v>0</v>
      </c>
      <c r="AM115" s="85">
        <f t="shared" si="46"/>
        <v>0</v>
      </c>
      <c r="AN115" s="18"/>
      <c r="AO115" s="18"/>
      <c r="AP115" s="77" t="s">
        <v>218</v>
      </c>
      <c r="AQ115" s="18">
        <f>_xll.BDH($B$10,"BS_LT_BORROW","-10FY","","Per=fy","Days=W","Fill=E","Curr=","DtFmt=P","Sort=D","Dts=H","Dir=H","FILING_STATUS,EQY_CONSOLIDATED","MR,","cols=11;rows=1")</f>
        <v>9171</v>
      </c>
      <c r="AR115" s="18">
        <v>8524</v>
      </c>
      <c r="AS115" s="18">
        <v>10307</v>
      </c>
      <c r="AT115" s="18">
        <v>5061</v>
      </c>
      <c r="AU115" s="18">
        <v>5114</v>
      </c>
      <c r="AV115" s="18">
        <v>7207</v>
      </c>
      <c r="AW115" s="18">
        <v>6132</v>
      </c>
      <c r="AX115" s="18">
        <v>6104</v>
      </c>
      <c r="AY115" s="18">
        <v>4939</v>
      </c>
      <c r="AZ115" s="18">
        <v>5290</v>
      </c>
      <c r="BA115" s="78">
        <v>27015</v>
      </c>
      <c r="BB115" s="18"/>
      <c r="BC115" s="18"/>
      <c r="BD115" s="18"/>
      <c r="BE115" s="18"/>
      <c r="BF115" s="18"/>
      <c r="BG115" s="18"/>
      <c r="BH115" s="18"/>
      <c r="BI115" s="18"/>
      <c r="BJ115" s="18"/>
      <c r="BK115" s="18"/>
      <c r="BL115" s="18"/>
      <c r="BM115" s="18"/>
      <c r="BN115" s="18"/>
      <c r="BO115" s="18"/>
      <c r="BP115" s="18"/>
      <c r="BQ115" s="37">
        <v>43404</v>
      </c>
      <c r="BR115" s="38">
        <v>36525.1728</v>
      </c>
      <c r="BS115" s="17"/>
      <c r="BT115" s="37">
        <v>43404</v>
      </c>
      <c r="BU115" s="38">
        <v>2483</v>
      </c>
      <c r="BV115" s="18"/>
      <c r="BW115" s="37"/>
      <c r="BX115" s="38"/>
      <c r="BY115" s="18"/>
      <c r="BZ115" s="39">
        <f t="shared" si="30"/>
        <v>43404</v>
      </c>
      <c r="CA115" s="40">
        <f t="shared" si="31"/>
        <v>36525.1728</v>
      </c>
      <c r="CB115" s="17"/>
      <c r="CC115" s="39">
        <f t="shared" si="32"/>
        <v>43404</v>
      </c>
      <c r="CD115" s="40">
        <f t="shared" si="33"/>
        <v>24.830000000000002</v>
      </c>
      <c r="CE115" s="18"/>
      <c r="CF115" s="18"/>
      <c r="CG115" s="18"/>
      <c r="CH115" s="18"/>
      <c r="CI115" s="18"/>
      <c r="CJ115" s="18"/>
      <c r="CK115" s="18"/>
      <c r="CL115" s="18"/>
      <c r="CM115" s="18"/>
      <c r="CN115" s="18"/>
      <c r="CO115" s="18"/>
      <c r="CP115" s="18"/>
      <c r="CQ115" s="18"/>
      <c r="CR115" s="18"/>
      <c r="CS115" s="18"/>
      <c r="CT115" s="18"/>
      <c r="CU115" s="18"/>
      <c r="CV115" s="18"/>
      <c r="CW115" s="18"/>
      <c r="CX115" s="18"/>
      <c r="CY115" s="37">
        <v>44924</v>
      </c>
      <c r="CZ115" s="38">
        <v>18.060600000000001</v>
      </c>
      <c r="DA115" s="18"/>
      <c r="DB115" s="37">
        <v>44924</v>
      </c>
      <c r="DC115" s="38">
        <v>18.348500000000001</v>
      </c>
      <c r="DD115" s="18"/>
      <c r="DE115" s="37">
        <v>44924</v>
      </c>
      <c r="DF115" s="38">
        <v>16.9361</v>
      </c>
      <c r="DG115" s="18"/>
      <c r="DH115" s="37">
        <v>44924</v>
      </c>
      <c r="DI115" s="38">
        <v>20.413799999999998</v>
      </c>
      <c r="DJ115" s="18"/>
      <c r="DK115" s="37">
        <v>44924</v>
      </c>
      <c r="DL115" s="38">
        <v>0.1275</v>
      </c>
      <c r="DM115" s="18"/>
      <c r="DN115" s="18"/>
      <c r="DO115" s="18"/>
      <c r="DP115" s="18"/>
      <c r="DQ115" s="18"/>
      <c r="DR115" s="18"/>
      <c r="DS115" s="18"/>
      <c r="DT115" s="18"/>
      <c r="DU115" s="18"/>
      <c r="DV115" s="18"/>
      <c r="DW115" s="18"/>
      <c r="DX115" s="18"/>
      <c r="DY115" s="18"/>
      <c r="DZ115" s="18"/>
    </row>
    <row r="116" spans="1:130" ht="15" customHeight="1" x14ac:dyDescent="0.3">
      <c r="A116" s="30" t="s">
        <v>1800</v>
      </c>
      <c r="B116" s="73" t="s">
        <v>1807</v>
      </c>
      <c r="C116" s="74">
        <v>5265</v>
      </c>
      <c r="D116" s="74">
        <v>4936</v>
      </c>
      <c r="E116" s="74">
        <v>6761</v>
      </c>
      <c r="F116" s="74">
        <v>5038</v>
      </c>
      <c r="G116" s="74">
        <v>5094</v>
      </c>
      <c r="H116" s="74">
        <v>6933</v>
      </c>
      <c r="I116" s="74">
        <v>5878</v>
      </c>
      <c r="J116" s="74">
        <v>5767</v>
      </c>
      <c r="K116" s="74">
        <v>4624</v>
      </c>
      <c r="L116" s="74">
        <v>5073</v>
      </c>
      <c r="M116" s="75">
        <v>26777</v>
      </c>
      <c r="N116" s="227"/>
      <c r="O116" s="17"/>
      <c r="P116" s="17"/>
      <c r="Q116" s="17"/>
      <c r="R116" s="17"/>
      <c r="S116" s="17"/>
      <c r="T116" s="17"/>
      <c r="U116" s="18"/>
      <c r="V116" s="18"/>
      <c r="W116" s="18"/>
      <c r="X116" s="18"/>
      <c r="Y116" s="18"/>
      <c r="Z116" s="18"/>
      <c r="AA116" s="18"/>
      <c r="AB116" s="18"/>
      <c r="AC116" s="18"/>
      <c r="AD116" s="18"/>
      <c r="AE116" s="18"/>
      <c r="AF116" s="85"/>
      <c r="AG116" s="85"/>
      <c r="AH116" s="85"/>
      <c r="AI116" s="85"/>
      <c r="AJ116" s="85"/>
      <c r="AK116" s="85"/>
      <c r="AL116" s="85"/>
      <c r="AM116" s="85"/>
      <c r="AN116" s="18"/>
      <c r="AO116" s="18"/>
      <c r="AP116" s="77"/>
      <c r="AQ116" s="18"/>
      <c r="AR116" s="18"/>
      <c r="AS116" s="18"/>
      <c r="AT116" s="18"/>
      <c r="AU116" s="18"/>
      <c r="AV116" s="18"/>
      <c r="AW116" s="18"/>
      <c r="AX116" s="18"/>
      <c r="AY116" s="18"/>
      <c r="AZ116" s="18"/>
      <c r="BA116" s="78"/>
      <c r="BB116" s="18"/>
      <c r="BC116" s="18"/>
      <c r="BD116" s="18"/>
      <c r="BE116" s="18"/>
      <c r="BF116" s="18"/>
      <c r="BG116" s="18"/>
      <c r="BH116" s="18"/>
      <c r="BI116" s="18"/>
      <c r="BJ116" s="18"/>
      <c r="BK116" s="18"/>
      <c r="BL116" s="18"/>
      <c r="BM116" s="18"/>
      <c r="BN116" s="18"/>
      <c r="BO116" s="18"/>
      <c r="BP116" s="18"/>
      <c r="BQ116" s="37">
        <v>43434</v>
      </c>
      <c r="BR116" s="38">
        <v>37657.850299999998</v>
      </c>
      <c r="BS116" s="17"/>
      <c r="BT116" s="37">
        <v>43434</v>
      </c>
      <c r="BU116" s="38">
        <v>2560</v>
      </c>
      <c r="BV116" s="18"/>
      <c r="BW116" s="37"/>
      <c r="BX116" s="38"/>
      <c r="BY116" s="18"/>
      <c r="BZ116" s="39">
        <f t="shared" si="30"/>
        <v>43434</v>
      </c>
      <c r="CA116" s="40">
        <f t="shared" si="31"/>
        <v>37657.850299999998</v>
      </c>
      <c r="CB116" s="17"/>
      <c r="CC116" s="39">
        <f t="shared" si="32"/>
        <v>43434</v>
      </c>
      <c r="CD116" s="40">
        <f t="shared" si="33"/>
        <v>25.6</v>
      </c>
      <c r="CE116" s="18"/>
      <c r="CF116" s="18"/>
      <c r="CG116" s="18"/>
      <c r="CH116" s="18"/>
      <c r="CI116" s="18"/>
      <c r="CJ116" s="18"/>
      <c r="CK116" s="18"/>
      <c r="CL116" s="18"/>
      <c r="CM116" s="18"/>
      <c r="CN116" s="18"/>
      <c r="CO116" s="18"/>
      <c r="CP116" s="18"/>
      <c r="CQ116" s="18"/>
      <c r="CR116" s="18"/>
      <c r="CS116" s="18"/>
      <c r="CT116" s="18"/>
      <c r="CU116" s="18"/>
      <c r="CV116" s="18"/>
      <c r="CW116" s="18"/>
      <c r="CX116" s="18"/>
      <c r="CY116" s="37">
        <v>44925</v>
      </c>
      <c r="CZ116" s="38">
        <v>18.240500000000001</v>
      </c>
      <c r="DA116" s="18"/>
      <c r="DB116" s="37">
        <v>44925</v>
      </c>
      <c r="DC116" s="38">
        <v>18.4207</v>
      </c>
      <c r="DD116" s="18"/>
      <c r="DE116" s="37">
        <v>44925</v>
      </c>
      <c r="DF116" s="38">
        <v>17.037400000000002</v>
      </c>
      <c r="DG116" s="18"/>
      <c r="DH116" s="37">
        <v>44925</v>
      </c>
      <c r="DI116" s="38">
        <v>20.591799999999999</v>
      </c>
      <c r="DJ116" s="18"/>
      <c r="DK116" s="37">
        <v>44925</v>
      </c>
      <c r="DL116" s="38">
        <v>0.13</v>
      </c>
      <c r="DM116" s="18"/>
      <c r="DN116" s="18"/>
      <c r="DO116" s="18"/>
      <c r="DP116" s="18"/>
      <c r="DQ116" s="18"/>
      <c r="DR116" s="18"/>
      <c r="DS116" s="18"/>
      <c r="DT116" s="18"/>
      <c r="DU116" s="18"/>
      <c r="DV116" s="18"/>
      <c r="DW116" s="18"/>
      <c r="DX116" s="18"/>
      <c r="DY116" s="18"/>
      <c r="DZ116" s="18"/>
    </row>
    <row r="117" spans="1:130" ht="15" customHeight="1" x14ac:dyDescent="0.3">
      <c r="A117" s="30"/>
      <c r="B117" s="613" t="s">
        <v>1805</v>
      </c>
      <c r="C117" s="614">
        <f t="shared" ref="C117:M117" si="47">IF(ISNUMBER(C116),C116,C115-C118)</f>
        <v>5265</v>
      </c>
      <c r="D117" s="614">
        <f t="shared" si="47"/>
        <v>4936</v>
      </c>
      <c r="E117" s="614">
        <f t="shared" si="47"/>
        <v>6761</v>
      </c>
      <c r="F117" s="614">
        <f t="shared" si="47"/>
        <v>5038</v>
      </c>
      <c r="G117" s="614">
        <f t="shared" si="47"/>
        <v>5094</v>
      </c>
      <c r="H117" s="614">
        <f t="shared" si="47"/>
        <v>6933</v>
      </c>
      <c r="I117" s="614">
        <f t="shared" si="47"/>
        <v>5878</v>
      </c>
      <c r="J117" s="614">
        <f t="shared" si="47"/>
        <v>5767</v>
      </c>
      <c r="K117" s="614">
        <f t="shared" si="47"/>
        <v>4624</v>
      </c>
      <c r="L117" s="614">
        <f t="shared" si="47"/>
        <v>5073</v>
      </c>
      <c r="M117" s="615">
        <f t="shared" si="47"/>
        <v>26777</v>
      </c>
      <c r="N117" s="227"/>
      <c r="O117" s="17"/>
      <c r="P117" s="17"/>
      <c r="Q117" s="17"/>
      <c r="R117" s="17"/>
      <c r="S117" s="17"/>
      <c r="T117" s="17"/>
      <c r="U117" s="18"/>
      <c r="V117" s="18"/>
      <c r="W117" s="18"/>
      <c r="X117" s="18"/>
      <c r="Y117" s="18"/>
      <c r="Z117" s="18"/>
      <c r="AA117" s="18"/>
      <c r="AB117" s="18"/>
      <c r="AC117" s="18"/>
      <c r="AD117" s="18"/>
      <c r="AE117" s="18"/>
      <c r="AF117" s="85"/>
      <c r="AG117" s="85"/>
      <c r="AH117" s="85"/>
      <c r="AI117" s="85"/>
      <c r="AJ117" s="85"/>
      <c r="AK117" s="85"/>
      <c r="AL117" s="85"/>
      <c r="AM117" s="85"/>
      <c r="AN117" s="18"/>
      <c r="AO117" s="18"/>
      <c r="AP117" s="77"/>
      <c r="AQ117" s="18"/>
      <c r="AR117" s="18"/>
      <c r="AS117" s="18"/>
      <c r="AT117" s="18"/>
      <c r="AU117" s="18"/>
      <c r="AV117" s="18"/>
      <c r="AW117" s="18"/>
      <c r="AX117" s="18"/>
      <c r="AY117" s="18"/>
      <c r="AZ117" s="18"/>
      <c r="BA117" s="78"/>
      <c r="BB117" s="18"/>
      <c r="BC117" s="18"/>
      <c r="BD117" s="18"/>
      <c r="BE117" s="18"/>
      <c r="BF117" s="18"/>
      <c r="BG117" s="18"/>
      <c r="BH117" s="18"/>
      <c r="BI117" s="18"/>
      <c r="BJ117" s="18"/>
      <c r="BK117" s="18"/>
      <c r="BL117" s="18"/>
      <c r="BM117" s="18"/>
      <c r="BN117" s="18"/>
      <c r="BO117" s="18"/>
      <c r="BP117" s="18"/>
      <c r="BQ117" s="37">
        <v>43465</v>
      </c>
      <c r="BR117" s="38">
        <v>38878.788500000002</v>
      </c>
      <c r="BS117" s="17"/>
      <c r="BT117" s="37">
        <v>43465</v>
      </c>
      <c r="BU117" s="38">
        <v>2643</v>
      </c>
      <c r="BV117" s="18"/>
      <c r="BW117" s="37"/>
      <c r="BX117" s="38"/>
      <c r="BY117" s="18"/>
      <c r="BZ117" s="39">
        <f t="shared" si="30"/>
        <v>43465</v>
      </c>
      <c r="CA117" s="40">
        <f t="shared" si="31"/>
        <v>38878.788500000002</v>
      </c>
      <c r="CB117" s="17"/>
      <c r="CC117" s="39">
        <f t="shared" si="32"/>
        <v>43465</v>
      </c>
      <c r="CD117" s="40">
        <f t="shared" si="33"/>
        <v>26.43</v>
      </c>
      <c r="CE117" s="18"/>
      <c r="CF117" s="18"/>
      <c r="CG117" s="18"/>
      <c r="CH117" s="18"/>
      <c r="CI117" s="18"/>
      <c r="CJ117" s="18"/>
      <c r="CK117" s="18"/>
      <c r="CL117" s="18"/>
      <c r="CM117" s="18"/>
      <c r="CN117" s="18"/>
      <c r="CO117" s="18"/>
      <c r="CP117" s="18"/>
      <c r="CQ117" s="18"/>
      <c r="CR117" s="18"/>
      <c r="CS117" s="18"/>
      <c r="CT117" s="18"/>
      <c r="CU117" s="18"/>
      <c r="CV117" s="18"/>
      <c r="CW117" s="18"/>
      <c r="CX117" s="18"/>
      <c r="CY117" s="37">
        <v>44929</v>
      </c>
      <c r="CZ117" s="38">
        <v>17.960599999999999</v>
      </c>
      <c r="DA117" s="18"/>
      <c r="DB117" s="37">
        <v>44929</v>
      </c>
      <c r="DC117" s="38">
        <v>18.188099999999999</v>
      </c>
      <c r="DD117" s="18"/>
      <c r="DE117" s="37">
        <v>44929</v>
      </c>
      <c r="DF117" s="38">
        <v>17.029399999999999</v>
      </c>
      <c r="DG117" s="18"/>
      <c r="DH117" s="37">
        <v>44929</v>
      </c>
      <c r="DI117" s="38">
        <v>20.383299999999998</v>
      </c>
      <c r="DJ117" s="18"/>
      <c r="DK117" s="37">
        <v>44929</v>
      </c>
      <c r="DL117" s="38">
        <v>0.12970000000000001</v>
      </c>
      <c r="DM117" s="18"/>
      <c r="DN117" s="18"/>
      <c r="DO117" s="18"/>
      <c r="DP117" s="18"/>
      <c r="DQ117" s="18"/>
      <c r="DR117" s="18"/>
      <c r="DS117" s="18"/>
      <c r="DT117" s="18"/>
      <c r="DU117" s="18"/>
      <c r="DV117" s="18"/>
      <c r="DW117" s="18"/>
      <c r="DX117" s="18"/>
      <c r="DY117" s="18"/>
      <c r="DZ117" s="18"/>
    </row>
    <row r="118" spans="1:130" ht="15" customHeight="1" x14ac:dyDescent="0.3">
      <c r="A118" s="30"/>
      <c r="B118" s="616" t="s">
        <v>1801</v>
      </c>
      <c r="C118" s="617">
        <f t="shared" ref="C118:M118" si="48">SUM(C119:C121)</f>
        <v>3906</v>
      </c>
      <c r="D118" s="617">
        <f t="shared" si="48"/>
        <v>3588</v>
      </c>
      <c r="E118" s="617">
        <f t="shared" si="48"/>
        <v>3546</v>
      </c>
      <c r="F118" s="617">
        <f t="shared" si="48"/>
        <v>23</v>
      </c>
      <c r="G118" s="617">
        <f t="shared" si="48"/>
        <v>20</v>
      </c>
      <c r="H118" s="617">
        <f t="shared" si="48"/>
        <v>274</v>
      </c>
      <c r="I118" s="617">
        <f t="shared" si="48"/>
        <v>254</v>
      </c>
      <c r="J118" s="617">
        <f t="shared" si="48"/>
        <v>337</v>
      </c>
      <c r="K118" s="617">
        <f t="shared" si="48"/>
        <v>315</v>
      </c>
      <c r="L118" s="617">
        <f t="shared" si="48"/>
        <v>217</v>
      </c>
      <c r="M118" s="618">
        <f t="shared" si="48"/>
        <v>238</v>
      </c>
      <c r="N118" s="227"/>
      <c r="O118" s="17"/>
      <c r="P118" s="17"/>
      <c r="Q118" s="17"/>
      <c r="R118" s="17"/>
      <c r="S118" s="17"/>
      <c r="T118" s="17"/>
      <c r="U118" s="18"/>
      <c r="V118" s="18"/>
      <c r="W118" s="18"/>
      <c r="X118" s="18"/>
      <c r="Y118" s="18"/>
      <c r="Z118" s="18"/>
      <c r="AA118" s="18"/>
      <c r="AB118" s="18"/>
      <c r="AC118" s="18"/>
      <c r="AD118" s="18"/>
      <c r="AE118" s="18"/>
      <c r="AF118" s="85"/>
      <c r="AG118" s="85"/>
      <c r="AH118" s="85"/>
      <c r="AI118" s="85"/>
      <c r="AJ118" s="85"/>
      <c r="AK118" s="85"/>
      <c r="AL118" s="85"/>
      <c r="AM118" s="85"/>
      <c r="AN118" s="18"/>
      <c r="AO118" s="18"/>
      <c r="AP118" s="77"/>
      <c r="AQ118" s="18"/>
      <c r="AR118" s="18"/>
      <c r="AS118" s="18"/>
      <c r="AT118" s="18"/>
      <c r="AU118" s="18"/>
      <c r="AV118" s="18"/>
      <c r="AW118" s="18"/>
      <c r="AX118" s="18"/>
      <c r="AY118" s="18"/>
      <c r="AZ118" s="18"/>
      <c r="BA118" s="78"/>
      <c r="BB118" s="18"/>
      <c r="BC118" s="18"/>
      <c r="BD118" s="18"/>
      <c r="BE118" s="18"/>
      <c r="BF118" s="18"/>
      <c r="BG118" s="18"/>
      <c r="BH118" s="18"/>
      <c r="BI118" s="18"/>
      <c r="BJ118" s="18"/>
      <c r="BK118" s="18"/>
      <c r="BL118" s="18"/>
      <c r="BM118" s="18"/>
      <c r="BN118" s="18"/>
      <c r="BO118" s="18"/>
      <c r="BP118" s="18"/>
      <c r="BQ118" s="37">
        <v>43496</v>
      </c>
      <c r="BR118" s="38">
        <v>36407.491999999998</v>
      </c>
      <c r="BS118" s="17"/>
      <c r="BT118" s="37">
        <v>43496</v>
      </c>
      <c r="BU118" s="38">
        <v>2475</v>
      </c>
      <c r="BV118" s="18"/>
      <c r="BW118" s="37"/>
      <c r="BX118" s="38"/>
      <c r="BY118" s="18"/>
      <c r="BZ118" s="39">
        <f t="shared" si="30"/>
        <v>43496</v>
      </c>
      <c r="CA118" s="40">
        <f t="shared" si="31"/>
        <v>36407.491999999998</v>
      </c>
      <c r="CB118" s="17"/>
      <c r="CC118" s="39">
        <f t="shared" si="32"/>
        <v>43496</v>
      </c>
      <c r="CD118" s="40">
        <f t="shared" si="33"/>
        <v>24.75</v>
      </c>
      <c r="CE118" s="18"/>
      <c r="CF118" s="18"/>
      <c r="CG118" s="18"/>
      <c r="CH118" s="18"/>
      <c r="CI118" s="18"/>
      <c r="CJ118" s="18"/>
      <c r="CK118" s="18"/>
      <c r="CL118" s="18"/>
      <c r="CM118" s="18"/>
      <c r="CN118" s="18"/>
      <c r="CO118" s="18"/>
      <c r="CP118" s="18"/>
      <c r="CQ118" s="18"/>
      <c r="CR118" s="18"/>
      <c r="CS118" s="18"/>
      <c r="CT118" s="18"/>
      <c r="CU118" s="18"/>
      <c r="CV118" s="18"/>
      <c r="CW118" s="18"/>
      <c r="CX118" s="18"/>
      <c r="CY118" s="37">
        <v>44930</v>
      </c>
      <c r="CZ118" s="38">
        <v>17.905100000000001</v>
      </c>
      <c r="DA118" s="18"/>
      <c r="DB118" s="37">
        <v>44930</v>
      </c>
      <c r="DC118" s="38">
        <v>18.160900000000002</v>
      </c>
      <c r="DD118" s="18"/>
      <c r="DE118" s="37">
        <v>44930</v>
      </c>
      <c r="DF118" s="38">
        <v>16.883800000000001</v>
      </c>
      <c r="DG118" s="18"/>
      <c r="DH118" s="37">
        <v>44930</v>
      </c>
      <c r="DI118" s="38">
        <v>20.357800000000001</v>
      </c>
      <c r="DJ118" s="18"/>
      <c r="DK118" s="37">
        <v>44930</v>
      </c>
      <c r="DL118" s="38">
        <v>0.12770000000000001</v>
      </c>
      <c r="DM118" s="18"/>
      <c r="DN118" s="18"/>
      <c r="DO118" s="18"/>
      <c r="DP118" s="18"/>
      <c r="DQ118" s="18"/>
      <c r="DR118" s="18"/>
      <c r="DS118" s="18"/>
      <c r="DT118" s="18"/>
      <c r="DU118" s="18"/>
      <c r="DV118" s="18"/>
      <c r="DW118" s="18"/>
      <c r="DX118" s="18"/>
      <c r="DY118" s="18"/>
      <c r="DZ118" s="18"/>
    </row>
    <row r="119" spans="1:130" ht="15" customHeight="1" x14ac:dyDescent="0.3">
      <c r="A119" s="30" t="s">
        <v>827</v>
      </c>
      <c r="B119" s="73" t="s">
        <v>828</v>
      </c>
      <c r="C119" s="74" t="s">
        <v>615</v>
      </c>
      <c r="D119" s="74" t="s">
        <v>615</v>
      </c>
      <c r="E119" s="74" t="s">
        <v>615</v>
      </c>
      <c r="F119" s="74">
        <v>23</v>
      </c>
      <c r="G119" s="74">
        <v>20</v>
      </c>
      <c r="H119" s="74">
        <v>274</v>
      </c>
      <c r="I119" s="74">
        <v>254</v>
      </c>
      <c r="J119" s="74">
        <v>337</v>
      </c>
      <c r="K119" s="74">
        <v>315</v>
      </c>
      <c r="L119" s="74">
        <v>217</v>
      </c>
      <c r="M119" s="75">
        <v>238</v>
      </c>
      <c r="N119" s="227"/>
      <c r="O119" s="17"/>
      <c r="P119" s="17"/>
      <c r="Q119" s="17"/>
      <c r="R119" s="17"/>
      <c r="S119" s="17"/>
      <c r="T119" s="17"/>
      <c r="U119" s="18"/>
      <c r="V119" s="18"/>
      <c r="W119" s="18"/>
      <c r="X119" s="18"/>
      <c r="Y119" s="18"/>
      <c r="Z119" s="18"/>
      <c r="AA119" s="18"/>
      <c r="AB119" s="18"/>
      <c r="AC119" s="18"/>
      <c r="AD119" s="18"/>
      <c r="AE119" s="18"/>
      <c r="AF119" s="85"/>
      <c r="AG119" s="85"/>
      <c r="AH119" s="85"/>
      <c r="AI119" s="85"/>
      <c r="AJ119" s="85"/>
      <c r="AK119" s="85"/>
      <c r="AL119" s="85"/>
      <c r="AM119" s="85"/>
      <c r="AN119" s="18"/>
      <c r="AO119" s="18"/>
      <c r="AP119" s="77"/>
      <c r="AQ119" s="18"/>
      <c r="AR119" s="18"/>
      <c r="AS119" s="18"/>
      <c r="AT119" s="18"/>
      <c r="AU119" s="18"/>
      <c r="AV119" s="18"/>
      <c r="AW119" s="18"/>
      <c r="AX119" s="18"/>
      <c r="AY119" s="18"/>
      <c r="AZ119" s="18"/>
      <c r="BA119" s="78"/>
      <c r="BB119" s="18"/>
      <c r="BC119" s="18"/>
      <c r="BD119" s="18"/>
      <c r="BE119" s="18"/>
      <c r="BF119" s="18"/>
      <c r="BG119" s="18"/>
      <c r="BH119" s="18"/>
      <c r="BI119" s="18"/>
      <c r="BJ119" s="18"/>
      <c r="BK119" s="18"/>
      <c r="BL119" s="18"/>
      <c r="BM119" s="18"/>
      <c r="BN119" s="18"/>
      <c r="BO119" s="18"/>
      <c r="BP119" s="18"/>
      <c r="BQ119" s="37">
        <v>43524</v>
      </c>
      <c r="BR119" s="38">
        <v>36940.729399999997</v>
      </c>
      <c r="BS119" s="17"/>
      <c r="BT119" s="37">
        <v>43524</v>
      </c>
      <c r="BU119" s="38">
        <v>2544</v>
      </c>
      <c r="BV119" s="18"/>
      <c r="BW119" s="37"/>
      <c r="BX119" s="38"/>
      <c r="BY119" s="18"/>
      <c r="BZ119" s="39">
        <f t="shared" si="30"/>
        <v>43524</v>
      </c>
      <c r="CA119" s="40">
        <f t="shared" si="31"/>
        <v>36940.729399999997</v>
      </c>
      <c r="CB119" s="17"/>
      <c r="CC119" s="39">
        <f t="shared" si="32"/>
        <v>43524</v>
      </c>
      <c r="CD119" s="40">
        <f t="shared" si="33"/>
        <v>25.44</v>
      </c>
      <c r="CE119" s="18"/>
      <c r="CF119" s="18"/>
      <c r="CG119" s="18"/>
      <c r="CH119" s="18"/>
      <c r="CI119" s="18"/>
      <c r="CJ119" s="18"/>
      <c r="CK119" s="18"/>
      <c r="CL119" s="18"/>
      <c r="CM119" s="18"/>
      <c r="CN119" s="18"/>
      <c r="CO119" s="18"/>
      <c r="CP119" s="18"/>
      <c r="CQ119" s="18"/>
      <c r="CR119" s="18"/>
      <c r="CS119" s="18"/>
      <c r="CT119" s="18"/>
      <c r="CU119" s="18"/>
      <c r="CV119" s="18"/>
      <c r="CW119" s="18"/>
      <c r="CX119" s="18"/>
      <c r="CY119" s="37">
        <v>44931</v>
      </c>
      <c r="CZ119" s="38">
        <v>18.063199999999998</v>
      </c>
      <c r="DA119" s="18"/>
      <c r="DB119" s="37">
        <v>44931</v>
      </c>
      <c r="DC119" s="38">
        <v>18.334499999999998</v>
      </c>
      <c r="DD119" s="18"/>
      <c r="DE119" s="37">
        <v>44931</v>
      </c>
      <c r="DF119" s="38">
        <v>17.165099999999999</v>
      </c>
      <c r="DG119" s="18"/>
      <c r="DH119" s="37">
        <v>44931</v>
      </c>
      <c r="DI119" s="38">
        <v>20.4434</v>
      </c>
      <c r="DJ119" s="18"/>
      <c r="DK119" s="37">
        <v>44931</v>
      </c>
      <c r="DL119" s="38">
        <v>0.12870000000000001</v>
      </c>
      <c r="DM119" s="18"/>
      <c r="DN119" s="18"/>
      <c r="DO119" s="18"/>
      <c r="DP119" s="18"/>
      <c r="DQ119" s="18"/>
      <c r="DR119" s="18"/>
      <c r="DS119" s="18"/>
      <c r="DT119" s="18"/>
      <c r="DU119" s="18"/>
      <c r="DV119" s="18"/>
      <c r="DW119" s="18"/>
      <c r="DX119" s="18"/>
      <c r="DY119" s="18"/>
      <c r="DZ119" s="18"/>
    </row>
    <row r="120" spans="1:130" ht="15" customHeight="1" x14ac:dyDescent="0.3">
      <c r="A120" s="30" t="s">
        <v>1792</v>
      </c>
      <c r="B120" s="73" t="s">
        <v>1793</v>
      </c>
      <c r="C120" s="74" t="s">
        <v>615</v>
      </c>
      <c r="D120" s="74" t="s">
        <v>615</v>
      </c>
      <c r="E120" s="74" t="s">
        <v>615</v>
      </c>
      <c r="F120" s="74" t="s">
        <v>615</v>
      </c>
      <c r="G120" s="74" t="s">
        <v>615</v>
      </c>
      <c r="H120" s="74" t="s">
        <v>615</v>
      </c>
      <c r="I120" s="74" t="s">
        <v>615</v>
      </c>
      <c r="J120" s="74" t="s">
        <v>615</v>
      </c>
      <c r="K120" s="74" t="s">
        <v>615</v>
      </c>
      <c r="L120" s="74" t="s">
        <v>615</v>
      </c>
      <c r="M120" s="75" t="s">
        <v>615</v>
      </c>
      <c r="N120" s="227"/>
      <c r="O120" s="17"/>
      <c r="P120" s="17"/>
      <c r="Q120" s="17"/>
      <c r="R120" s="17"/>
      <c r="S120" s="17"/>
      <c r="T120" s="17"/>
      <c r="U120" s="18"/>
      <c r="V120" s="18"/>
      <c r="W120" s="18"/>
      <c r="X120" s="18"/>
      <c r="Y120" s="18"/>
      <c r="Z120" s="18"/>
      <c r="AA120" s="18"/>
      <c r="AB120" s="18"/>
      <c r="AC120" s="18"/>
      <c r="AD120" s="18"/>
      <c r="AE120" s="18"/>
      <c r="AF120" s="85"/>
      <c r="AG120" s="85"/>
      <c r="AH120" s="85"/>
      <c r="AI120" s="85"/>
      <c r="AJ120" s="85"/>
      <c r="AK120" s="85"/>
      <c r="AL120" s="85"/>
      <c r="AM120" s="85"/>
      <c r="AN120" s="18"/>
      <c r="AO120" s="18"/>
      <c r="AP120" s="77"/>
      <c r="AQ120" s="18"/>
      <c r="AR120" s="18"/>
      <c r="AS120" s="18"/>
      <c r="AT120" s="18"/>
      <c r="AU120" s="18"/>
      <c r="AV120" s="18"/>
      <c r="AW120" s="18"/>
      <c r="AX120" s="18"/>
      <c r="AY120" s="18"/>
      <c r="AZ120" s="18"/>
      <c r="BA120" s="78"/>
      <c r="BB120" s="18"/>
      <c r="BC120" s="18"/>
      <c r="BD120" s="18"/>
      <c r="BE120" s="18"/>
      <c r="BF120" s="18"/>
      <c r="BG120" s="18"/>
      <c r="BH120" s="18"/>
      <c r="BI120" s="18"/>
      <c r="BJ120" s="18"/>
      <c r="BK120" s="18"/>
      <c r="BL120" s="18"/>
      <c r="BM120" s="18"/>
      <c r="BN120" s="18"/>
      <c r="BO120" s="18"/>
      <c r="BP120" s="18"/>
      <c r="BQ120" s="37">
        <v>43553</v>
      </c>
      <c r="BR120" s="38">
        <v>33905.897400000002</v>
      </c>
      <c r="BS120" s="17"/>
      <c r="BT120" s="37">
        <v>43553</v>
      </c>
      <c r="BU120" s="38">
        <v>2335</v>
      </c>
      <c r="BV120" s="18"/>
      <c r="BW120" s="37"/>
      <c r="BX120" s="38"/>
      <c r="BY120" s="18"/>
      <c r="BZ120" s="39">
        <f t="shared" si="30"/>
        <v>43553</v>
      </c>
      <c r="CA120" s="40">
        <f t="shared" si="31"/>
        <v>33905.897400000002</v>
      </c>
      <c r="CB120" s="17"/>
      <c r="CC120" s="39">
        <f t="shared" si="32"/>
        <v>43553</v>
      </c>
      <c r="CD120" s="40">
        <f t="shared" si="33"/>
        <v>23.35</v>
      </c>
      <c r="CE120" s="18"/>
      <c r="CF120" s="18"/>
      <c r="CG120" s="18"/>
      <c r="CH120" s="18"/>
      <c r="CI120" s="18"/>
      <c r="CJ120" s="18"/>
      <c r="CK120" s="18"/>
      <c r="CL120" s="18"/>
      <c r="CM120" s="18"/>
      <c r="CN120" s="18"/>
      <c r="CO120" s="18"/>
      <c r="CP120" s="18"/>
      <c r="CQ120" s="18"/>
      <c r="CR120" s="18"/>
      <c r="CS120" s="18"/>
      <c r="CT120" s="18"/>
      <c r="CU120" s="18"/>
      <c r="CV120" s="18"/>
      <c r="CW120" s="18"/>
      <c r="CX120" s="18"/>
      <c r="CY120" s="37">
        <v>44932</v>
      </c>
      <c r="CZ120" s="38">
        <v>18.207899999999999</v>
      </c>
      <c r="DA120" s="18"/>
      <c r="DB120" s="37">
        <v>44932</v>
      </c>
      <c r="DC120" s="38">
        <v>18.439399999999999</v>
      </c>
      <c r="DD120" s="18"/>
      <c r="DE120" s="37">
        <v>44932</v>
      </c>
      <c r="DF120" s="38">
        <v>17.106999999999999</v>
      </c>
      <c r="DG120" s="18"/>
      <c r="DH120" s="37">
        <v>44932</v>
      </c>
      <c r="DI120" s="38">
        <v>20.687799999999999</v>
      </c>
      <c r="DJ120" s="18"/>
      <c r="DK120" s="37">
        <v>44932</v>
      </c>
      <c r="DL120" s="38">
        <v>0.12959999999999999</v>
      </c>
      <c r="DM120" s="18"/>
      <c r="DN120" s="18"/>
      <c r="DO120" s="18"/>
      <c r="DP120" s="18"/>
      <c r="DQ120" s="18"/>
      <c r="DR120" s="18"/>
      <c r="DS120" s="18"/>
      <c r="DT120" s="18"/>
      <c r="DU120" s="18"/>
      <c r="DV120" s="18"/>
      <c r="DW120" s="18"/>
      <c r="DX120" s="18"/>
      <c r="DY120" s="18"/>
      <c r="DZ120" s="18"/>
    </row>
    <row r="121" spans="1:130" ht="15" customHeight="1" x14ac:dyDescent="0.3">
      <c r="A121" s="30" t="s">
        <v>1794</v>
      </c>
      <c r="B121" s="73" t="s">
        <v>1795</v>
      </c>
      <c r="C121" s="74">
        <v>3906</v>
      </c>
      <c r="D121" s="74">
        <v>3588</v>
      </c>
      <c r="E121" s="74">
        <v>3546</v>
      </c>
      <c r="F121" s="74" t="s">
        <v>615</v>
      </c>
      <c r="G121" s="74" t="s">
        <v>615</v>
      </c>
      <c r="H121" s="74" t="s">
        <v>615</v>
      </c>
      <c r="I121" s="74" t="s">
        <v>615</v>
      </c>
      <c r="J121" s="74" t="s">
        <v>615</v>
      </c>
      <c r="K121" s="74" t="s">
        <v>615</v>
      </c>
      <c r="L121" s="74" t="s">
        <v>615</v>
      </c>
      <c r="M121" s="75" t="s">
        <v>615</v>
      </c>
      <c r="N121" s="227"/>
      <c r="O121" s="17"/>
      <c r="P121" s="17"/>
      <c r="Q121" s="17"/>
      <c r="R121" s="17"/>
      <c r="S121" s="17"/>
      <c r="T121" s="17"/>
      <c r="U121" s="18"/>
      <c r="V121" s="18"/>
      <c r="W121" s="18"/>
      <c r="X121" s="18"/>
      <c r="Y121" s="18"/>
      <c r="Z121" s="18"/>
      <c r="AA121" s="18"/>
      <c r="AB121" s="18"/>
      <c r="AC121" s="18"/>
      <c r="AD121" s="18"/>
      <c r="AE121" s="18"/>
      <c r="AF121" s="85"/>
      <c r="AG121" s="85"/>
      <c r="AH121" s="85"/>
      <c r="AI121" s="85"/>
      <c r="AJ121" s="85"/>
      <c r="AK121" s="85"/>
      <c r="AL121" s="85"/>
      <c r="AM121" s="85"/>
      <c r="AN121" s="18"/>
      <c r="AO121" s="18"/>
      <c r="AP121" s="77"/>
      <c r="AQ121" s="18"/>
      <c r="AR121" s="18"/>
      <c r="AS121" s="18"/>
      <c r="AT121" s="18"/>
      <c r="AU121" s="18"/>
      <c r="AV121" s="18"/>
      <c r="AW121" s="18"/>
      <c r="AX121" s="18"/>
      <c r="AY121" s="18"/>
      <c r="AZ121" s="18"/>
      <c r="BA121" s="78"/>
      <c r="BB121" s="18"/>
      <c r="BC121" s="18"/>
      <c r="BD121" s="18"/>
      <c r="BE121" s="18"/>
      <c r="BF121" s="18"/>
      <c r="BG121" s="18"/>
      <c r="BH121" s="18"/>
      <c r="BI121" s="18"/>
      <c r="BJ121" s="18"/>
      <c r="BK121" s="18"/>
      <c r="BL121" s="18"/>
      <c r="BM121" s="18"/>
      <c r="BN121" s="18"/>
      <c r="BO121" s="18"/>
      <c r="BP121" s="18"/>
      <c r="BQ121" s="37">
        <v>43585</v>
      </c>
      <c r="BR121" s="38">
        <v>34820.703200000004</v>
      </c>
      <c r="BS121" s="17"/>
      <c r="BT121" s="37">
        <v>43585</v>
      </c>
      <c r="BU121" s="38">
        <v>2398</v>
      </c>
      <c r="BV121" s="18"/>
      <c r="BW121" s="37"/>
      <c r="BX121" s="38"/>
      <c r="BY121" s="18"/>
      <c r="BZ121" s="39">
        <f t="shared" si="30"/>
        <v>43585</v>
      </c>
      <c r="CA121" s="40">
        <f t="shared" si="31"/>
        <v>34820.703200000004</v>
      </c>
      <c r="CB121" s="17"/>
      <c r="CC121" s="39">
        <f t="shared" si="32"/>
        <v>43585</v>
      </c>
      <c r="CD121" s="40">
        <f t="shared" si="33"/>
        <v>23.98</v>
      </c>
      <c r="CE121" s="18"/>
      <c r="CF121" s="18"/>
      <c r="CG121" s="18"/>
      <c r="CH121" s="18"/>
      <c r="CI121" s="18"/>
      <c r="CJ121" s="18"/>
      <c r="CK121" s="18"/>
      <c r="CL121" s="18"/>
      <c r="CM121" s="18"/>
      <c r="CN121" s="18"/>
      <c r="CO121" s="18"/>
      <c r="CP121" s="18"/>
      <c r="CQ121" s="18"/>
      <c r="CR121" s="18"/>
      <c r="CS121" s="18"/>
      <c r="CT121" s="18"/>
      <c r="CU121" s="18"/>
      <c r="CV121" s="18"/>
      <c r="CW121" s="18"/>
      <c r="CX121" s="18"/>
      <c r="CY121" s="37">
        <v>44935</v>
      </c>
      <c r="CZ121" s="38">
        <v>18.188600000000001</v>
      </c>
      <c r="DA121" s="18"/>
      <c r="DB121" s="37">
        <v>44935</v>
      </c>
      <c r="DC121" s="38">
        <v>18.403099999999998</v>
      </c>
      <c r="DD121" s="18"/>
      <c r="DE121" s="37">
        <v>44935</v>
      </c>
      <c r="DF121" s="38">
        <v>16.952400000000001</v>
      </c>
      <c r="DG121" s="18"/>
      <c r="DH121" s="37">
        <v>44935</v>
      </c>
      <c r="DI121" s="38">
        <v>20.651</v>
      </c>
      <c r="DJ121" s="18"/>
      <c r="DK121" s="37">
        <v>44935</v>
      </c>
      <c r="DL121" s="38">
        <v>0.12870000000000001</v>
      </c>
      <c r="DM121" s="18"/>
      <c r="DN121" s="18"/>
      <c r="DO121" s="18"/>
      <c r="DP121" s="18"/>
      <c r="DQ121" s="18"/>
      <c r="DR121" s="18"/>
      <c r="DS121" s="18"/>
      <c r="DT121" s="18"/>
      <c r="DU121" s="18"/>
      <c r="DV121" s="18"/>
      <c r="DW121" s="18"/>
      <c r="DX121" s="18"/>
      <c r="DY121" s="18"/>
      <c r="DZ121" s="18"/>
    </row>
    <row r="122" spans="1:130" ht="15" customHeight="1" x14ac:dyDescent="0.3">
      <c r="A122" s="30" t="s">
        <v>372</v>
      </c>
      <c r="B122" s="73" t="s">
        <v>219</v>
      </c>
      <c r="C122" s="74">
        <v>874</v>
      </c>
      <c r="D122" s="74">
        <v>886</v>
      </c>
      <c r="E122" s="74">
        <v>821</v>
      </c>
      <c r="F122" s="74">
        <v>823</v>
      </c>
      <c r="G122" s="74">
        <v>813</v>
      </c>
      <c r="H122" s="74">
        <v>4352</v>
      </c>
      <c r="I122" s="74">
        <v>4029</v>
      </c>
      <c r="J122" s="74">
        <v>2525</v>
      </c>
      <c r="K122" s="74">
        <v>1929</v>
      </c>
      <c r="L122" s="74">
        <v>1533</v>
      </c>
      <c r="M122" s="75">
        <v>11300</v>
      </c>
      <c r="N122" s="227"/>
      <c r="O122" s="17"/>
      <c r="P122" s="17"/>
      <c r="Q122" s="17"/>
      <c r="R122" s="17"/>
      <c r="S122" s="17"/>
      <c r="T122" s="17"/>
      <c r="U122" s="18"/>
      <c r="V122" s="18"/>
      <c r="W122" s="18"/>
      <c r="X122" s="18"/>
      <c r="Y122" s="18"/>
      <c r="Z122" s="18"/>
      <c r="AA122" s="18"/>
      <c r="AB122" s="18"/>
      <c r="AC122" s="18"/>
      <c r="AD122" s="18"/>
      <c r="AE122" s="18" t="str">
        <f t="shared" ref="AE122:AE149" si="49">B122</f>
        <v>Other Long-Term Liabilities</v>
      </c>
      <c r="AF122" s="85">
        <f t="shared" ref="AF122:AF149" si="50">C122-AQ122</f>
        <v>0</v>
      </c>
      <c r="AG122" s="85">
        <f t="shared" ref="AG122:AG149" si="51">D122-AR122</f>
        <v>0</v>
      </c>
      <c r="AH122" s="85">
        <f t="shared" ref="AH122:AH149" si="52">E122-AS122</f>
        <v>0</v>
      </c>
      <c r="AI122" s="85">
        <f t="shared" ref="AI122:AI149" si="53">F122-AT122</f>
        <v>0</v>
      </c>
      <c r="AJ122" s="85">
        <f t="shared" ref="AJ122:AJ149" si="54">G122-AU122</f>
        <v>0</v>
      </c>
      <c r="AK122" s="85">
        <f t="shared" ref="AK122:AK149" si="55">H122-AV122</f>
        <v>0</v>
      </c>
      <c r="AL122" s="85">
        <f t="shared" ref="AL122:AL149" si="56">I122-AW122</f>
        <v>0</v>
      </c>
      <c r="AM122" s="85">
        <f t="shared" ref="AM122:AM149" si="57">J122-AX122</f>
        <v>0</v>
      </c>
      <c r="AN122" s="18"/>
      <c r="AO122" s="18"/>
      <c r="AP122" s="77" t="s">
        <v>219</v>
      </c>
      <c r="AQ122" s="18">
        <f>_xll.BDH($B$10,"BS_OTHER_LT_LIABILITIES","-10FY","","Per=fy","Days=W","Fill=E","Curr=","DtFmt=P","Sort=D","Dts=H","Dir=H","FILING_STATUS,EQY_CONSOLIDATED","MR,","cols=11;rows=1")</f>
        <v>874</v>
      </c>
      <c r="AR122" s="18">
        <v>886</v>
      </c>
      <c r="AS122" s="18">
        <v>821</v>
      </c>
      <c r="AT122" s="18">
        <v>823</v>
      </c>
      <c r="AU122" s="18">
        <v>813</v>
      </c>
      <c r="AV122" s="18">
        <v>4352</v>
      </c>
      <c r="AW122" s="18">
        <v>4029</v>
      </c>
      <c r="AX122" s="18">
        <v>2525</v>
      </c>
      <c r="AY122" s="18">
        <v>1929</v>
      </c>
      <c r="AZ122" s="18">
        <v>1533</v>
      </c>
      <c r="BA122" s="78">
        <v>11300</v>
      </c>
      <c r="BB122" s="18"/>
      <c r="BC122" s="18"/>
      <c r="BD122" s="18"/>
      <c r="BE122" s="18"/>
      <c r="BF122" s="18"/>
      <c r="BG122" s="18"/>
      <c r="BH122" s="18"/>
      <c r="BI122" s="18"/>
      <c r="BJ122" s="18"/>
      <c r="BK122" s="18"/>
      <c r="BL122" s="18"/>
      <c r="BM122" s="18"/>
      <c r="BN122" s="18"/>
      <c r="BO122" s="18"/>
      <c r="BP122" s="18"/>
      <c r="BQ122" s="37">
        <v>43616</v>
      </c>
      <c r="BR122" s="38">
        <v>27008.552100000001</v>
      </c>
      <c r="BS122" s="17"/>
      <c r="BT122" s="37">
        <v>43616</v>
      </c>
      <c r="BU122" s="38">
        <v>1860</v>
      </c>
      <c r="BV122" s="18"/>
      <c r="BW122" s="37"/>
      <c r="BX122" s="38"/>
      <c r="BY122" s="18"/>
      <c r="BZ122" s="39">
        <f t="shared" si="30"/>
        <v>43616</v>
      </c>
      <c r="CA122" s="40">
        <f t="shared" si="31"/>
        <v>27008.552100000001</v>
      </c>
      <c r="CB122" s="17"/>
      <c r="CC122" s="39">
        <f t="shared" si="32"/>
        <v>43616</v>
      </c>
      <c r="CD122" s="40">
        <f t="shared" si="33"/>
        <v>18.600000000000001</v>
      </c>
      <c r="CE122" s="18"/>
      <c r="CF122" s="18"/>
      <c r="CG122" s="18"/>
      <c r="CH122" s="18"/>
      <c r="CI122" s="18"/>
      <c r="CJ122" s="18"/>
      <c r="CK122" s="18"/>
      <c r="CL122" s="18"/>
      <c r="CM122" s="18"/>
      <c r="CN122" s="18"/>
      <c r="CO122" s="18"/>
      <c r="CP122" s="18"/>
      <c r="CQ122" s="18"/>
      <c r="CR122" s="18"/>
      <c r="CS122" s="18"/>
      <c r="CT122" s="18"/>
      <c r="CU122" s="18"/>
      <c r="CV122" s="18"/>
      <c r="CW122" s="18"/>
      <c r="CX122" s="18"/>
      <c r="CY122" s="37">
        <v>44936</v>
      </c>
      <c r="CZ122" s="38">
        <v>18.266999999999999</v>
      </c>
      <c r="DA122" s="18"/>
      <c r="DB122" s="37">
        <v>44936</v>
      </c>
      <c r="DC122" s="38">
        <v>18.445</v>
      </c>
      <c r="DD122" s="18"/>
      <c r="DE122" s="37">
        <v>44936</v>
      </c>
      <c r="DF122" s="38">
        <v>17.013500000000001</v>
      </c>
      <c r="DG122" s="18"/>
      <c r="DH122" s="37">
        <v>44936</v>
      </c>
      <c r="DI122" s="38">
        <v>20.667200000000001</v>
      </c>
      <c r="DJ122" s="18"/>
      <c r="DK122" s="37">
        <v>44936</v>
      </c>
      <c r="DL122" s="38">
        <v>0.1288</v>
      </c>
      <c r="DM122" s="18"/>
      <c r="DN122" s="18"/>
      <c r="DO122" s="18"/>
      <c r="DP122" s="18"/>
      <c r="DQ122" s="18"/>
      <c r="DR122" s="18"/>
      <c r="DS122" s="18"/>
      <c r="DT122" s="18"/>
      <c r="DU122" s="18"/>
      <c r="DV122" s="18"/>
      <c r="DW122" s="18"/>
      <c r="DX122" s="18"/>
      <c r="DY122" s="18"/>
      <c r="DZ122" s="18"/>
    </row>
    <row r="123" spans="1:130" ht="15" customHeight="1" x14ac:dyDescent="0.3">
      <c r="A123" s="30" t="s">
        <v>373</v>
      </c>
      <c r="B123" s="73" t="s">
        <v>220</v>
      </c>
      <c r="C123" s="74">
        <v>10045</v>
      </c>
      <c r="D123" s="74">
        <v>9410</v>
      </c>
      <c r="E123" s="74">
        <v>11128</v>
      </c>
      <c r="F123" s="74">
        <v>5884</v>
      </c>
      <c r="G123" s="74">
        <v>5927</v>
      </c>
      <c r="H123" s="74">
        <v>11559</v>
      </c>
      <c r="I123" s="74">
        <v>10161</v>
      </c>
      <c r="J123" s="74">
        <v>8629</v>
      </c>
      <c r="K123" s="74">
        <v>6868</v>
      </c>
      <c r="L123" s="74">
        <v>6823</v>
      </c>
      <c r="M123" s="75">
        <v>38315</v>
      </c>
      <c r="N123" s="227"/>
      <c r="O123" s="17"/>
      <c r="P123" s="17"/>
      <c r="Q123" s="17"/>
      <c r="R123" s="17"/>
      <c r="S123" s="17"/>
      <c r="T123" s="17"/>
      <c r="U123" s="18"/>
      <c r="V123" s="18"/>
      <c r="W123" s="18"/>
      <c r="X123" s="18"/>
      <c r="Y123" s="18"/>
      <c r="Z123" s="18"/>
      <c r="AA123" s="18"/>
      <c r="AB123" s="18"/>
      <c r="AC123" s="18"/>
      <c r="AD123" s="18"/>
      <c r="AE123" s="18" t="str">
        <f t="shared" si="49"/>
        <v>Total Long-Term Liabilities</v>
      </c>
      <c r="AF123" s="85">
        <f t="shared" si="50"/>
        <v>0</v>
      </c>
      <c r="AG123" s="85">
        <f t="shared" si="51"/>
        <v>0</v>
      </c>
      <c r="AH123" s="85">
        <f t="shared" si="52"/>
        <v>0</v>
      </c>
      <c r="AI123" s="85">
        <f t="shared" si="53"/>
        <v>0</v>
      </c>
      <c r="AJ123" s="85">
        <f t="shared" si="54"/>
        <v>0</v>
      </c>
      <c r="AK123" s="85">
        <f t="shared" si="55"/>
        <v>0</v>
      </c>
      <c r="AL123" s="85">
        <f t="shared" si="56"/>
        <v>0</v>
      </c>
      <c r="AM123" s="85">
        <f t="shared" si="57"/>
        <v>0</v>
      </c>
      <c r="AN123" s="18"/>
      <c r="AO123" s="18"/>
      <c r="AP123" s="77" t="s">
        <v>220</v>
      </c>
      <c r="AQ123" s="86">
        <f>_xll.BDH($B$10,"NON_CUR_LIAB","-10FY","","Per=fy","Days=W","Fill=E","Curr=","DtFmt=P","Sort=D","Dts=H","Dir=H","FILING_STATUS,EQY_CONSOLIDATED","MR,","cols=11;rows=1")</f>
        <v>10045</v>
      </c>
      <c r="AR123" s="86">
        <v>9410</v>
      </c>
      <c r="AS123" s="86">
        <v>11128</v>
      </c>
      <c r="AT123" s="86">
        <v>5884</v>
      </c>
      <c r="AU123" s="86">
        <v>5927</v>
      </c>
      <c r="AV123" s="86">
        <v>11559</v>
      </c>
      <c r="AW123" s="86">
        <v>10161</v>
      </c>
      <c r="AX123" s="86">
        <v>8629</v>
      </c>
      <c r="AY123" s="86">
        <v>6868</v>
      </c>
      <c r="AZ123" s="86">
        <v>6823</v>
      </c>
      <c r="BA123" s="87">
        <v>38315</v>
      </c>
      <c r="BB123" s="18"/>
      <c r="BC123" s="18"/>
      <c r="BD123" s="18"/>
      <c r="BE123" s="18"/>
      <c r="BF123" s="18"/>
      <c r="BG123" s="18"/>
      <c r="BH123" s="18"/>
      <c r="BI123" s="18"/>
      <c r="BJ123" s="18"/>
      <c r="BK123" s="18"/>
      <c r="BL123" s="18"/>
      <c r="BM123" s="18"/>
      <c r="BN123" s="18"/>
      <c r="BO123" s="18"/>
      <c r="BP123" s="18"/>
      <c r="BQ123" s="37">
        <v>43644</v>
      </c>
      <c r="BR123" s="38">
        <v>26104.141299999999</v>
      </c>
      <c r="BS123" s="17"/>
      <c r="BT123" s="37">
        <v>43644</v>
      </c>
      <c r="BU123" s="38">
        <v>1798</v>
      </c>
      <c r="BV123" s="18"/>
      <c r="BW123" s="37"/>
      <c r="BX123" s="38"/>
      <c r="BY123" s="18"/>
      <c r="BZ123" s="39">
        <f t="shared" si="30"/>
        <v>43644</v>
      </c>
      <c r="CA123" s="40">
        <f t="shared" si="31"/>
        <v>26104.141299999999</v>
      </c>
      <c r="CB123" s="17"/>
      <c r="CC123" s="39">
        <f t="shared" si="32"/>
        <v>43644</v>
      </c>
      <c r="CD123" s="40">
        <f t="shared" si="33"/>
        <v>17.98</v>
      </c>
      <c r="CE123" s="18"/>
      <c r="CF123" s="18"/>
      <c r="CG123" s="18"/>
      <c r="CH123" s="18"/>
      <c r="CI123" s="18"/>
      <c r="CJ123" s="18"/>
      <c r="CK123" s="18"/>
      <c r="CL123" s="18"/>
      <c r="CM123" s="18"/>
      <c r="CN123" s="18"/>
      <c r="CO123" s="18"/>
      <c r="CP123" s="18"/>
      <c r="CQ123" s="18"/>
      <c r="CR123" s="18"/>
      <c r="CS123" s="18"/>
      <c r="CT123" s="18"/>
      <c r="CU123" s="18"/>
      <c r="CV123" s="18"/>
      <c r="CW123" s="18"/>
      <c r="CX123" s="18"/>
      <c r="CY123" s="37">
        <v>44937</v>
      </c>
      <c r="CZ123" s="38">
        <v>18.215599999999998</v>
      </c>
      <c r="DA123" s="18"/>
      <c r="DB123" s="37">
        <v>44937</v>
      </c>
      <c r="DC123" s="38">
        <v>18.169599999999999</v>
      </c>
      <c r="DD123" s="18"/>
      <c r="DE123" s="37">
        <v>44937</v>
      </c>
      <c r="DF123" s="38">
        <v>16.9175</v>
      </c>
      <c r="DG123" s="18"/>
      <c r="DH123" s="37">
        <v>44937</v>
      </c>
      <c r="DI123" s="38">
        <v>20.568300000000001</v>
      </c>
      <c r="DJ123" s="18"/>
      <c r="DK123" s="37">
        <v>44937</v>
      </c>
      <c r="DL123" s="38">
        <v>0.1283</v>
      </c>
      <c r="DM123" s="18"/>
      <c r="DN123" s="18"/>
      <c r="DO123" s="18"/>
      <c r="DP123" s="18"/>
      <c r="DQ123" s="18"/>
      <c r="DR123" s="18"/>
      <c r="DS123" s="18"/>
      <c r="DT123" s="18"/>
      <c r="DU123" s="18"/>
      <c r="DV123" s="18"/>
      <c r="DW123" s="18"/>
      <c r="DX123" s="18"/>
      <c r="DY123" s="18"/>
      <c r="DZ123" s="18"/>
    </row>
    <row r="124" spans="1:130" ht="15" customHeight="1" thickBot="1" x14ac:dyDescent="0.35">
      <c r="A124" s="30" t="s">
        <v>169</v>
      </c>
      <c r="B124" s="90" t="s">
        <v>46</v>
      </c>
      <c r="C124" s="91">
        <v>15326</v>
      </c>
      <c r="D124" s="91">
        <v>15032</v>
      </c>
      <c r="E124" s="91">
        <v>16145</v>
      </c>
      <c r="F124" s="91">
        <v>11180</v>
      </c>
      <c r="G124" s="91">
        <v>10133</v>
      </c>
      <c r="H124" s="91">
        <v>19250</v>
      </c>
      <c r="I124" s="91">
        <v>17650</v>
      </c>
      <c r="J124" s="91">
        <v>17383</v>
      </c>
      <c r="K124" s="91">
        <v>14545</v>
      </c>
      <c r="L124" s="91">
        <v>13393</v>
      </c>
      <c r="M124" s="92">
        <v>45242</v>
      </c>
      <c r="N124" s="227"/>
      <c r="O124" s="17"/>
      <c r="P124" s="17"/>
      <c r="Q124" s="17"/>
      <c r="R124" s="17"/>
      <c r="S124" s="17"/>
      <c r="T124" s="17"/>
      <c r="U124" s="18"/>
      <c r="V124" s="18"/>
      <c r="W124" s="18"/>
      <c r="X124" s="18"/>
      <c r="Y124" s="18"/>
      <c r="Z124" s="18"/>
      <c r="AA124" s="18"/>
      <c r="AB124" s="18"/>
      <c r="AC124" s="18"/>
      <c r="AD124" s="18"/>
      <c r="AE124" s="18" t="str">
        <f t="shared" si="49"/>
        <v>Total Liabilities</v>
      </c>
      <c r="AF124" s="85">
        <f t="shared" si="50"/>
        <v>0</v>
      </c>
      <c r="AG124" s="85">
        <f t="shared" si="51"/>
        <v>0</v>
      </c>
      <c r="AH124" s="85">
        <f t="shared" si="52"/>
        <v>0</v>
      </c>
      <c r="AI124" s="85">
        <f t="shared" si="53"/>
        <v>0</v>
      </c>
      <c r="AJ124" s="85">
        <f t="shared" si="54"/>
        <v>0</v>
      </c>
      <c r="AK124" s="85">
        <f t="shared" si="55"/>
        <v>0</v>
      </c>
      <c r="AL124" s="85">
        <f t="shared" si="56"/>
        <v>0</v>
      </c>
      <c r="AM124" s="85">
        <f t="shared" si="57"/>
        <v>0</v>
      </c>
      <c r="AN124" s="18"/>
      <c r="AO124" s="18"/>
      <c r="AP124" s="105" t="s">
        <v>46</v>
      </c>
      <c r="AQ124" s="86">
        <f>_xll.BDH($B$10,"BS_TOT_LIAB2","-10FY","","Per=fy","Days=W","Fill=E","Curr=","DtFmt=P","Sort=D","Dts=H","Dir=H","FILING_STATUS,EQY_CONSOLIDATED","MR,","cols=11;rows=1")</f>
        <v>15326</v>
      </c>
      <c r="AR124" s="86">
        <v>15032</v>
      </c>
      <c r="AS124" s="86">
        <v>16145</v>
      </c>
      <c r="AT124" s="86">
        <v>11180</v>
      </c>
      <c r="AU124" s="86">
        <v>10133</v>
      </c>
      <c r="AV124" s="86">
        <v>19250</v>
      </c>
      <c r="AW124" s="86">
        <v>17650</v>
      </c>
      <c r="AX124" s="86">
        <v>17383</v>
      </c>
      <c r="AY124" s="86">
        <v>14545</v>
      </c>
      <c r="AZ124" s="86">
        <v>13393</v>
      </c>
      <c r="BA124" s="87">
        <v>45242</v>
      </c>
      <c r="BB124" s="18"/>
      <c r="BC124" s="18"/>
      <c r="BD124" s="18"/>
      <c r="BE124" s="18"/>
      <c r="BF124" s="18"/>
      <c r="BG124" s="18"/>
      <c r="BH124" s="18"/>
      <c r="BI124" s="18"/>
      <c r="BJ124" s="18"/>
      <c r="BK124" s="18"/>
      <c r="BL124" s="18"/>
      <c r="BM124" s="18"/>
      <c r="BN124" s="18"/>
      <c r="BO124" s="18"/>
      <c r="BP124" s="18"/>
      <c r="BQ124" s="37">
        <v>43677</v>
      </c>
      <c r="BR124" s="38">
        <v>24303.8557</v>
      </c>
      <c r="BS124" s="17"/>
      <c r="BT124" s="37">
        <v>43677</v>
      </c>
      <c r="BU124" s="38">
        <v>1674</v>
      </c>
      <c r="BV124" s="18"/>
      <c r="BW124" s="37"/>
      <c r="BX124" s="38"/>
      <c r="BY124" s="18"/>
      <c r="BZ124" s="39">
        <f t="shared" si="30"/>
        <v>43677</v>
      </c>
      <c r="CA124" s="40">
        <f t="shared" si="31"/>
        <v>24303.8557</v>
      </c>
      <c r="CB124" s="17"/>
      <c r="CC124" s="39">
        <f t="shared" si="32"/>
        <v>43677</v>
      </c>
      <c r="CD124" s="40">
        <f t="shared" si="33"/>
        <v>16.740000000000002</v>
      </c>
      <c r="CE124" s="18"/>
      <c r="CF124" s="18"/>
      <c r="CG124" s="18"/>
      <c r="CH124" s="18"/>
      <c r="CI124" s="18"/>
      <c r="CJ124" s="18"/>
      <c r="CK124" s="18"/>
      <c r="CL124" s="18"/>
      <c r="CM124" s="18"/>
      <c r="CN124" s="18"/>
      <c r="CO124" s="18"/>
      <c r="CP124" s="18"/>
      <c r="CQ124" s="18"/>
      <c r="CR124" s="18"/>
      <c r="CS124" s="18"/>
      <c r="CT124" s="18"/>
      <c r="CU124" s="18"/>
      <c r="CV124" s="18"/>
      <c r="CW124" s="18"/>
      <c r="CX124" s="18"/>
      <c r="CY124" s="37">
        <v>44938</v>
      </c>
      <c r="CZ124" s="38">
        <v>18.1965</v>
      </c>
      <c r="DA124" s="18"/>
      <c r="DB124" s="37">
        <v>44938</v>
      </c>
      <c r="DC124" s="38">
        <v>18.057600000000001</v>
      </c>
      <c r="DD124" s="18"/>
      <c r="DE124" s="37">
        <v>44938</v>
      </c>
      <c r="DF124" s="38">
        <v>16.742899999999999</v>
      </c>
      <c r="DG124" s="18"/>
      <c r="DH124" s="37">
        <v>44938</v>
      </c>
      <c r="DI124" s="38">
        <v>20.462299999999999</v>
      </c>
      <c r="DJ124" s="18"/>
      <c r="DK124" s="37">
        <v>44938</v>
      </c>
      <c r="DL124" s="38">
        <v>0.12970000000000001</v>
      </c>
      <c r="DM124" s="18"/>
      <c r="DN124" s="18"/>
      <c r="DO124" s="18"/>
      <c r="DP124" s="18"/>
      <c r="DQ124" s="18"/>
      <c r="DR124" s="18"/>
      <c r="DS124" s="18"/>
      <c r="DT124" s="18"/>
      <c r="DU124" s="18"/>
      <c r="DV124" s="18"/>
      <c r="DW124" s="18"/>
      <c r="DX124" s="18"/>
      <c r="DY124" s="18"/>
      <c r="DZ124" s="18"/>
    </row>
    <row r="125" spans="1:130" ht="15" customHeight="1" x14ac:dyDescent="0.3">
      <c r="A125" s="100" t="s">
        <v>818</v>
      </c>
      <c r="B125" s="90" t="s">
        <v>221</v>
      </c>
      <c r="C125" s="91">
        <v>644</v>
      </c>
      <c r="D125" s="91">
        <v>644</v>
      </c>
      <c r="E125" s="91">
        <v>644</v>
      </c>
      <c r="F125" s="91">
        <v>644</v>
      </c>
      <c r="G125" s="91">
        <v>644</v>
      </c>
      <c r="H125" s="91">
        <v>644</v>
      </c>
      <c r="I125" s="91">
        <v>644</v>
      </c>
      <c r="J125" s="91">
        <v>644</v>
      </c>
      <c r="K125" s="91">
        <v>644</v>
      </c>
      <c r="L125" s="91">
        <v>644</v>
      </c>
      <c r="M125" s="92">
        <v>644</v>
      </c>
      <c r="N125" s="227"/>
      <c r="O125" s="17"/>
      <c r="P125" s="17"/>
      <c r="Q125" s="17"/>
      <c r="R125" s="17"/>
      <c r="S125" s="17"/>
      <c r="T125" s="17"/>
      <c r="U125" s="18"/>
      <c r="V125" s="18"/>
      <c r="W125" s="18"/>
      <c r="X125" s="18"/>
      <c r="Y125" s="18"/>
      <c r="Z125" s="18"/>
      <c r="AA125" s="18"/>
      <c r="AB125" s="18"/>
      <c r="AC125" s="18"/>
      <c r="AD125" s="18"/>
      <c r="AE125" s="18" t="str">
        <f t="shared" si="49"/>
        <v>Total Preferred Equity</v>
      </c>
      <c r="AF125" s="85">
        <f t="shared" si="50"/>
        <v>0</v>
      </c>
      <c r="AG125" s="85">
        <f t="shared" si="51"/>
        <v>0</v>
      </c>
      <c r="AH125" s="85">
        <f t="shared" si="52"/>
        <v>0</v>
      </c>
      <c r="AI125" s="85">
        <f t="shared" si="53"/>
        <v>0</v>
      </c>
      <c r="AJ125" s="85">
        <f t="shared" si="54"/>
        <v>0</v>
      </c>
      <c r="AK125" s="85">
        <f t="shared" si="55"/>
        <v>0</v>
      </c>
      <c r="AL125" s="85">
        <f t="shared" si="56"/>
        <v>0</v>
      </c>
      <c r="AM125" s="85">
        <f t="shared" si="57"/>
        <v>0</v>
      </c>
      <c r="AN125" s="18"/>
      <c r="AO125" s="18"/>
      <c r="AP125" s="77" t="s">
        <v>221</v>
      </c>
      <c r="AQ125" s="18">
        <f>_xll.BDH($B$10,"BS_PFD_EQY","-10FY","","Per=fy","Days=W","Fill=E","Curr=","DtFmt=P","Sort=D","Dts=H","Dir=H","FILING_STATUS,EQY_CONSOLIDATED","MR,","cols=11;rows=1")</f>
        <v>644</v>
      </c>
      <c r="AR125" s="18">
        <v>644</v>
      </c>
      <c r="AS125" s="18">
        <v>644</v>
      </c>
      <c r="AT125" s="18">
        <v>644</v>
      </c>
      <c r="AU125" s="18">
        <v>644</v>
      </c>
      <c r="AV125" s="18">
        <v>644</v>
      </c>
      <c r="AW125" s="18">
        <v>644</v>
      </c>
      <c r="AX125" s="18">
        <v>644</v>
      </c>
      <c r="AY125" s="18">
        <v>644</v>
      </c>
      <c r="AZ125" s="18">
        <v>644</v>
      </c>
      <c r="BA125" s="78">
        <v>644</v>
      </c>
      <c r="BB125" s="18"/>
      <c r="BC125" s="18"/>
      <c r="BD125" s="18"/>
      <c r="BE125" s="18"/>
      <c r="BF125" s="18"/>
      <c r="BG125" s="18"/>
      <c r="BH125" s="18"/>
      <c r="BI125" s="18"/>
      <c r="BJ125" s="18"/>
      <c r="BK125" s="18"/>
      <c r="BL125" s="18"/>
      <c r="BM125" s="18"/>
      <c r="BN125" s="18"/>
      <c r="BO125" s="18"/>
      <c r="BP125" s="18"/>
      <c r="BQ125" s="37">
        <v>43707</v>
      </c>
      <c r="BR125" s="38">
        <v>23665.044600000001</v>
      </c>
      <c r="BS125" s="17"/>
      <c r="BT125" s="37">
        <v>43707</v>
      </c>
      <c r="BU125" s="38">
        <v>1630</v>
      </c>
      <c r="BV125" s="18"/>
      <c r="BW125" s="37"/>
      <c r="BX125" s="38"/>
      <c r="BY125" s="18"/>
      <c r="BZ125" s="39">
        <f t="shared" si="30"/>
        <v>43707</v>
      </c>
      <c r="CA125" s="40">
        <f t="shared" si="31"/>
        <v>23665.044600000001</v>
      </c>
      <c r="CB125" s="17"/>
      <c r="CC125" s="39">
        <f t="shared" si="32"/>
        <v>43707</v>
      </c>
      <c r="CD125" s="40">
        <f t="shared" si="33"/>
        <v>16.3</v>
      </c>
      <c r="CE125" s="18"/>
      <c r="CF125" s="18"/>
      <c r="CG125" s="18"/>
      <c r="CH125" s="18"/>
      <c r="CI125" s="18"/>
      <c r="CJ125" s="18"/>
      <c r="CK125" s="18"/>
      <c r="CL125" s="18"/>
      <c r="CM125" s="18"/>
      <c r="CN125" s="18"/>
      <c r="CO125" s="18"/>
      <c r="CP125" s="18"/>
      <c r="CQ125" s="18"/>
      <c r="CR125" s="18"/>
      <c r="CS125" s="18"/>
      <c r="CT125" s="18"/>
      <c r="CU125" s="18"/>
      <c r="CV125" s="18"/>
      <c r="CW125" s="18"/>
      <c r="CX125" s="18"/>
      <c r="CY125" s="37">
        <v>44939</v>
      </c>
      <c r="CZ125" s="38">
        <v>18.223299999999998</v>
      </c>
      <c r="DA125" s="18"/>
      <c r="DB125" s="37">
        <v>44939</v>
      </c>
      <c r="DC125" s="38">
        <v>18.167999999999999</v>
      </c>
      <c r="DD125" s="18"/>
      <c r="DE125" s="37">
        <v>44939</v>
      </c>
      <c r="DF125" s="38">
        <v>16.828700000000001</v>
      </c>
      <c r="DG125" s="18"/>
      <c r="DH125" s="37">
        <v>44939</v>
      </c>
      <c r="DI125" s="38">
        <v>20.587800000000001</v>
      </c>
      <c r="DJ125" s="18"/>
      <c r="DK125" s="37">
        <v>44939</v>
      </c>
      <c r="DL125" s="38">
        <v>0.13170000000000001</v>
      </c>
      <c r="DM125" s="18"/>
      <c r="DN125" s="18"/>
      <c r="DO125" s="18"/>
      <c r="DP125" s="18"/>
      <c r="DQ125" s="18"/>
      <c r="DR125" s="18"/>
      <c r="DS125" s="18"/>
      <c r="DT125" s="18"/>
      <c r="DU125" s="18"/>
      <c r="DV125" s="18"/>
      <c r="DW125" s="18"/>
      <c r="DX125" s="18"/>
      <c r="DY125" s="18"/>
      <c r="DZ125" s="18"/>
    </row>
    <row r="126" spans="1:130" ht="15" customHeight="1" x14ac:dyDescent="0.3">
      <c r="A126" s="100" t="s">
        <v>591</v>
      </c>
      <c r="B126" s="73" t="s">
        <v>616</v>
      </c>
      <c r="C126" s="74">
        <v>54</v>
      </c>
      <c r="D126" s="74">
        <v>12</v>
      </c>
      <c r="E126" s="74">
        <v>32</v>
      </c>
      <c r="F126" s="74">
        <v>52</v>
      </c>
      <c r="G126" s="74">
        <v>50</v>
      </c>
      <c r="H126" s="74">
        <v>-64</v>
      </c>
      <c r="I126" s="74">
        <v>2188</v>
      </c>
      <c r="J126" s="74">
        <v>3325</v>
      </c>
      <c r="K126" s="74">
        <v>2882</v>
      </c>
      <c r="L126" s="74">
        <v>2611</v>
      </c>
      <c r="M126" s="75">
        <v>-2666</v>
      </c>
      <c r="N126" s="227"/>
      <c r="O126" s="17"/>
      <c r="P126" s="17"/>
      <c r="Q126" s="17"/>
      <c r="R126" s="17"/>
      <c r="S126" s="17"/>
      <c r="T126" s="17"/>
      <c r="U126" s="18"/>
      <c r="V126" s="18"/>
      <c r="W126" s="18"/>
      <c r="X126" s="18"/>
      <c r="Y126" s="18"/>
      <c r="Z126" s="18"/>
      <c r="AA126" s="18"/>
      <c r="AB126" s="18"/>
      <c r="AC126" s="18"/>
      <c r="AD126" s="18"/>
      <c r="AE126" s="18" t="str">
        <f t="shared" si="49"/>
        <v>BS Minority Interest</v>
      </c>
      <c r="AF126" s="85">
        <f t="shared" si="50"/>
        <v>0</v>
      </c>
      <c r="AG126" s="85">
        <f t="shared" si="51"/>
        <v>0</v>
      </c>
      <c r="AH126" s="85">
        <f t="shared" si="52"/>
        <v>0</v>
      </c>
      <c r="AI126" s="85">
        <f t="shared" si="53"/>
        <v>0</v>
      </c>
      <c r="AJ126" s="85">
        <f t="shared" si="54"/>
        <v>0</v>
      </c>
      <c r="AK126" s="85">
        <f t="shared" si="55"/>
        <v>0</v>
      </c>
      <c r="AL126" s="85">
        <f t="shared" si="56"/>
        <v>0</v>
      </c>
      <c r="AM126" s="85">
        <f t="shared" si="57"/>
        <v>0</v>
      </c>
      <c r="AN126" s="18"/>
      <c r="AO126" s="18"/>
      <c r="AP126" s="77" t="s">
        <v>42</v>
      </c>
      <c r="AQ126" s="18">
        <f>_xll.BDH($B$10,"BS_MINORITY_INT","-10FY","","Per=fy","Days=W","Fill=E","Curr=","DtFmt=P","Sort=D","Dts=H","Dir=H","FILING_STATUS,EQY_CONSOLIDATED","MR,","cols=11;rows=1")</f>
        <v>54</v>
      </c>
      <c r="AR126" s="18">
        <v>12</v>
      </c>
      <c r="AS126" s="18">
        <v>32</v>
      </c>
      <c r="AT126" s="18">
        <v>52</v>
      </c>
      <c r="AU126" s="18">
        <v>50</v>
      </c>
      <c r="AV126" s="18">
        <v>-64</v>
      </c>
      <c r="AW126" s="18">
        <v>2188</v>
      </c>
      <c r="AX126" s="18">
        <v>3325</v>
      </c>
      <c r="AY126" s="18">
        <v>2882</v>
      </c>
      <c r="AZ126" s="18">
        <v>2611</v>
      </c>
      <c r="BA126" s="78">
        <v>-2666</v>
      </c>
      <c r="BB126" s="18"/>
      <c r="BC126" s="18"/>
      <c r="BD126" s="18"/>
      <c r="BE126" s="18"/>
      <c r="BF126" s="18"/>
      <c r="BG126" s="18"/>
      <c r="BH126" s="18"/>
      <c r="BI126" s="18"/>
      <c r="BJ126" s="18"/>
      <c r="BK126" s="18"/>
      <c r="BL126" s="18"/>
      <c r="BM126" s="18"/>
      <c r="BN126" s="18"/>
      <c r="BO126" s="18"/>
      <c r="BP126" s="18"/>
      <c r="BQ126" s="37">
        <v>43738</v>
      </c>
      <c r="BR126" s="38">
        <v>25479.848699999999</v>
      </c>
      <c r="BS126" s="17"/>
      <c r="BT126" s="37">
        <v>43738</v>
      </c>
      <c r="BU126" s="38">
        <v>1755</v>
      </c>
      <c r="BV126" s="18"/>
      <c r="BW126" s="37"/>
      <c r="BX126" s="38"/>
      <c r="BY126" s="18"/>
      <c r="BZ126" s="39">
        <f t="shared" si="30"/>
        <v>43738</v>
      </c>
      <c r="CA126" s="40">
        <f t="shared" si="31"/>
        <v>25479.848699999999</v>
      </c>
      <c r="CB126" s="17"/>
      <c r="CC126" s="39">
        <f t="shared" si="32"/>
        <v>43738</v>
      </c>
      <c r="CD126" s="40">
        <f t="shared" si="33"/>
        <v>17.55</v>
      </c>
      <c r="CE126" s="18"/>
      <c r="CF126" s="18"/>
      <c r="CG126" s="18"/>
      <c r="CH126" s="18"/>
      <c r="CI126" s="18"/>
      <c r="CJ126" s="18"/>
      <c r="CK126" s="18"/>
      <c r="CL126" s="18"/>
      <c r="CM126" s="18"/>
      <c r="CN126" s="18"/>
      <c r="CO126" s="18"/>
      <c r="CP126" s="18"/>
      <c r="CQ126" s="18"/>
      <c r="CR126" s="18"/>
      <c r="CS126" s="18"/>
      <c r="CT126" s="18"/>
      <c r="CU126" s="18"/>
      <c r="CV126" s="18"/>
      <c r="CW126" s="18"/>
      <c r="CX126" s="18"/>
      <c r="CY126" s="37">
        <v>44942</v>
      </c>
      <c r="CZ126" s="38">
        <v>18.473600000000001</v>
      </c>
      <c r="DA126" s="18"/>
      <c r="DB126" s="37">
        <v>44942</v>
      </c>
      <c r="DC126" s="38">
        <v>18.427800000000001</v>
      </c>
      <c r="DD126" s="18"/>
      <c r="DE126" s="37">
        <v>44942</v>
      </c>
      <c r="DF126" s="38">
        <v>17.057099999999998</v>
      </c>
      <c r="DG126" s="18"/>
      <c r="DH126" s="37">
        <v>44942</v>
      </c>
      <c r="DI126" s="38">
        <v>20.825199999999999</v>
      </c>
      <c r="DJ126" s="18"/>
      <c r="DK126" s="37">
        <v>44942</v>
      </c>
      <c r="DL126" s="38">
        <v>0.13289999999999999</v>
      </c>
      <c r="DM126" s="18"/>
      <c r="DN126" s="18"/>
      <c r="DO126" s="18"/>
      <c r="DP126" s="18"/>
      <c r="DQ126" s="18"/>
      <c r="DR126" s="18"/>
      <c r="DS126" s="18"/>
      <c r="DT126" s="18"/>
      <c r="DU126" s="18"/>
      <c r="DV126" s="18"/>
      <c r="DW126" s="18"/>
      <c r="DX126" s="18"/>
      <c r="DY126" s="18"/>
      <c r="DZ126" s="18"/>
    </row>
    <row r="127" spans="1:130" ht="15" customHeight="1" x14ac:dyDescent="0.3">
      <c r="A127" s="30" t="s">
        <v>374</v>
      </c>
      <c r="B127" s="73" t="s">
        <v>222</v>
      </c>
      <c r="C127" s="74">
        <v>4297</v>
      </c>
      <c r="D127" s="74">
        <v>4297</v>
      </c>
      <c r="E127" s="74">
        <v>4297</v>
      </c>
      <c r="F127" s="74">
        <v>4334</v>
      </c>
      <c r="G127" s="74">
        <v>4391</v>
      </c>
      <c r="H127" s="74">
        <v>4205</v>
      </c>
      <c r="I127" s="74">
        <v>4197</v>
      </c>
      <c r="J127" s="74">
        <v>4033</v>
      </c>
      <c r="K127" s="74">
        <v>962</v>
      </c>
      <c r="L127" s="74">
        <v>934</v>
      </c>
      <c r="M127" s="75">
        <v>720</v>
      </c>
      <c r="N127" s="227"/>
      <c r="O127" s="17"/>
      <c r="P127" s="17"/>
      <c r="Q127" s="17"/>
      <c r="R127" s="17"/>
      <c r="S127" s="17"/>
      <c r="T127" s="17"/>
      <c r="U127" s="18"/>
      <c r="V127" s="18"/>
      <c r="W127" s="18"/>
      <c r="X127" s="18"/>
      <c r="Y127" s="18"/>
      <c r="Z127" s="18"/>
      <c r="AA127" s="18"/>
      <c r="AB127" s="18"/>
      <c r="AC127" s="18"/>
      <c r="AD127" s="18"/>
      <c r="AE127" s="18" t="str">
        <f t="shared" si="49"/>
        <v>Share Capital &amp; APIC</v>
      </c>
      <c r="AF127" s="85">
        <f t="shared" si="50"/>
        <v>0</v>
      </c>
      <c r="AG127" s="85">
        <f t="shared" si="51"/>
        <v>0</v>
      </c>
      <c r="AH127" s="85">
        <f t="shared" si="52"/>
        <v>0</v>
      </c>
      <c r="AI127" s="85">
        <f t="shared" si="53"/>
        <v>0</v>
      </c>
      <c r="AJ127" s="85">
        <f t="shared" si="54"/>
        <v>0</v>
      </c>
      <c r="AK127" s="85">
        <f t="shared" si="55"/>
        <v>0</v>
      </c>
      <c r="AL127" s="85">
        <f t="shared" si="56"/>
        <v>0</v>
      </c>
      <c r="AM127" s="85">
        <f t="shared" si="57"/>
        <v>0</v>
      </c>
      <c r="AN127" s="18"/>
      <c r="AO127" s="18"/>
      <c r="AP127" s="77" t="s">
        <v>222</v>
      </c>
      <c r="AQ127" s="18">
        <f>_xll.BDH($B$10,"BS_SH_CAP_AND_APIC","-10FY","","Per=fy","Days=W","Fill=E","Curr=","DtFmt=P","Sort=D","Dts=H","Dir=H","FILING_STATUS,EQY_CONSOLIDATED","MR,","cols=11;rows=1")</f>
        <v>4297</v>
      </c>
      <c r="AR127" s="18">
        <v>4297</v>
      </c>
      <c r="AS127" s="18">
        <v>4297</v>
      </c>
      <c r="AT127" s="18">
        <v>4334</v>
      </c>
      <c r="AU127" s="18">
        <v>4391</v>
      </c>
      <c r="AV127" s="18">
        <v>4205</v>
      </c>
      <c r="AW127" s="18">
        <v>4197</v>
      </c>
      <c r="AX127" s="18">
        <v>4033</v>
      </c>
      <c r="AY127" s="18">
        <v>962</v>
      </c>
      <c r="AZ127" s="18">
        <v>934</v>
      </c>
      <c r="BA127" s="78">
        <v>720</v>
      </c>
      <c r="BB127" s="18"/>
      <c r="BC127" s="18"/>
      <c r="BD127" s="18"/>
      <c r="BE127" s="18"/>
      <c r="BF127" s="18"/>
      <c r="BG127" s="18"/>
      <c r="BH127" s="18"/>
      <c r="BI127" s="18"/>
      <c r="BJ127" s="18"/>
      <c r="BK127" s="18"/>
      <c r="BL127" s="18"/>
      <c r="BM127" s="18"/>
      <c r="BN127" s="18"/>
      <c r="BO127" s="18"/>
      <c r="BP127" s="18"/>
      <c r="BQ127" s="37">
        <v>43769</v>
      </c>
      <c r="BR127" s="38">
        <v>24841.0376</v>
      </c>
      <c r="BS127" s="17"/>
      <c r="BT127" s="37">
        <v>43769</v>
      </c>
      <c r="BU127" s="38">
        <v>1711</v>
      </c>
      <c r="BV127" s="18"/>
      <c r="BW127" s="37"/>
      <c r="BX127" s="38"/>
      <c r="BY127" s="18"/>
      <c r="BZ127" s="39">
        <f t="shared" si="30"/>
        <v>43769</v>
      </c>
      <c r="CA127" s="40">
        <f t="shared" si="31"/>
        <v>24841.0376</v>
      </c>
      <c r="CB127" s="17"/>
      <c r="CC127" s="39">
        <f t="shared" si="32"/>
        <v>43769</v>
      </c>
      <c r="CD127" s="40">
        <f t="shared" si="33"/>
        <v>17.11</v>
      </c>
      <c r="CE127" s="18"/>
      <c r="CF127" s="18"/>
      <c r="CG127" s="18"/>
      <c r="CH127" s="18"/>
      <c r="CI127" s="18"/>
      <c r="CJ127" s="18"/>
      <c r="CK127" s="18"/>
      <c r="CL127" s="18"/>
      <c r="CM127" s="18"/>
      <c r="CN127" s="18"/>
      <c r="CO127" s="18"/>
      <c r="CP127" s="18"/>
      <c r="CQ127" s="18"/>
      <c r="CR127" s="18"/>
      <c r="CS127" s="18"/>
      <c r="CT127" s="18"/>
      <c r="CU127" s="18"/>
      <c r="CV127" s="18"/>
      <c r="CW127" s="18"/>
      <c r="CX127" s="18"/>
      <c r="CY127" s="37">
        <v>44943</v>
      </c>
      <c r="CZ127" s="38">
        <v>18.412600000000001</v>
      </c>
      <c r="DA127" s="18"/>
      <c r="DB127" s="37">
        <v>44943</v>
      </c>
      <c r="DC127" s="38">
        <v>18.507999999999999</v>
      </c>
      <c r="DD127" s="18"/>
      <c r="DE127" s="37">
        <v>44943</v>
      </c>
      <c r="DF127" s="38">
        <v>17.067</v>
      </c>
      <c r="DG127" s="18"/>
      <c r="DH127" s="37">
        <v>44943</v>
      </c>
      <c r="DI127" s="38">
        <v>20.9651</v>
      </c>
      <c r="DJ127" s="18"/>
      <c r="DK127" s="37">
        <v>44943</v>
      </c>
      <c r="DL127" s="38">
        <v>0.13300000000000001</v>
      </c>
      <c r="DM127" s="18"/>
      <c r="DN127" s="18"/>
      <c r="DO127" s="18"/>
      <c r="DP127" s="18"/>
      <c r="DQ127" s="18"/>
      <c r="DR127" s="18"/>
      <c r="DS127" s="18"/>
      <c r="DT127" s="18"/>
      <c r="DU127" s="18"/>
      <c r="DV127" s="18"/>
      <c r="DW127" s="18"/>
      <c r="DX127" s="18"/>
      <c r="DY127" s="18"/>
      <c r="DZ127" s="18"/>
    </row>
    <row r="128" spans="1:130" ht="15" customHeight="1" x14ac:dyDescent="0.3">
      <c r="A128" s="30" t="s">
        <v>375</v>
      </c>
      <c r="B128" s="73" t="s">
        <v>223</v>
      </c>
      <c r="C128" s="74">
        <v>5949</v>
      </c>
      <c r="D128" s="74">
        <v>5636</v>
      </c>
      <c r="E128" s="74">
        <v>4826</v>
      </c>
      <c r="F128" s="74">
        <v>5205</v>
      </c>
      <c r="G128" s="74">
        <v>5330</v>
      </c>
      <c r="H128" s="74">
        <v>4077</v>
      </c>
      <c r="I128" s="74">
        <v>5980</v>
      </c>
      <c r="J128" s="74">
        <v>6279</v>
      </c>
      <c r="K128" s="74">
        <v>7684</v>
      </c>
      <c r="L128" s="74">
        <v>6226</v>
      </c>
      <c r="M128" s="75">
        <v>282</v>
      </c>
      <c r="N128" s="227"/>
      <c r="O128" s="17"/>
      <c r="P128" s="17"/>
      <c r="Q128" s="17"/>
      <c r="R128" s="17"/>
      <c r="S128" s="17"/>
      <c r="T128" s="17"/>
      <c r="U128" s="18"/>
      <c r="V128" s="18"/>
      <c r="W128" s="18"/>
      <c r="X128" s="18"/>
      <c r="Y128" s="18"/>
      <c r="Z128" s="18"/>
      <c r="AA128" s="18"/>
      <c r="AB128" s="18"/>
      <c r="AC128" s="18"/>
      <c r="AD128" s="18"/>
      <c r="AE128" s="18" t="str">
        <f t="shared" si="49"/>
        <v>Retained Earnings &amp; Other Equity</v>
      </c>
      <c r="AF128" s="85">
        <f t="shared" si="50"/>
        <v>0</v>
      </c>
      <c r="AG128" s="85">
        <f t="shared" si="51"/>
        <v>0</v>
      </c>
      <c r="AH128" s="85">
        <f t="shared" si="52"/>
        <v>0</v>
      </c>
      <c r="AI128" s="85">
        <f t="shared" si="53"/>
        <v>0</v>
      </c>
      <c r="AJ128" s="85">
        <f t="shared" si="54"/>
        <v>0</v>
      </c>
      <c r="AK128" s="85">
        <f t="shared" si="55"/>
        <v>0</v>
      </c>
      <c r="AL128" s="85">
        <f t="shared" si="56"/>
        <v>0</v>
      </c>
      <c r="AM128" s="85">
        <f t="shared" si="57"/>
        <v>0</v>
      </c>
      <c r="AN128" s="18"/>
      <c r="AO128" s="18"/>
      <c r="AP128" s="77" t="s">
        <v>223</v>
      </c>
      <c r="AQ128" s="86">
        <f>_xll.BDH($B$10,"BS_RETAIN_EARN","-10FY","","Per=fy","Days=W","Fill=E","Curr=","DtFmt=P","Sort=D","Dts=H","Dir=H","FILING_STATUS,EQY_CONSOLIDATED","MR,","cols=11;rows=1")</f>
        <v>5949</v>
      </c>
      <c r="AR128" s="86">
        <v>5636</v>
      </c>
      <c r="AS128" s="86">
        <v>4826</v>
      </c>
      <c r="AT128" s="86">
        <v>5205</v>
      </c>
      <c r="AU128" s="86">
        <v>5330</v>
      </c>
      <c r="AV128" s="86">
        <v>4077</v>
      </c>
      <c r="AW128" s="86">
        <v>5980</v>
      </c>
      <c r="AX128" s="86">
        <v>6279</v>
      </c>
      <c r="AY128" s="86">
        <v>7684</v>
      </c>
      <c r="AZ128" s="86">
        <v>6226</v>
      </c>
      <c r="BA128" s="87">
        <v>282</v>
      </c>
      <c r="BB128" s="18"/>
      <c r="BC128" s="18"/>
      <c r="BD128" s="18"/>
      <c r="BE128" s="18"/>
      <c r="BF128" s="18"/>
      <c r="BG128" s="18"/>
      <c r="BH128" s="18"/>
      <c r="BI128" s="18"/>
      <c r="BJ128" s="18"/>
      <c r="BK128" s="18"/>
      <c r="BL128" s="18"/>
      <c r="BM128" s="18"/>
      <c r="BN128" s="18"/>
      <c r="BO128" s="18"/>
      <c r="BP128" s="18"/>
      <c r="BQ128" s="37">
        <v>43798</v>
      </c>
      <c r="BR128" s="38">
        <v>29036.864600000001</v>
      </c>
      <c r="BS128" s="17"/>
      <c r="BT128" s="37">
        <v>43798</v>
      </c>
      <c r="BU128" s="38">
        <v>2000</v>
      </c>
      <c r="BV128" s="18"/>
      <c r="BW128" s="37"/>
      <c r="BX128" s="38"/>
      <c r="BY128" s="18"/>
      <c r="BZ128" s="39">
        <f t="shared" si="30"/>
        <v>43798</v>
      </c>
      <c r="CA128" s="40">
        <f t="shared" si="31"/>
        <v>29036.864600000001</v>
      </c>
      <c r="CB128" s="17"/>
      <c r="CC128" s="39">
        <f t="shared" si="32"/>
        <v>43798</v>
      </c>
      <c r="CD128" s="40">
        <f t="shared" si="33"/>
        <v>20</v>
      </c>
      <c r="CE128" s="18"/>
      <c r="CF128" s="18"/>
      <c r="CG128" s="18"/>
      <c r="CH128" s="18"/>
      <c r="CI128" s="18"/>
      <c r="CJ128" s="18"/>
      <c r="CK128" s="18"/>
      <c r="CL128" s="18"/>
      <c r="CM128" s="18"/>
      <c r="CN128" s="18"/>
      <c r="CO128" s="18"/>
      <c r="CP128" s="18"/>
      <c r="CQ128" s="18"/>
      <c r="CR128" s="18"/>
      <c r="CS128" s="18"/>
      <c r="CT128" s="18"/>
      <c r="CU128" s="18"/>
      <c r="CV128" s="18"/>
      <c r="CW128" s="18"/>
      <c r="CX128" s="18"/>
      <c r="CY128" s="37">
        <v>44944</v>
      </c>
      <c r="CZ128" s="38">
        <v>18.4941</v>
      </c>
      <c r="DA128" s="18"/>
      <c r="DB128" s="37">
        <v>44944</v>
      </c>
      <c r="DC128" s="38">
        <v>18.700299999999999</v>
      </c>
      <c r="DD128" s="18"/>
      <c r="DE128" s="37">
        <v>44944</v>
      </c>
      <c r="DF128" s="38">
        <v>17.127199999999998</v>
      </c>
      <c r="DG128" s="18"/>
      <c r="DH128" s="37">
        <v>44944</v>
      </c>
      <c r="DI128" s="38">
        <v>21.151499999999999</v>
      </c>
      <c r="DJ128" s="18"/>
      <c r="DK128" s="37">
        <v>44944</v>
      </c>
      <c r="DL128" s="38">
        <v>0.13339999999999999</v>
      </c>
      <c r="DM128" s="18"/>
      <c r="DN128" s="18"/>
      <c r="DO128" s="18"/>
      <c r="DP128" s="18"/>
      <c r="DQ128" s="18"/>
      <c r="DR128" s="18"/>
      <c r="DS128" s="18"/>
      <c r="DT128" s="18"/>
      <c r="DU128" s="18"/>
      <c r="DV128" s="18"/>
      <c r="DW128" s="18"/>
      <c r="DX128" s="18"/>
      <c r="DY128" s="18"/>
      <c r="DZ128" s="18"/>
    </row>
    <row r="129" spans="1:130" ht="15" customHeight="1" x14ac:dyDescent="0.3">
      <c r="A129" s="119" t="s">
        <v>166</v>
      </c>
      <c r="B129" s="90" t="s">
        <v>224</v>
      </c>
      <c r="C129" s="91">
        <v>10944</v>
      </c>
      <c r="D129" s="91">
        <v>10589</v>
      </c>
      <c r="E129" s="91">
        <v>9799</v>
      </c>
      <c r="F129" s="91">
        <v>10235</v>
      </c>
      <c r="G129" s="91">
        <v>10415</v>
      </c>
      <c r="H129" s="91">
        <v>8862</v>
      </c>
      <c r="I129" s="91">
        <v>13009</v>
      </c>
      <c r="J129" s="91">
        <v>14281</v>
      </c>
      <c r="K129" s="91">
        <v>12172</v>
      </c>
      <c r="L129" s="91">
        <v>10415</v>
      </c>
      <c r="M129" s="92">
        <v>-1020</v>
      </c>
      <c r="N129" s="227"/>
      <c r="O129" s="17"/>
      <c r="P129" s="17"/>
      <c r="Q129" s="17"/>
      <c r="R129" s="17"/>
      <c r="S129" s="17"/>
      <c r="T129" s="17"/>
      <c r="U129" s="18"/>
      <c r="V129" s="18"/>
      <c r="W129" s="18"/>
      <c r="X129" s="18"/>
      <c r="Y129" s="18"/>
      <c r="Z129" s="18"/>
      <c r="AA129" s="18"/>
      <c r="AB129" s="18"/>
      <c r="AC129" s="18"/>
      <c r="AD129" s="18"/>
      <c r="AE129" s="18" t="str">
        <f t="shared" si="49"/>
        <v>Total Shareholders' Equity</v>
      </c>
      <c r="AF129" s="85">
        <f t="shared" si="50"/>
        <v>0</v>
      </c>
      <c r="AG129" s="85">
        <f t="shared" si="51"/>
        <v>0</v>
      </c>
      <c r="AH129" s="85">
        <f t="shared" si="52"/>
        <v>0</v>
      </c>
      <c r="AI129" s="85">
        <f t="shared" si="53"/>
        <v>0</v>
      </c>
      <c r="AJ129" s="85">
        <f t="shared" si="54"/>
        <v>0</v>
      </c>
      <c r="AK129" s="85">
        <f t="shared" si="55"/>
        <v>0</v>
      </c>
      <c r="AL129" s="85">
        <f t="shared" si="56"/>
        <v>0</v>
      </c>
      <c r="AM129" s="85">
        <f t="shared" si="57"/>
        <v>0</v>
      </c>
      <c r="AN129" s="18"/>
      <c r="AO129" s="18"/>
      <c r="AP129" s="93" t="s">
        <v>224</v>
      </c>
      <c r="AQ129" s="86">
        <f>_xll.BDH($B$10,"TOT_SHRHLDR_EQY","-10FY","","Per=fy","Days=W","Fill=E","Curr=","DtFmt=P","Sort=D","Dts=H","Dir=H","FILING_STATUS,EQY_CONSOLIDATED","MR,","cols=11;rows=1")</f>
        <v>10944</v>
      </c>
      <c r="AR129" s="86">
        <v>10589</v>
      </c>
      <c r="AS129" s="86">
        <v>9799</v>
      </c>
      <c r="AT129" s="86">
        <v>10235</v>
      </c>
      <c r="AU129" s="86">
        <v>10415</v>
      </c>
      <c r="AV129" s="86">
        <v>8862</v>
      </c>
      <c r="AW129" s="86">
        <v>13009</v>
      </c>
      <c r="AX129" s="86">
        <v>14281</v>
      </c>
      <c r="AY129" s="86">
        <v>12172</v>
      </c>
      <c r="AZ129" s="86">
        <v>10415</v>
      </c>
      <c r="BA129" s="87">
        <v>-1020</v>
      </c>
      <c r="BB129" s="18"/>
      <c r="BC129" s="18"/>
      <c r="BD129" s="18"/>
      <c r="BE129" s="18"/>
      <c r="BF129" s="18"/>
      <c r="BG129" s="18"/>
      <c r="BH129" s="18"/>
      <c r="BI129" s="18"/>
      <c r="BJ129" s="18"/>
      <c r="BK129" s="18"/>
      <c r="BL129" s="18"/>
      <c r="BM129" s="18"/>
      <c r="BN129" s="18"/>
      <c r="BO129" s="18"/>
      <c r="BP129" s="18"/>
      <c r="BQ129" s="37">
        <v>43830</v>
      </c>
      <c r="BR129" s="38">
        <v>28004.691599999998</v>
      </c>
      <c r="BS129" s="17"/>
      <c r="BT129" s="37">
        <v>43830</v>
      </c>
      <c r="BU129" s="38">
        <v>1946</v>
      </c>
      <c r="BV129" s="18"/>
      <c r="BW129" s="37"/>
      <c r="BX129" s="38"/>
      <c r="BY129" s="18"/>
      <c r="BZ129" s="39">
        <f t="shared" si="30"/>
        <v>43830</v>
      </c>
      <c r="CA129" s="40">
        <f t="shared" si="31"/>
        <v>28004.691599999998</v>
      </c>
      <c r="CB129" s="17"/>
      <c r="CC129" s="39">
        <f t="shared" si="32"/>
        <v>43830</v>
      </c>
      <c r="CD129" s="40">
        <f t="shared" si="33"/>
        <v>19.46</v>
      </c>
      <c r="CE129" s="18"/>
      <c r="CF129" s="18"/>
      <c r="CG129" s="18"/>
      <c r="CH129" s="18"/>
      <c r="CI129" s="18"/>
      <c r="CJ129" s="18"/>
      <c r="CK129" s="18"/>
      <c r="CL129" s="18"/>
      <c r="CM129" s="18"/>
      <c r="CN129" s="18"/>
      <c r="CO129" s="18"/>
      <c r="CP129" s="18"/>
      <c r="CQ129" s="18"/>
      <c r="CR129" s="18"/>
      <c r="CS129" s="18"/>
      <c r="CT129" s="18"/>
      <c r="CU129" s="18"/>
      <c r="CV129" s="18"/>
      <c r="CW129" s="18"/>
      <c r="CX129" s="18"/>
      <c r="CY129" s="37">
        <v>44945</v>
      </c>
      <c r="CZ129" s="38">
        <v>18.748100000000001</v>
      </c>
      <c r="DA129" s="18"/>
      <c r="DB129" s="37">
        <v>44945</v>
      </c>
      <c r="DC129" s="38">
        <v>18.893000000000001</v>
      </c>
      <c r="DD129" s="18"/>
      <c r="DE129" s="37">
        <v>44945</v>
      </c>
      <c r="DF129" s="38">
        <v>17.301200000000001</v>
      </c>
      <c r="DG129" s="18"/>
      <c r="DH129" s="37">
        <v>44945</v>
      </c>
      <c r="DI129" s="38">
        <v>21.445599999999999</v>
      </c>
      <c r="DJ129" s="18"/>
      <c r="DK129" s="37">
        <v>44945</v>
      </c>
      <c r="DL129" s="38">
        <v>0.1348</v>
      </c>
      <c r="DM129" s="18"/>
      <c r="DN129" s="18"/>
      <c r="DO129" s="18"/>
      <c r="DP129" s="18"/>
      <c r="DQ129" s="18"/>
      <c r="DR129" s="18"/>
      <c r="DS129" s="18"/>
      <c r="DT129" s="18"/>
      <c r="DU129" s="18"/>
      <c r="DV129" s="18"/>
      <c r="DW129" s="18"/>
      <c r="DX129" s="18"/>
      <c r="DY129" s="18"/>
      <c r="DZ129" s="18"/>
    </row>
    <row r="130" spans="1:130" ht="15" customHeight="1" thickBot="1" x14ac:dyDescent="0.35">
      <c r="A130" s="30" t="s">
        <v>376</v>
      </c>
      <c r="B130" s="90" t="s">
        <v>225</v>
      </c>
      <c r="C130" s="91">
        <v>26270</v>
      </c>
      <c r="D130" s="91">
        <v>25621</v>
      </c>
      <c r="E130" s="91">
        <v>25944</v>
      </c>
      <c r="F130" s="91">
        <v>21415</v>
      </c>
      <c r="G130" s="91">
        <v>20548</v>
      </c>
      <c r="H130" s="91">
        <v>28112</v>
      </c>
      <c r="I130" s="91">
        <v>30659</v>
      </c>
      <c r="J130" s="91">
        <v>31664</v>
      </c>
      <c r="K130" s="91">
        <v>26717</v>
      </c>
      <c r="L130" s="91">
        <v>23808</v>
      </c>
      <c r="M130" s="92">
        <v>44222</v>
      </c>
      <c r="N130" s="227"/>
      <c r="O130" s="17"/>
      <c r="P130" s="17"/>
      <c r="Q130" s="17"/>
      <c r="R130" s="17"/>
      <c r="S130" s="17"/>
      <c r="T130" s="17"/>
      <c r="U130" s="18"/>
      <c r="V130" s="18"/>
      <c r="W130" s="18"/>
      <c r="X130" s="18"/>
      <c r="Y130" s="18"/>
      <c r="Z130" s="18"/>
      <c r="AA130" s="18"/>
      <c r="AB130" s="18"/>
      <c r="AC130" s="18"/>
      <c r="AD130" s="18"/>
      <c r="AE130" s="18" t="str">
        <f t="shared" si="49"/>
        <v>Total Liabilities &amp; Equity</v>
      </c>
      <c r="AF130" s="85">
        <f t="shared" si="50"/>
        <v>0</v>
      </c>
      <c r="AG130" s="85">
        <f t="shared" si="51"/>
        <v>0</v>
      </c>
      <c r="AH130" s="85">
        <f t="shared" si="52"/>
        <v>0</v>
      </c>
      <c r="AI130" s="85">
        <f t="shared" si="53"/>
        <v>0</v>
      </c>
      <c r="AJ130" s="85">
        <f t="shared" si="54"/>
        <v>0</v>
      </c>
      <c r="AK130" s="85">
        <f t="shared" si="55"/>
        <v>0</v>
      </c>
      <c r="AL130" s="85">
        <f t="shared" si="56"/>
        <v>0</v>
      </c>
      <c r="AM130" s="85">
        <f t="shared" si="57"/>
        <v>0</v>
      </c>
      <c r="AN130" s="18"/>
      <c r="AO130" s="18"/>
      <c r="AP130" s="105" t="s">
        <v>225</v>
      </c>
      <c r="AQ130" s="86">
        <f>_xll.BDH($B$10,"TOT_LIAB_AND_EQY","-10FY","","Per=fy","Days=W","Fill=E","Curr=","DtFmt=P","Sort=D","Dts=H","Dir=H","FILING_STATUS,EQY_CONSOLIDATED","MR,","cols=11;rows=1")</f>
        <v>26270</v>
      </c>
      <c r="AR130" s="86">
        <v>25621</v>
      </c>
      <c r="AS130" s="86">
        <v>25944</v>
      </c>
      <c r="AT130" s="86">
        <v>21415</v>
      </c>
      <c r="AU130" s="86">
        <v>20548</v>
      </c>
      <c r="AV130" s="86">
        <v>28112</v>
      </c>
      <c r="AW130" s="86">
        <v>30659</v>
      </c>
      <c r="AX130" s="86">
        <v>31664</v>
      </c>
      <c r="AY130" s="86">
        <v>26717</v>
      </c>
      <c r="AZ130" s="86">
        <v>23808</v>
      </c>
      <c r="BA130" s="87">
        <v>44222</v>
      </c>
      <c r="BB130" s="18"/>
      <c r="BC130" s="18"/>
      <c r="BD130" s="18"/>
      <c r="BE130" s="18"/>
      <c r="BF130" s="18"/>
      <c r="BG130" s="18"/>
      <c r="BH130" s="18"/>
      <c r="BI130" s="18"/>
      <c r="BJ130" s="18"/>
      <c r="BK130" s="18"/>
      <c r="BL130" s="18"/>
      <c r="BM130" s="18"/>
      <c r="BN130" s="18"/>
      <c r="BO130" s="18"/>
      <c r="BP130" s="18"/>
      <c r="BQ130" s="37">
        <v>43861</v>
      </c>
      <c r="BR130" s="38">
        <v>28853.754700000001</v>
      </c>
      <c r="BS130" s="17"/>
      <c r="BT130" s="37">
        <v>43861</v>
      </c>
      <c r="BU130" s="38">
        <v>2005</v>
      </c>
      <c r="BV130" s="18"/>
      <c r="BW130" s="37"/>
      <c r="BX130" s="38"/>
      <c r="BY130" s="18"/>
      <c r="BZ130" s="39">
        <f t="shared" si="30"/>
        <v>43861</v>
      </c>
      <c r="CA130" s="40">
        <f t="shared" si="31"/>
        <v>28853.754700000001</v>
      </c>
      <c r="CB130" s="17"/>
      <c r="CC130" s="39">
        <f t="shared" si="32"/>
        <v>43861</v>
      </c>
      <c r="CD130" s="40">
        <f t="shared" si="33"/>
        <v>20.05</v>
      </c>
      <c r="CE130" s="18"/>
      <c r="CF130" s="18"/>
      <c r="CG130" s="18"/>
      <c r="CH130" s="18"/>
      <c r="CI130" s="18"/>
      <c r="CJ130" s="18"/>
      <c r="CK130" s="18"/>
      <c r="CL130" s="18"/>
      <c r="CM130" s="18"/>
      <c r="CN130" s="18"/>
      <c r="CO130" s="18"/>
      <c r="CP130" s="18"/>
      <c r="CQ130" s="18"/>
      <c r="CR130" s="18"/>
      <c r="CS130" s="18"/>
      <c r="CT130" s="18"/>
      <c r="CU130" s="18"/>
      <c r="CV130" s="18"/>
      <c r="CW130" s="18"/>
      <c r="CX130" s="18"/>
      <c r="CY130" s="37">
        <v>44946</v>
      </c>
      <c r="CZ130" s="38">
        <v>18.570399999999999</v>
      </c>
      <c r="DA130" s="18"/>
      <c r="DB130" s="37">
        <v>44946</v>
      </c>
      <c r="DC130" s="38">
        <v>18.5931</v>
      </c>
      <c r="DD130" s="18"/>
      <c r="DE130" s="37">
        <v>44946</v>
      </c>
      <c r="DF130" s="38">
        <v>17.130400000000002</v>
      </c>
      <c r="DG130" s="18"/>
      <c r="DH130" s="37">
        <v>44946</v>
      </c>
      <c r="DI130" s="38">
        <v>21.218699999999998</v>
      </c>
      <c r="DJ130" s="18"/>
      <c r="DK130" s="37">
        <v>44946</v>
      </c>
      <c r="DL130" s="38">
        <v>0.13200000000000001</v>
      </c>
      <c r="DM130" s="18"/>
      <c r="DN130" s="18"/>
      <c r="DO130" s="18"/>
      <c r="DP130" s="18"/>
      <c r="DQ130" s="18"/>
      <c r="DR130" s="18"/>
      <c r="DS130" s="18"/>
      <c r="DT130" s="18"/>
      <c r="DU130" s="18"/>
      <c r="DV130" s="18"/>
      <c r="DW130" s="18"/>
      <c r="DX130" s="18"/>
      <c r="DY130" s="18"/>
      <c r="DZ130" s="18"/>
    </row>
    <row r="131" spans="1:130" ht="15" customHeight="1" x14ac:dyDescent="0.3">
      <c r="A131" s="30" t="s">
        <v>377</v>
      </c>
      <c r="B131" s="90" t="s">
        <v>226</v>
      </c>
      <c r="C131" s="91">
        <v>1338</v>
      </c>
      <c r="D131" s="91">
        <v>1337</v>
      </c>
      <c r="E131" s="91">
        <v>1335</v>
      </c>
      <c r="F131" s="91">
        <v>1345</v>
      </c>
      <c r="G131" s="91">
        <v>1363</v>
      </c>
      <c r="H131" s="91">
        <v>1360</v>
      </c>
      <c r="I131" s="91">
        <v>1356</v>
      </c>
      <c r="J131" s="91">
        <v>1349</v>
      </c>
      <c r="K131" s="91">
        <v>1337</v>
      </c>
      <c r="L131" s="91">
        <v>1329</v>
      </c>
      <c r="M131" s="92">
        <v>1317</v>
      </c>
      <c r="N131" s="227"/>
      <c r="O131" s="17"/>
      <c r="P131" s="17"/>
      <c r="Q131" s="17"/>
      <c r="R131" s="17"/>
      <c r="S131" s="17"/>
      <c r="T131" s="17"/>
      <c r="U131" s="18"/>
      <c r="V131" s="18"/>
      <c r="W131" s="18"/>
      <c r="X131" s="18"/>
      <c r="Y131" s="18"/>
      <c r="Z131" s="18"/>
      <c r="AA131" s="18"/>
      <c r="AB131" s="18"/>
      <c r="AC131" s="18"/>
      <c r="AD131" s="18"/>
      <c r="AE131" s="18" t="str">
        <f t="shared" si="49"/>
        <v>Shares Outstanding</v>
      </c>
      <c r="AF131" s="85">
        <f t="shared" si="50"/>
        <v>0</v>
      </c>
      <c r="AG131" s="85">
        <f t="shared" si="51"/>
        <v>0</v>
      </c>
      <c r="AH131" s="85">
        <f t="shared" si="52"/>
        <v>0</v>
      </c>
      <c r="AI131" s="85">
        <f t="shared" si="53"/>
        <v>0</v>
      </c>
      <c r="AJ131" s="85">
        <f t="shared" si="54"/>
        <v>0</v>
      </c>
      <c r="AK131" s="85">
        <f t="shared" si="55"/>
        <v>0</v>
      </c>
      <c r="AL131" s="85">
        <f t="shared" si="56"/>
        <v>0</v>
      </c>
      <c r="AM131" s="85">
        <f t="shared" si="57"/>
        <v>0</v>
      </c>
      <c r="AN131" s="18"/>
      <c r="AO131" s="18"/>
      <c r="AP131" s="77" t="s">
        <v>226</v>
      </c>
      <c r="AQ131" s="18">
        <f>_xll.BDH($B$10,"BS_SH_OUT","-10FY","","Per=fy","Days=W","Fill=E","Curr=","DtFmt=P","Sort=D","Dts=H","Dir=H","FILING_STATUS,EQY_CONSOLIDATED","MR,","cols=11;rows=1")</f>
        <v>1338</v>
      </c>
      <c r="AR131" s="18">
        <v>1337</v>
      </c>
      <c r="AS131" s="18">
        <v>1335</v>
      </c>
      <c r="AT131" s="18">
        <v>1345</v>
      </c>
      <c r="AU131" s="18">
        <v>1363</v>
      </c>
      <c r="AV131" s="18">
        <v>1360</v>
      </c>
      <c r="AW131" s="18">
        <v>1356</v>
      </c>
      <c r="AX131" s="18">
        <v>1349</v>
      </c>
      <c r="AY131" s="18">
        <v>1337</v>
      </c>
      <c r="AZ131" s="18">
        <v>1329</v>
      </c>
      <c r="BA131" s="78">
        <v>1317</v>
      </c>
      <c r="BB131" s="18"/>
      <c r="BC131" s="18"/>
      <c r="BD131" s="18"/>
      <c r="BE131" s="18"/>
      <c r="BF131" s="18"/>
      <c r="BG131" s="18"/>
      <c r="BH131" s="18"/>
      <c r="BI131" s="18"/>
      <c r="BJ131" s="18"/>
      <c r="BK131" s="18"/>
      <c r="BL131" s="18"/>
      <c r="BM131" s="18"/>
      <c r="BN131" s="18"/>
      <c r="BO131" s="18"/>
      <c r="BP131" s="18"/>
      <c r="BQ131" s="37">
        <v>43889</v>
      </c>
      <c r="BR131" s="38">
        <v>26335.3472</v>
      </c>
      <c r="BS131" s="17"/>
      <c r="BT131" s="37">
        <v>43889</v>
      </c>
      <c r="BU131" s="38">
        <v>1830</v>
      </c>
      <c r="BV131" s="18"/>
      <c r="BW131" s="37"/>
      <c r="BX131" s="38"/>
      <c r="BY131" s="18"/>
      <c r="BZ131" s="39">
        <f t="shared" si="30"/>
        <v>43889</v>
      </c>
      <c r="CA131" s="40">
        <f t="shared" si="31"/>
        <v>26335.3472</v>
      </c>
      <c r="CB131" s="17"/>
      <c r="CC131" s="39">
        <f t="shared" si="32"/>
        <v>43889</v>
      </c>
      <c r="CD131" s="40">
        <f t="shared" si="33"/>
        <v>18.3</v>
      </c>
      <c r="CE131" s="18"/>
      <c r="CF131" s="18"/>
      <c r="CG131" s="18"/>
      <c r="CH131" s="18"/>
      <c r="CI131" s="18"/>
      <c r="CJ131" s="18"/>
      <c r="CK131" s="18"/>
      <c r="CL131" s="18"/>
      <c r="CM131" s="18"/>
      <c r="CN131" s="18"/>
      <c r="CO131" s="18"/>
      <c r="CP131" s="18"/>
      <c r="CQ131" s="18"/>
      <c r="CR131" s="18"/>
      <c r="CS131" s="18"/>
      <c r="CT131" s="18"/>
      <c r="CU131" s="18"/>
      <c r="CV131" s="18"/>
      <c r="CW131" s="18"/>
      <c r="CX131" s="18"/>
      <c r="CY131" s="37">
        <v>44949</v>
      </c>
      <c r="CZ131" s="38">
        <v>18.6782</v>
      </c>
      <c r="DA131" s="18"/>
      <c r="DB131" s="37">
        <v>44949</v>
      </c>
      <c r="DC131" s="38">
        <v>18.638400000000001</v>
      </c>
      <c r="DD131" s="18"/>
      <c r="DE131" s="37">
        <v>44949</v>
      </c>
      <c r="DF131" s="38">
        <v>17.184999999999999</v>
      </c>
      <c r="DG131" s="18"/>
      <c r="DH131" s="37">
        <v>44949</v>
      </c>
      <c r="DI131" s="38">
        <v>21.278400000000001</v>
      </c>
      <c r="DJ131" s="18"/>
      <c r="DK131" s="37">
        <v>44949</v>
      </c>
      <c r="DL131" s="38">
        <v>0.13159999999999999</v>
      </c>
      <c r="DM131" s="18"/>
      <c r="DN131" s="18"/>
      <c r="DO131" s="18"/>
      <c r="DP131" s="18"/>
      <c r="DQ131" s="18"/>
      <c r="DR131" s="18"/>
      <c r="DS131" s="18"/>
      <c r="DT131" s="18"/>
      <c r="DU131" s="18"/>
      <c r="DV131" s="18"/>
      <c r="DW131" s="18"/>
      <c r="DX131" s="18"/>
      <c r="DY131" s="18"/>
      <c r="DZ131" s="18"/>
    </row>
    <row r="132" spans="1:130" ht="15" customHeight="1" x14ac:dyDescent="0.3">
      <c r="A132" s="30" t="s">
        <v>378</v>
      </c>
      <c r="B132" s="73" t="s">
        <v>227</v>
      </c>
      <c r="C132" s="74" t="s">
        <v>615</v>
      </c>
      <c r="D132" s="74" t="s">
        <v>615</v>
      </c>
      <c r="E132" s="74" t="s">
        <v>615</v>
      </c>
      <c r="F132" s="74">
        <v>2821</v>
      </c>
      <c r="G132" s="74">
        <v>3439</v>
      </c>
      <c r="H132" s="74">
        <v>47723</v>
      </c>
      <c r="I132" s="74">
        <v>48537</v>
      </c>
      <c r="J132" s="74">
        <v>57653</v>
      </c>
      <c r="K132" s="74">
        <v>55542</v>
      </c>
      <c r="L132" s="74">
        <v>45722</v>
      </c>
      <c r="M132" s="75">
        <v>5802</v>
      </c>
      <c r="N132" s="227"/>
      <c r="O132" s="17"/>
      <c r="P132" s="17"/>
      <c r="Q132" s="17"/>
      <c r="R132" s="17"/>
      <c r="S132" s="17"/>
      <c r="T132" s="17"/>
      <c r="U132" s="18"/>
      <c r="V132" s="18"/>
      <c r="W132" s="18"/>
      <c r="X132" s="18"/>
      <c r="Y132" s="18"/>
      <c r="Z132" s="18"/>
      <c r="AA132" s="18"/>
      <c r="AB132" s="18"/>
      <c r="AC132" s="18"/>
      <c r="AD132" s="18"/>
      <c r="AE132" s="18" t="str">
        <f t="shared" si="49"/>
        <v>Operating Leases</v>
      </c>
      <c r="AF132" s="85" t="e">
        <f t="shared" si="50"/>
        <v>#VALUE!</v>
      </c>
      <c r="AG132" s="85" t="e">
        <f t="shared" si="51"/>
        <v>#VALUE!</v>
      </c>
      <c r="AH132" s="85" t="e">
        <f t="shared" si="52"/>
        <v>#VALUE!</v>
      </c>
      <c r="AI132" s="85">
        <f t="shared" si="53"/>
        <v>0</v>
      </c>
      <c r="AJ132" s="85">
        <f t="shared" si="54"/>
        <v>0</v>
      </c>
      <c r="AK132" s="85">
        <f t="shared" si="55"/>
        <v>0</v>
      </c>
      <c r="AL132" s="85">
        <f t="shared" si="56"/>
        <v>0</v>
      </c>
      <c r="AM132" s="85">
        <f t="shared" si="57"/>
        <v>0</v>
      </c>
      <c r="AN132" s="18"/>
      <c r="AO132" s="18"/>
      <c r="AP132" s="77" t="s">
        <v>227</v>
      </c>
      <c r="AQ132" s="18" t="str">
        <f>_xll.BDH($B$10,"BS_FUTURE_MIN_OPER_LEASE_OBLIG","-10FY","","Per=fy","Days=W","Fill=E","Curr=","DtFmt=P","Sort=D","Dts=H","Dir=H","FILING_STATUS,EQY_CONSOLIDATED","MR,","cols=11;rows=1")</f>
        <v>#N/A N/A</v>
      </c>
      <c r="AR132" s="18" t="s">
        <v>1811</v>
      </c>
      <c r="AS132" s="18" t="s">
        <v>1811</v>
      </c>
      <c r="AT132" s="18">
        <v>2821</v>
      </c>
      <c r="AU132" s="18">
        <v>3439</v>
      </c>
      <c r="AV132" s="18">
        <v>47723</v>
      </c>
      <c r="AW132" s="18">
        <v>48537</v>
      </c>
      <c r="AX132" s="18">
        <v>57653</v>
      </c>
      <c r="AY132" s="18">
        <v>55542</v>
      </c>
      <c r="AZ132" s="18">
        <v>45722</v>
      </c>
      <c r="BA132" s="78">
        <v>5802</v>
      </c>
      <c r="BB132" s="18"/>
      <c r="BC132" s="18"/>
      <c r="BD132" s="18"/>
      <c r="BE132" s="18"/>
      <c r="BF132" s="18"/>
      <c r="BG132" s="18"/>
      <c r="BH132" s="18"/>
      <c r="BI132" s="18"/>
      <c r="BJ132" s="18"/>
      <c r="BK132" s="18"/>
      <c r="BL132" s="18"/>
      <c r="BM132" s="18"/>
      <c r="BN132" s="18"/>
      <c r="BO132" s="18"/>
      <c r="BP132" s="18"/>
      <c r="BQ132" s="37">
        <v>43921</v>
      </c>
      <c r="BR132" s="38">
        <v>21586.3501</v>
      </c>
      <c r="BS132" s="17"/>
      <c r="BT132" s="37">
        <v>43921</v>
      </c>
      <c r="BU132" s="38">
        <v>1500</v>
      </c>
      <c r="BV132" s="18"/>
      <c r="BW132" s="37"/>
      <c r="BX132" s="38"/>
      <c r="BY132" s="18"/>
      <c r="BZ132" s="39">
        <f t="shared" si="30"/>
        <v>43921</v>
      </c>
      <c r="CA132" s="40">
        <f t="shared" si="31"/>
        <v>21586.3501</v>
      </c>
      <c r="CB132" s="17"/>
      <c r="CC132" s="39">
        <f t="shared" si="32"/>
        <v>43921</v>
      </c>
      <c r="CD132" s="40">
        <f t="shared" si="33"/>
        <v>15</v>
      </c>
      <c r="CE132" s="18"/>
      <c r="CF132" s="18"/>
      <c r="CG132" s="18"/>
      <c r="CH132" s="18"/>
      <c r="CI132" s="18"/>
      <c r="CJ132" s="18"/>
      <c r="CK132" s="18"/>
      <c r="CL132" s="18"/>
      <c r="CM132" s="18"/>
      <c r="CN132" s="18"/>
      <c r="CO132" s="18"/>
      <c r="CP132" s="18"/>
      <c r="CQ132" s="18"/>
      <c r="CR132" s="18"/>
      <c r="CS132" s="18"/>
      <c r="CT132" s="18"/>
      <c r="CU132" s="18"/>
      <c r="CV132" s="18"/>
      <c r="CW132" s="18"/>
      <c r="CX132" s="18"/>
      <c r="CY132" s="37">
        <v>44950</v>
      </c>
      <c r="CZ132" s="38">
        <v>18.7333</v>
      </c>
      <c r="DA132" s="18"/>
      <c r="DB132" s="37">
        <v>44950</v>
      </c>
      <c r="DC132" s="38">
        <v>18.647099999999998</v>
      </c>
      <c r="DD132" s="18"/>
      <c r="DE132" s="37">
        <v>44950</v>
      </c>
      <c r="DF132" s="38">
        <v>17.1997</v>
      </c>
      <c r="DG132" s="18"/>
      <c r="DH132" s="37">
        <v>44950</v>
      </c>
      <c r="DI132" s="38">
        <v>21.204599999999999</v>
      </c>
      <c r="DJ132" s="18"/>
      <c r="DK132" s="37">
        <v>44950</v>
      </c>
      <c r="DL132" s="38">
        <v>0.1321</v>
      </c>
      <c r="DM132" s="18"/>
      <c r="DN132" s="18"/>
      <c r="DO132" s="18"/>
      <c r="DP132" s="18"/>
      <c r="DQ132" s="18"/>
      <c r="DR132" s="18"/>
      <c r="DS132" s="18"/>
      <c r="DT132" s="18"/>
      <c r="DU132" s="18"/>
      <c r="DV132" s="18"/>
      <c r="DW132" s="18"/>
      <c r="DX132" s="18"/>
      <c r="DY132" s="18"/>
      <c r="DZ132" s="18"/>
    </row>
    <row r="133" spans="1:130" ht="15" customHeight="1" x14ac:dyDescent="0.3">
      <c r="A133" s="30" t="s">
        <v>379</v>
      </c>
      <c r="B133" s="73" t="s">
        <v>228</v>
      </c>
      <c r="C133" s="74" t="s">
        <v>615</v>
      </c>
      <c r="D133" s="74" t="s">
        <v>615</v>
      </c>
      <c r="E133" s="74" t="s">
        <v>615</v>
      </c>
      <c r="F133" s="74" t="s">
        <v>615</v>
      </c>
      <c r="G133" s="74" t="s">
        <v>615</v>
      </c>
      <c r="H133" s="74" t="s">
        <v>615</v>
      </c>
      <c r="I133" s="74" t="s">
        <v>615</v>
      </c>
      <c r="J133" s="74">
        <v>0.5</v>
      </c>
      <c r="K133" s="74" t="s">
        <v>615</v>
      </c>
      <c r="L133" s="74" t="s">
        <v>615</v>
      </c>
      <c r="M133" s="75">
        <v>1.85</v>
      </c>
      <c r="N133" s="227"/>
      <c r="O133" s="17"/>
      <c r="P133" s="17"/>
      <c r="Q133" s="17"/>
      <c r="R133" s="17"/>
      <c r="S133" s="17"/>
      <c r="T133" s="17"/>
      <c r="U133" s="18"/>
      <c r="V133" s="18"/>
      <c r="W133" s="18"/>
      <c r="X133" s="18"/>
      <c r="Y133" s="18"/>
      <c r="Z133" s="18"/>
      <c r="AA133" s="18"/>
      <c r="AB133" s="18"/>
      <c r="AC133" s="18"/>
      <c r="AD133" s="18"/>
      <c r="AE133" s="18" t="str">
        <f t="shared" si="49"/>
        <v>Options Granted During Period</v>
      </c>
      <c r="AF133" s="85" t="e">
        <f t="shared" si="50"/>
        <v>#VALUE!</v>
      </c>
      <c r="AG133" s="85" t="e">
        <f t="shared" si="51"/>
        <v>#VALUE!</v>
      </c>
      <c r="AH133" s="85" t="e">
        <f t="shared" si="52"/>
        <v>#VALUE!</v>
      </c>
      <c r="AI133" s="85" t="e">
        <f t="shared" si="53"/>
        <v>#VALUE!</v>
      </c>
      <c r="AJ133" s="85" t="e">
        <f t="shared" si="54"/>
        <v>#VALUE!</v>
      </c>
      <c r="AK133" s="85" t="e">
        <f t="shared" si="55"/>
        <v>#VALUE!</v>
      </c>
      <c r="AL133" s="85" t="e">
        <f t="shared" si="56"/>
        <v>#VALUE!</v>
      </c>
      <c r="AM133" s="85">
        <f t="shared" si="57"/>
        <v>0</v>
      </c>
      <c r="AN133" s="18"/>
      <c r="AO133" s="18"/>
      <c r="AP133" s="77" t="s">
        <v>228</v>
      </c>
      <c r="AQ133" s="18" t="str">
        <f>_xll.BDH($B$10,"BS_OPTIONS_GRANTED","-10FY","","Per=fy","Days=W","Fill=E","Curr=","DtFmt=P","Sort=D","Dts=H","Dir=H","FILING_STATUS,EQY_CONSOLIDATED","MR,","cols=11;rows=1")</f>
        <v>#N/A N/A</v>
      </c>
      <c r="AR133" s="18" t="s">
        <v>1811</v>
      </c>
      <c r="AS133" s="18" t="s">
        <v>1811</v>
      </c>
      <c r="AT133" s="18" t="s">
        <v>1811</v>
      </c>
      <c r="AU133" s="18" t="s">
        <v>1811</v>
      </c>
      <c r="AV133" s="18" t="s">
        <v>1811</v>
      </c>
      <c r="AW133" s="18">
        <v>0</v>
      </c>
      <c r="AX133" s="18">
        <v>0.5</v>
      </c>
      <c r="AY133" s="18" t="s">
        <v>1811</v>
      </c>
      <c r="AZ133" s="18" t="s">
        <v>1811</v>
      </c>
      <c r="BA133" s="78">
        <v>1.85</v>
      </c>
      <c r="BB133" s="18"/>
      <c r="BC133" s="18"/>
      <c r="BD133" s="18"/>
      <c r="BE133" s="18"/>
      <c r="BF133" s="18"/>
      <c r="BG133" s="18"/>
      <c r="BH133" s="18"/>
      <c r="BI133" s="18"/>
      <c r="BJ133" s="18"/>
      <c r="BK133" s="18"/>
      <c r="BL133" s="18"/>
      <c r="BM133" s="18"/>
      <c r="BN133" s="18"/>
      <c r="BO133" s="18"/>
      <c r="BP133" s="18"/>
      <c r="BQ133" s="37">
        <v>43951</v>
      </c>
      <c r="BR133" s="38">
        <v>22305.895100000002</v>
      </c>
      <c r="BS133" s="17"/>
      <c r="BT133" s="37">
        <v>43951</v>
      </c>
      <c r="BU133" s="38">
        <v>1550</v>
      </c>
      <c r="BV133" s="18"/>
      <c r="BW133" s="37"/>
      <c r="BX133" s="38"/>
      <c r="BY133" s="18"/>
      <c r="BZ133" s="39">
        <f t="shared" si="30"/>
        <v>43951</v>
      </c>
      <c r="CA133" s="40">
        <f t="shared" si="31"/>
        <v>22305.895100000002</v>
      </c>
      <c r="CB133" s="17"/>
      <c r="CC133" s="39">
        <f t="shared" si="32"/>
        <v>43951</v>
      </c>
      <c r="CD133" s="40">
        <f t="shared" si="33"/>
        <v>15.5</v>
      </c>
      <c r="CE133" s="18"/>
      <c r="CF133" s="18"/>
      <c r="CG133" s="18"/>
      <c r="CH133" s="18"/>
      <c r="CI133" s="18"/>
      <c r="CJ133" s="18"/>
      <c r="CK133" s="18"/>
      <c r="CL133" s="18"/>
      <c r="CM133" s="18"/>
      <c r="CN133" s="18"/>
      <c r="CO133" s="18"/>
      <c r="CP133" s="18"/>
      <c r="CQ133" s="18"/>
      <c r="CR133" s="18"/>
      <c r="CS133" s="18"/>
      <c r="CT133" s="18"/>
      <c r="CU133" s="18"/>
      <c r="CV133" s="18"/>
      <c r="CW133" s="18"/>
      <c r="CX133" s="18"/>
      <c r="CY133" s="37">
        <v>44951</v>
      </c>
      <c r="CZ133" s="38">
        <v>18.694800000000001</v>
      </c>
      <c r="DA133" s="18"/>
      <c r="DB133" s="37">
        <v>44951</v>
      </c>
      <c r="DC133" s="38">
        <v>18.665299999999998</v>
      </c>
      <c r="DD133" s="18"/>
      <c r="DE133" s="37">
        <v>44951</v>
      </c>
      <c r="DF133" s="38">
        <v>17.1203</v>
      </c>
      <c r="DG133" s="18"/>
      <c r="DH133" s="37">
        <v>44951</v>
      </c>
      <c r="DI133" s="38">
        <v>21.2441</v>
      </c>
      <c r="DJ133" s="18"/>
      <c r="DK133" s="37">
        <v>44951</v>
      </c>
      <c r="DL133" s="38">
        <v>0.13250000000000001</v>
      </c>
      <c r="DM133" s="18"/>
      <c r="DN133" s="18"/>
      <c r="DO133" s="18"/>
      <c r="DP133" s="18"/>
      <c r="DQ133" s="18"/>
      <c r="DR133" s="18"/>
      <c r="DS133" s="18"/>
      <c r="DT133" s="18"/>
      <c r="DU133" s="18"/>
      <c r="DV133" s="18"/>
      <c r="DW133" s="18"/>
      <c r="DX133" s="18"/>
      <c r="DY133" s="18"/>
      <c r="DZ133" s="18"/>
    </row>
    <row r="134" spans="1:130" ht="15" customHeight="1" x14ac:dyDescent="0.3">
      <c r="A134" s="30" t="s">
        <v>380</v>
      </c>
      <c r="B134" s="73" t="s">
        <v>229</v>
      </c>
      <c r="C134" s="74" t="s">
        <v>615</v>
      </c>
      <c r="D134" s="74" t="s">
        <v>615</v>
      </c>
      <c r="E134" s="74" t="s">
        <v>615</v>
      </c>
      <c r="F134" s="74" t="s">
        <v>615</v>
      </c>
      <c r="G134" s="74" t="s">
        <v>615</v>
      </c>
      <c r="H134" s="74" t="s">
        <v>615</v>
      </c>
      <c r="I134" s="74">
        <v>0.7</v>
      </c>
      <c r="J134" s="74">
        <v>1.59</v>
      </c>
      <c r="K134" s="74">
        <v>5.65</v>
      </c>
      <c r="L134" s="74">
        <v>8.7799999999999994</v>
      </c>
      <c r="M134" s="75">
        <v>19.82</v>
      </c>
      <c r="N134" s="227"/>
      <c r="O134" s="17"/>
      <c r="P134" s="17"/>
      <c r="Q134" s="17"/>
      <c r="R134" s="17"/>
      <c r="S134" s="17"/>
      <c r="T134" s="17"/>
      <c r="U134" s="18"/>
      <c r="V134" s="18"/>
      <c r="W134" s="18"/>
      <c r="X134" s="18"/>
      <c r="Y134" s="18"/>
      <c r="Z134" s="18"/>
      <c r="AA134" s="18"/>
      <c r="AB134" s="18"/>
      <c r="AC134" s="18"/>
      <c r="AD134" s="18"/>
      <c r="AE134" s="18" t="str">
        <f t="shared" si="49"/>
        <v>Options Outstanding at Period End</v>
      </c>
      <c r="AF134" s="85" t="e">
        <f t="shared" si="50"/>
        <v>#VALUE!</v>
      </c>
      <c r="AG134" s="85" t="e">
        <f t="shared" si="51"/>
        <v>#VALUE!</v>
      </c>
      <c r="AH134" s="85" t="e">
        <f t="shared" si="52"/>
        <v>#VALUE!</v>
      </c>
      <c r="AI134" s="85" t="e">
        <f t="shared" si="53"/>
        <v>#VALUE!</v>
      </c>
      <c r="AJ134" s="85" t="e">
        <f t="shared" si="54"/>
        <v>#VALUE!</v>
      </c>
      <c r="AK134" s="85" t="e">
        <f t="shared" si="55"/>
        <v>#VALUE!</v>
      </c>
      <c r="AL134" s="85">
        <f t="shared" si="56"/>
        <v>0</v>
      </c>
      <c r="AM134" s="85">
        <f t="shared" si="57"/>
        <v>0</v>
      </c>
      <c r="AN134" s="18"/>
      <c r="AO134" s="18"/>
      <c r="AP134" s="77" t="s">
        <v>229</v>
      </c>
      <c r="AQ134" s="18" t="str">
        <f>_xll.BDH($B$10,"BS_OPTIONS_OUTSTANDING","-10FY","","Per=fy","Days=W","Fill=E","Curr=","DtFmt=P","Sort=D","Dts=H","Dir=H","FILING_STATUS,EQY_CONSOLIDATED","MR,","cols=11;rows=1")</f>
        <v>#N/A N/A</v>
      </c>
      <c r="AR134" s="18" t="s">
        <v>1811</v>
      </c>
      <c r="AS134" s="18" t="s">
        <v>1811</v>
      </c>
      <c r="AT134" s="18" t="s">
        <v>1811</v>
      </c>
      <c r="AU134" s="18">
        <v>0</v>
      </c>
      <c r="AV134" s="18" t="s">
        <v>1811</v>
      </c>
      <c r="AW134" s="18">
        <v>0.7</v>
      </c>
      <c r="AX134" s="18">
        <v>1.59</v>
      </c>
      <c r="AY134" s="18">
        <v>5.6475999999999997</v>
      </c>
      <c r="AZ134" s="18">
        <v>8.7840000000000007</v>
      </c>
      <c r="BA134" s="78">
        <v>19.821999999999999</v>
      </c>
      <c r="BB134" s="18"/>
      <c r="BC134" s="18"/>
      <c r="BD134" s="18"/>
      <c r="BE134" s="18"/>
      <c r="BF134" s="18"/>
      <c r="BG134" s="18"/>
      <c r="BH134" s="18"/>
      <c r="BI134" s="18"/>
      <c r="BJ134" s="18"/>
      <c r="BK134" s="18"/>
      <c r="BL134" s="18"/>
      <c r="BM134" s="18"/>
      <c r="BN134" s="18"/>
      <c r="BO134" s="18"/>
      <c r="BP134" s="18"/>
      <c r="BQ134" s="37">
        <v>43980</v>
      </c>
      <c r="BR134" s="38">
        <v>20478.250800000002</v>
      </c>
      <c r="BS134" s="17"/>
      <c r="BT134" s="37">
        <v>43980</v>
      </c>
      <c r="BU134" s="38">
        <v>1423</v>
      </c>
      <c r="BV134" s="18"/>
      <c r="BW134" s="37"/>
      <c r="BX134" s="38"/>
      <c r="BY134" s="18"/>
      <c r="BZ134" s="39">
        <f t="shared" si="30"/>
        <v>43980</v>
      </c>
      <c r="CA134" s="40">
        <f t="shared" si="31"/>
        <v>20478.250800000002</v>
      </c>
      <c r="CB134" s="17"/>
      <c r="CC134" s="39">
        <f t="shared" si="32"/>
        <v>43980</v>
      </c>
      <c r="CD134" s="40">
        <f t="shared" si="33"/>
        <v>14.23</v>
      </c>
      <c r="CE134" s="18"/>
      <c r="CF134" s="18"/>
      <c r="CG134" s="18"/>
      <c r="CH134" s="18"/>
      <c r="CI134" s="18"/>
      <c r="CJ134" s="18"/>
      <c r="CK134" s="18"/>
      <c r="CL134" s="18"/>
      <c r="CM134" s="18"/>
      <c r="CN134" s="18"/>
      <c r="CO134" s="18"/>
      <c r="CP134" s="18"/>
      <c r="CQ134" s="18"/>
      <c r="CR134" s="18"/>
      <c r="CS134" s="18"/>
      <c r="CT134" s="18"/>
      <c r="CU134" s="18"/>
      <c r="CV134" s="18"/>
      <c r="CW134" s="18"/>
      <c r="CX134" s="18"/>
      <c r="CY134" s="37">
        <v>44952</v>
      </c>
      <c r="CZ134" s="38">
        <v>18.711200000000002</v>
      </c>
      <c r="DA134" s="18"/>
      <c r="DB134" s="37">
        <v>44952</v>
      </c>
      <c r="DC134" s="38">
        <v>18.664899999999999</v>
      </c>
      <c r="DD134" s="18"/>
      <c r="DE134" s="37">
        <v>44952</v>
      </c>
      <c r="DF134" s="38">
        <v>17.174299999999999</v>
      </c>
      <c r="DG134" s="18"/>
      <c r="DH134" s="37">
        <v>44952</v>
      </c>
      <c r="DI134" s="38">
        <v>21.326599999999999</v>
      </c>
      <c r="DJ134" s="18"/>
      <c r="DK134" s="37">
        <v>44952</v>
      </c>
      <c r="DL134" s="38">
        <v>0.1323</v>
      </c>
      <c r="DM134" s="18"/>
      <c r="DN134" s="18"/>
      <c r="DO134" s="18"/>
      <c r="DP134" s="18"/>
      <c r="DQ134" s="18"/>
      <c r="DR134" s="18"/>
      <c r="DS134" s="18"/>
      <c r="DT134" s="18"/>
      <c r="DU134" s="18"/>
      <c r="DV134" s="18"/>
      <c r="DW134" s="18"/>
      <c r="DX134" s="18"/>
      <c r="DY134" s="18"/>
      <c r="DZ134" s="18"/>
    </row>
    <row r="135" spans="1:130" ht="15" customHeight="1" x14ac:dyDescent="0.3">
      <c r="A135" s="30" t="s">
        <v>381</v>
      </c>
      <c r="B135" s="73" t="s">
        <v>230</v>
      </c>
      <c r="C135" s="74">
        <v>7.6580000000000004</v>
      </c>
      <c r="D135" s="74">
        <v>7.4290000000000003</v>
      </c>
      <c r="E135" s="74">
        <v>6.8339999999999996</v>
      </c>
      <c r="F135" s="74">
        <v>7.0919999999999996</v>
      </c>
      <c r="G135" s="74">
        <v>7.1319999999999997</v>
      </c>
      <c r="H135" s="74">
        <v>6.09</v>
      </c>
      <c r="I135" s="74">
        <v>7.5049999999999999</v>
      </c>
      <c r="J135" s="74">
        <v>7.6440000000000001</v>
      </c>
      <c r="K135" s="74">
        <v>6.4669999999999996</v>
      </c>
      <c r="L135" s="74">
        <v>5.3879999999999999</v>
      </c>
      <c r="M135" s="75">
        <v>0.76100000000000001</v>
      </c>
      <c r="N135" s="227"/>
      <c r="O135" s="17"/>
      <c r="P135" s="17"/>
      <c r="Q135" s="17"/>
      <c r="R135" s="17"/>
      <c r="S135" s="17"/>
      <c r="T135" s="17"/>
      <c r="U135" s="18"/>
      <c r="V135" s="18"/>
      <c r="W135" s="18"/>
      <c r="X135" s="18"/>
      <c r="Y135" s="18"/>
      <c r="Z135" s="18"/>
      <c r="AA135" s="18"/>
      <c r="AB135" s="18"/>
      <c r="AC135" s="18"/>
      <c r="AD135" s="18"/>
      <c r="AE135" s="18" t="str">
        <f t="shared" si="49"/>
        <v>Book Value per Share</v>
      </c>
      <c r="AF135" s="85">
        <f t="shared" si="50"/>
        <v>3.00000000000189E-4</v>
      </c>
      <c r="AG135" s="85">
        <f t="shared" si="51"/>
        <v>-2.9999999999930083E-4</v>
      </c>
      <c r="AH135" s="85">
        <f t="shared" si="52"/>
        <v>2.9999999999930083E-4</v>
      </c>
      <c r="AI135" s="85">
        <f t="shared" si="53"/>
        <v>-2.0000000000042206E-4</v>
      </c>
      <c r="AJ135" s="85">
        <f t="shared" si="54"/>
        <v>-1.0000000000065512E-4</v>
      </c>
      <c r="AK135" s="85">
        <f t="shared" si="55"/>
        <v>3.00000000000189E-4</v>
      </c>
      <c r="AL135" s="85">
        <f t="shared" si="56"/>
        <v>-2.0000000000042206E-4</v>
      </c>
      <c r="AM135" s="85">
        <f t="shared" si="57"/>
        <v>-1.9999999999953388E-4</v>
      </c>
      <c r="AN135" s="18"/>
      <c r="AO135" s="18"/>
      <c r="AP135" s="77" t="s">
        <v>230</v>
      </c>
      <c r="AQ135" s="18">
        <f>_xll.BDH($B$10,"BOOK_VAL_PER_SH","-10FY","","Per=fy","Days=W","Fill=E","Curr=","DtFmt=P","Sort=D","Dts=H","Dir=H","FILING_STATUS,EQY_CONSOLIDATED","MR,","cols=11;rows=1")</f>
        <v>7.6577000000000002</v>
      </c>
      <c r="AR135" s="18">
        <v>7.4292999999999996</v>
      </c>
      <c r="AS135" s="18">
        <v>6.8337000000000003</v>
      </c>
      <c r="AT135" s="18">
        <v>7.0922000000000001</v>
      </c>
      <c r="AU135" s="18">
        <v>7.1321000000000003</v>
      </c>
      <c r="AV135" s="18">
        <v>6.0896999999999997</v>
      </c>
      <c r="AW135" s="18">
        <v>7.5052000000000003</v>
      </c>
      <c r="AX135" s="18">
        <v>7.6441999999999997</v>
      </c>
      <c r="AY135" s="18">
        <v>6.4667000000000003</v>
      </c>
      <c r="AZ135" s="18">
        <v>5.3875000000000002</v>
      </c>
      <c r="BA135" s="78">
        <v>0.76080000000000003</v>
      </c>
      <c r="BB135" s="18"/>
      <c r="BC135" s="18"/>
      <c r="BD135" s="18"/>
      <c r="BE135" s="18"/>
      <c r="BF135" s="18"/>
      <c r="BG135" s="18"/>
      <c r="BH135" s="18"/>
      <c r="BI135" s="18"/>
      <c r="BJ135" s="18"/>
      <c r="BK135" s="18"/>
      <c r="BL135" s="18"/>
      <c r="BM135" s="18"/>
      <c r="BN135" s="18"/>
      <c r="BO135" s="18"/>
      <c r="BP135" s="18"/>
      <c r="BQ135" s="37">
        <v>44012</v>
      </c>
      <c r="BR135" s="38">
        <v>19629.187699999999</v>
      </c>
      <c r="BS135" s="17"/>
      <c r="BT135" s="37">
        <v>44012</v>
      </c>
      <c r="BU135" s="38">
        <v>1364</v>
      </c>
      <c r="BV135" s="18"/>
      <c r="BW135" s="37"/>
      <c r="BX135" s="38"/>
      <c r="BY135" s="18"/>
      <c r="BZ135" s="39">
        <f t="shared" si="30"/>
        <v>44012</v>
      </c>
      <c r="CA135" s="40">
        <f t="shared" si="31"/>
        <v>19629.187699999999</v>
      </c>
      <c r="CB135" s="17"/>
      <c r="CC135" s="39">
        <f t="shared" si="32"/>
        <v>44012</v>
      </c>
      <c r="CD135" s="40">
        <f t="shared" si="33"/>
        <v>13.64</v>
      </c>
      <c r="CE135" s="18"/>
      <c r="CF135" s="18"/>
      <c r="CG135" s="18"/>
      <c r="CH135" s="18"/>
      <c r="CI135" s="18"/>
      <c r="CJ135" s="18"/>
      <c r="CK135" s="18"/>
      <c r="CL135" s="18"/>
      <c r="CM135" s="18"/>
      <c r="CN135" s="18"/>
      <c r="CO135" s="18"/>
      <c r="CP135" s="18"/>
      <c r="CQ135" s="18"/>
      <c r="CR135" s="18"/>
      <c r="CS135" s="18"/>
      <c r="CT135" s="18"/>
      <c r="CU135" s="18"/>
      <c r="CV135" s="18"/>
      <c r="CW135" s="18"/>
      <c r="CX135" s="18"/>
      <c r="CY135" s="37">
        <v>44953</v>
      </c>
      <c r="CZ135" s="38">
        <v>18.666599999999999</v>
      </c>
      <c r="DA135" s="18"/>
      <c r="DB135" s="37">
        <v>44953</v>
      </c>
      <c r="DC135" s="38">
        <v>18.655799999999999</v>
      </c>
      <c r="DD135" s="18"/>
      <c r="DE135" s="37">
        <v>44953</v>
      </c>
      <c r="DF135" s="38">
        <v>17.1876</v>
      </c>
      <c r="DG135" s="18"/>
      <c r="DH135" s="37">
        <v>44953</v>
      </c>
      <c r="DI135" s="38">
        <v>21.308299999999999</v>
      </c>
      <c r="DJ135" s="18"/>
      <c r="DK135" s="37">
        <v>44953</v>
      </c>
      <c r="DL135" s="38">
        <v>0.13239999999999999</v>
      </c>
      <c r="DM135" s="18"/>
      <c r="DN135" s="18"/>
      <c r="DO135" s="18"/>
      <c r="DP135" s="18"/>
      <c r="DQ135" s="18"/>
      <c r="DR135" s="18"/>
      <c r="DS135" s="18"/>
      <c r="DT135" s="18"/>
      <c r="DU135" s="18"/>
      <c r="DV135" s="18"/>
      <c r="DW135" s="18"/>
      <c r="DX135" s="18"/>
      <c r="DY135" s="18"/>
      <c r="DZ135" s="18"/>
    </row>
    <row r="136" spans="1:130" ht="15" customHeight="1" x14ac:dyDescent="0.3">
      <c r="A136" s="30" t="s">
        <v>382</v>
      </c>
      <c r="B136" s="73" t="s">
        <v>231</v>
      </c>
      <c r="C136" s="74">
        <v>41.33</v>
      </c>
      <c r="D136" s="74">
        <v>42.48</v>
      </c>
      <c r="E136" s="74">
        <v>45.94</v>
      </c>
      <c r="F136" s="74">
        <v>31.97</v>
      </c>
      <c r="G136" s="74">
        <v>30.06</v>
      </c>
      <c r="H136" s="74">
        <v>31.72</v>
      </c>
      <c r="I136" s="74">
        <v>24.53</v>
      </c>
      <c r="J136" s="74">
        <v>26.34</v>
      </c>
      <c r="K136" s="74">
        <v>25.02</v>
      </c>
      <c r="L136" s="74">
        <v>27.5</v>
      </c>
      <c r="M136" s="75">
        <v>66.459999999999994</v>
      </c>
      <c r="N136" s="227"/>
      <c r="O136" s="17"/>
      <c r="P136" s="17"/>
      <c r="Q136" s="17"/>
      <c r="R136" s="17"/>
      <c r="S136" s="17"/>
      <c r="T136" s="17"/>
      <c r="U136" s="18"/>
      <c r="V136" s="18"/>
      <c r="W136" s="18"/>
      <c r="X136" s="18"/>
      <c r="Y136" s="18"/>
      <c r="Z136" s="18"/>
      <c r="AA136" s="18"/>
      <c r="AB136" s="18"/>
      <c r="AC136" s="18"/>
      <c r="AD136" s="18"/>
      <c r="AE136" s="18" t="str">
        <f t="shared" si="49"/>
        <v>Total Debt to Total Assets</v>
      </c>
      <c r="AF136" s="85">
        <f t="shared" si="50"/>
        <v>-2.2999999999981924E-3</v>
      </c>
      <c r="AG136" s="85">
        <f t="shared" si="51"/>
        <v>3.0999999999963279E-3</v>
      </c>
      <c r="AH136" s="85">
        <f t="shared" si="52"/>
        <v>2.6000000000010459E-3</v>
      </c>
      <c r="AI136" s="85">
        <f t="shared" si="53"/>
        <v>1.7999999999993577E-3</v>
      </c>
      <c r="AJ136" s="85">
        <f t="shared" si="54"/>
        <v>3.4999999999989484E-3</v>
      </c>
      <c r="AK136" s="85">
        <f t="shared" si="55"/>
        <v>3.9999999999977831E-3</v>
      </c>
      <c r="AL136" s="85">
        <f t="shared" si="56"/>
        <v>-4.4000000000004036E-3</v>
      </c>
      <c r="AM136" s="85">
        <f t="shared" si="57"/>
        <v>-2.1999999999984254E-3</v>
      </c>
      <c r="AN136" s="18"/>
      <c r="AO136" s="18"/>
      <c r="AP136" s="77" t="s">
        <v>231</v>
      </c>
      <c r="AQ136" s="18">
        <f>_xll.BDH($B$10,"TOT_DEBT_TO_TOT_ASSET","-10FY","","Per=fy","Days=W","Fill=E","Curr=","DtFmt=P","Sort=D","Dts=H","Dir=H","FILING_STATUS,EQY_CONSOLIDATED","MR,","cols=11;rows=1")</f>
        <v>41.332299999999996</v>
      </c>
      <c r="AR136" s="18">
        <v>42.476900000000001</v>
      </c>
      <c r="AS136" s="18">
        <v>45.937399999999997</v>
      </c>
      <c r="AT136" s="18">
        <v>31.9682</v>
      </c>
      <c r="AU136" s="18">
        <v>30.0565</v>
      </c>
      <c r="AV136" s="18">
        <v>31.716000000000001</v>
      </c>
      <c r="AW136" s="18">
        <v>24.534400000000002</v>
      </c>
      <c r="AX136" s="18">
        <v>26.342199999999998</v>
      </c>
      <c r="AY136" s="18">
        <v>25.017800000000001</v>
      </c>
      <c r="AZ136" s="18">
        <v>27.499199999999998</v>
      </c>
      <c r="BA136" s="78">
        <v>66.460099999999997</v>
      </c>
      <c r="BB136" s="18"/>
      <c r="BC136" s="18"/>
      <c r="BD136" s="18"/>
      <c r="BE136" s="18"/>
      <c r="BF136" s="18"/>
      <c r="BG136" s="18"/>
      <c r="BH136" s="18"/>
      <c r="BI136" s="18"/>
      <c r="BJ136" s="18"/>
      <c r="BK136" s="18"/>
      <c r="BL136" s="18"/>
      <c r="BM136" s="18"/>
      <c r="BN136" s="18"/>
      <c r="BO136" s="18"/>
      <c r="BP136" s="18"/>
      <c r="BQ136" s="37">
        <v>44043</v>
      </c>
      <c r="BR136" s="38">
        <v>19571.624100000001</v>
      </c>
      <c r="BS136" s="17"/>
      <c r="BT136" s="37">
        <v>44043</v>
      </c>
      <c r="BU136" s="38">
        <v>1360</v>
      </c>
      <c r="BV136" s="18"/>
      <c r="BW136" s="37"/>
      <c r="BX136" s="38"/>
      <c r="BY136" s="18"/>
      <c r="BZ136" s="39">
        <f t="shared" si="30"/>
        <v>44043</v>
      </c>
      <c r="CA136" s="40">
        <f t="shared" si="31"/>
        <v>19571.624100000001</v>
      </c>
      <c r="CB136" s="17"/>
      <c r="CC136" s="39">
        <f t="shared" si="32"/>
        <v>44043</v>
      </c>
      <c r="CD136" s="40">
        <f t="shared" si="33"/>
        <v>13.6</v>
      </c>
      <c r="CE136" s="18"/>
      <c r="CF136" s="18"/>
      <c r="CG136" s="18"/>
      <c r="CH136" s="18"/>
      <c r="CI136" s="18"/>
      <c r="CJ136" s="18"/>
      <c r="CK136" s="18"/>
      <c r="CL136" s="18"/>
      <c r="CM136" s="18"/>
      <c r="CN136" s="18"/>
      <c r="CO136" s="18"/>
      <c r="CP136" s="18"/>
      <c r="CQ136" s="18"/>
      <c r="CR136" s="18"/>
      <c r="CS136" s="18"/>
      <c r="CT136" s="18"/>
      <c r="CU136" s="18"/>
      <c r="CV136" s="18"/>
      <c r="CW136" s="18"/>
      <c r="CX136" s="18"/>
      <c r="CY136" s="37">
        <v>44956</v>
      </c>
      <c r="CZ136" s="38">
        <v>18.8644</v>
      </c>
      <c r="DA136" s="18"/>
      <c r="DB136" s="37">
        <v>44956</v>
      </c>
      <c r="DC136" s="38">
        <v>18.7881</v>
      </c>
      <c r="DD136" s="18"/>
      <c r="DE136" s="37">
        <v>44956</v>
      </c>
      <c r="DF136" s="38">
        <v>17.386700000000001</v>
      </c>
      <c r="DG136" s="18"/>
      <c r="DH136" s="37">
        <v>44956</v>
      </c>
      <c r="DI136" s="38">
        <v>21.472000000000001</v>
      </c>
      <c r="DJ136" s="18"/>
      <c r="DK136" s="37">
        <v>44956</v>
      </c>
      <c r="DL136" s="38">
        <v>0.13320000000000001</v>
      </c>
      <c r="DM136" s="18"/>
      <c r="DN136" s="18"/>
      <c r="DO136" s="18"/>
      <c r="DP136" s="18"/>
      <c r="DQ136" s="18"/>
      <c r="DR136" s="18"/>
      <c r="DS136" s="18"/>
      <c r="DT136" s="18"/>
      <c r="DU136" s="18"/>
      <c r="DV136" s="18"/>
      <c r="DW136" s="18"/>
      <c r="DX136" s="18"/>
      <c r="DY136" s="18"/>
      <c r="DZ136" s="18"/>
    </row>
    <row r="137" spans="1:130" ht="15" customHeight="1" x14ac:dyDescent="0.3">
      <c r="A137" s="30" t="s">
        <v>383</v>
      </c>
      <c r="B137" s="73" t="s">
        <v>232</v>
      </c>
      <c r="C137" s="74">
        <v>9357</v>
      </c>
      <c r="D137" s="74">
        <v>9423</v>
      </c>
      <c r="E137" s="74">
        <v>10468</v>
      </c>
      <c r="F137" s="74">
        <v>5114</v>
      </c>
      <c r="G137" s="74">
        <v>4805</v>
      </c>
      <c r="H137" s="74">
        <v>6384</v>
      </c>
      <c r="I137" s="74">
        <v>5542</v>
      </c>
      <c r="J137" s="74">
        <v>5790</v>
      </c>
      <c r="K137" s="74">
        <v>4972</v>
      </c>
      <c r="L137" s="74">
        <v>4927</v>
      </c>
      <c r="M137" s="75">
        <v>26484</v>
      </c>
      <c r="N137" s="227"/>
      <c r="O137" s="17"/>
      <c r="P137" s="17"/>
      <c r="Q137" s="17"/>
      <c r="R137" s="17"/>
      <c r="S137" s="17"/>
      <c r="T137" s="17"/>
      <c r="U137" s="18"/>
      <c r="V137" s="18"/>
      <c r="W137" s="18"/>
      <c r="X137" s="18"/>
      <c r="Y137" s="18"/>
      <c r="Z137" s="18"/>
      <c r="AA137" s="18"/>
      <c r="AB137" s="18"/>
      <c r="AC137" s="18"/>
      <c r="AD137" s="18"/>
      <c r="AE137" s="18" t="str">
        <f t="shared" si="49"/>
        <v>Net Debt</v>
      </c>
      <c r="AF137" s="85">
        <f t="shared" si="50"/>
        <v>0</v>
      </c>
      <c r="AG137" s="85">
        <f t="shared" si="51"/>
        <v>0</v>
      </c>
      <c r="AH137" s="85">
        <f t="shared" si="52"/>
        <v>0</v>
      </c>
      <c r="AI137" s="85">
        <f t="shared" si="53"/>
        <v>0</v>
      </c>
      <c r="AJ137" s="85">
        <f t="shared" si="54"/>
        <v>0</v>
      </c>
      <c r="AK137" s="85">
        <f t="shared" si="55"/>
        <v>0</v>
      </c>
      <c r="AL137" s="85">
        <f t="shared" si="56"/>
        <v>0</v>
      </c>
      <c r="AM137" s="85">
        <f t="shared" si="57"/>
        <v>0</v>
      </c>
      <c r="AN137" s="18"/>
      <c r="AO137" s="18"/>
      <c r="AP137" s="77" t="s">
        <v>232</v>
      </c>
      <c r="AQ137" s="18">
        <f>_xll.BDH($B$10,"NET_DEBT","-10FY","","Per=fy","Days=W","Fill=E","Curr=","DtFmt=P","Sort=D","Dts=H","Dir=H","FILING_STATUS,EQY_CONSOLIDATED","MR,","cols=11;rows=1")</f>
        <v>9357</v>
      </c>
      <c r="AR137" s="18">
        <v>9423</v>
      </c>
      <c r="AS137" s="18">
        <v>10468</v>
      </c>
      <c r="AT137" s="18">
        <v>5114</v>
      </c>
      <c r="AU137" s="18">
        <v>4805</v>
      </c>
      <c r="AV137" s="18">
        <v>6384</v>
      </c>
      <c r="AW137" s="18">
        <v>5542</v>
      </c>
      <c r="AX137" s="18">
        <v>5790</v>
      </c>
      <c r="AY137" s="18">
        <v>4972</v>
      </c>
      <c r="AZ137" s="18">
        <v>4927</v>
      </c>
      <c r="BA137" s="78">
        <v>26484</v>
      </c>
      <c r="BB137" s="18"/>
      <c r="BC137" s="18"/>
      <c r="BD137" s="18"/>
      <c r="BE137" s="18"/>
      <c r="BF137" s="18"/>
      <c r="BG137" s="18"/>
      <c r="BH137" s="18"/>
      <c r="BI137" s="18"/>
      <c r="BJ137" s="18"/>
      <c r="BK137" s="18"/>
      <c r="BL137" s="18"/>
      <c r="BM137" s="18"/>
      <c r="BN137" s="18"/>
      <c r="BO137" s="18"/>
      <c r="BP137" s="18"/>
      <c r="BQ137" s="37">
        <v>44074</v>
      </c>
      <c r="BR137" s="38">
        <v>17988.625100000001</v>
      </c>
      <c r="BS137" s="17"/>
      <c r="BT137" s="37">
        <v>44074</v>
      </c>
      <c r="BU137" s="38">
        <v>1250</v>
      </c>
      <c r="BV137" s="18"/>
      <c r="BW137" s="37"/>
      <c r="BX137" s="38"/>
      <c r="BY137" s="18"/>
      <c r="BZ137" s="39">
        <f t="shared" si="30"/>
        <v>44074</v>
      </c>
      <c r="CA137" s="40">
        <f t="shared" si="31"/>
        <v>17988.625100000001</v>
      </c>
      <c r="CB137" s="17"/>
      <c r="CC137" s="39">
        <f t="shared" si="32"/>
        <v>44074</v>
      </c>
      <c r="CD137" s="40">
        <f t="shared" si="33"/>
        <v>12.5</v>
      </c>
      <c r="CE137" s="18"/>
      <c r="CF137" s="18"/>
      <c r="CG137" s="18"/>
      <c r="CH137" s="18"/>
      <c r="CI137" s="18"/>
      <c r="CJ137" s="18"/>
      <c r="CK137" s="18"/>
      <c r="CL137" s="18"/>
      <c r="CM137" s="18"/>
      <c r="CN137" s="18"/>
      <c r="CO137" s="18"/>
      <c r="CP137" s="18"/>
      <c r="CQ137" s="18"/>
      <c r="CR137" s="18"/>
      <c r="CS137" s="18"/>
      <c r="CT137" s="18"/>
      <c r="CU137" s="18"/>
      <c r="CV137" s="18"/>
      <c r="CW137" s="18"/>
      <c r="CX137" s="18"/>
      <c r="CY137" s="37">
        <v>44957</v>
      </c>
      <c r="CZ137" s="38">
        <v>18.915400000000002</v>
      </c>
      <c r="DA137" s="18"/>
      <c r="DB137" s="37">
        <v>44957</v>
      </c>
      <c r="DC137" s="38">
        <v>19.001899999999999</v>
      </c>
      <c r="DD137" s="18"/>
      <c r="DE137" s="37">
        <v>44957</v>
      </c>
      <c r="DF137" s="38">
        <v>17.4101</v>
      </c>
      <c r="DG137" s="18"/>
      <c r="DH137" s="37">
        <v>44957</v>
      </c>
      <c r="DI137" s="38">
        <v>21.4406</v>
      </c>
      <c r="DJ137" s="18"/>
      <c r="DK137" s="37">
        <v>44957</v>
      </c>
      <c r="DL137" s="38">
        <v>0.13389999999999999</v>
      </c>
      <c r="DM137" s="18"/>
      <c r="DN137" s="18"/>
      <c r="DO137" s="18"/>
      <c r="DP137" s="18"/>
      <c r="DQ137" s="18"/>
      <c r="DR137" s="18"/>
      <c r="DS137" s="18"/>
      <c r="DT137" s="18"/>
      <c r="DU137" s="18"/>
      <c r="DV137" s="18"/>
      <c r="DW137" s="18"/>
      <c r="DX137" s="18"/>
      <c r="DY137" s="18"/>
      <c r="DZ137" s="18"/>
    </row>
    <row r="138" spans="1:130" ht="15" customHeight="1" x14ac:dyDescent="0.3">
      <c r="A138" s="30" t="s">
        <v>384</v>
      </c>
      <c r="B138" s="73" t="s">
        <v>233</v>
      </c>
      <c r="C138" s="74">
        <v>85.5</v>
      </c>
      <c r="D138" s="74">
        <v>88.99</v>
      </c>
      <c r="E138" s="74">
        <v>106.83</v>
      </c>
      <c r="F138" s="74">
        <v>49.97</v>
      </c>
      <c r="G138" s="74">
        <v>46.14</v>
      </c>
      <c r="H138" s="74">
        <v>72.040000000000006</v>
      </c>
      <c r="I138" s="74">
        <v>42.6</v>
      </c>
      <c r="J138" s="74">
        <v>40.54</v>
      </c>
      <c r="K138" s="74">
        <v>40.85</v>
      </c>
      <c r="L138" s="74">
        <v>47.31</v>
      </c>
      <c r="M138" s="75" t="s">
        <v>615</v>
      </c>
      <c r="N138" s="227"/>
      <c r="O138" s="17"/>
      <c r="P138" s="17"/>
      <c r="Q138" s="17"/>
      <c r="R138" s="17"/>
      <c r="S138" s="17"/>
      <c r="T138" s="17"/>
      <c r="U138" s="18"/>
      <c r="V138" s="18"/>
      <c r="W138" s="18"/>
      <c r="X138" s="18"/>
      <c r="Y138" s="18"/>
      <c r="Z138" s="18"/>
      <c r="AA138" s="18"/>
      <c r="AB138" s="18"/>
      <c r="AC138" s="18"/>
      <c r="AD138" s="18"/>
      <c r="AE138" s="18" t="str">
        <f t="shared" si="49"/>
        <v>Net Debt to Equity</v>
      </c>
      <c r="AF138" s="85">
        <f t="shared" si="50"/>
        <v>1.0999999999938836E-3</v>
      </c>
      <c r="AG138" s="85">
        <f t="shared" si="51"/>
        <v>1.3999999999896318E-3</v>
      </c>
      <c r="AH138" s="85">
        <f t="shared" si="52"/>
        <v>2.7999999999934744E-3</v>
      </c>
      <c r="AI138" s="85">
        <f t="shared" si="53"/>
        <v>4.199999999997317E-3</v>
      </c>
      <c r="AJ138" s="85">
        <f t="shared" si="54"/>
        <v>4.6000000000034902E-3</v>
      </c>
      <c r="AK138" s="85">
        <f t="shared" si="55"/>
        <v>2.1000000000128694E-3</v>
      </c>
      <c r="AL138" s="85">
        <f t="shared" si="56"/>
        <v>-1.300000000000523E-3</v>
      </c>
      <c r="AM138" s="85">
        <f t="shared" si="57"/>
        <v>-3.3999999999991815E-3</v>
      </c>
      <c r="AN138" s="18"/>
      <c r="AO138" s="18"/>
      <c r="AP138" s="77" t="s">
        <v>233</v>
      </c>
      <c r="AQ138" s="18">
        <f>_xll.BDH($B$10,"NET_DEBT_TO_SHRHLDR_EQTY","-10FY","","Per=fy","Days=W","Fill=E","Curr=","DtFmt=P","Sort=D","Dts=H","Dir=H","FILING_STATUS,EQY_CONSOLIDATED","MR,","cols=11;rows=1")</f>
        <v>85.498900000000006</v>
      </c>
      <c r="AR138" s="18">
        <v>88.988600000000005</v>
      </c>
      <c r="AS138" s="18">
        <v>106.8272</v>
      </c>
      <c r="AT138" s="18">
        <v>49.965800000000002</v>
      </c>
      <c r="AU138" s="18">
        <v>46.135399999999997</v>
      </c>
      <c r="AV138" s="18">
        <v>72.037899999999993</v>
      </c>
      <c r="AW138" s="18">
        <v>42.601300000000002</v>
      </c>
      <c r="AX138" s="18">
        <v>40.543399999999998</v>
      </c>
      <c r="AY138" s="18">
        <v>40.847799999999999</v>
      </c>
      <c r="AZ138" s="18">
        <v>47.306800000000003</v>
      </c>
      <c r="BA138" s="78" t="s">
        <v>1811</v>
      </c>
      <c r="BB138" s="18"/>
      <c r="BC138" s="18"/>
      <c r="BD138" s="18"/>
      <c r="BE138" s="18"/>
      <c r="BF138" s="18"/>
      <c r="BG138" s="18"/>
      <c r="BH138" s="18"/>
      <c r="BI138" s="18"/>
      <c r="BJ138" s="18"/>
      <c r="BK138" s="18"/>
      <c r="BL138" s="18"/>
      <c r="BM138" s="18"/>
      <c r="BN138" s="18"/>
      <c r="BO138" s="18"/>
      <c r="BP138" s="18"/>
      <c r="BQ138" s="37">
        <v>44104</v>
      </c>
      <c r="BR138" s="38">
        <v>18593.0429</v>
      </c>
      <c r="BS138" s="17"/>
      <c r="BT138" s="37">
        <v>44104</v>
      </c>
      <c r="BU138" s="38">
        <v>1292</v>
      </c>
      <c r="BV138" s="18"/>
      <c r="BW138" s="37"/>
      <c r="BX138" s="38"/>
      <c r="BY138" s="18"/>
      <c r="BZ138" s="39">
        <f t="shared" si="30"/>
        <v>44104</v>
      </c>
      <c r="CA138" s="40">
        <f t="shared" si="31"/>
        <v>18593.0429</v>
      </c>
      <c r="CB138" s="17"/>
      <c r="CC138" s="39">
        <f t="shared" si="32"/>
        <v>44104</v>
      </c>
      <c r="CD138" s="40">
        <f t="shared" si="33"/>
        <v>12.92</v>
      </c>
      <c r="CE138" s="18"/>
      <c r="CF138" s="18"/>
      <c r="CG138" s="18"/>
      <c r="CH138" s="18"/>
      <c r="CI138" s="18"/>
      <c r="CJ138" s="18"/>
      <c r="CK138" s="18"/>
      <c r="CL138" s="18"/>
      <c r="CM138" s="18"/>
      <c r="CN138" s="18"/>
      <c r="CO138" s="18"/>
      <c r="CP138" s="18"/>
      <c r="CQ138" s="18"/>
      <c r="CR138" s="18"/>
      <c r="CS138" s="18"/>
      <c r="CT138" s="18"/>
      <c r="CU138" s="18"/>
      <c r="CV138" s="18"/>
      <c r="CW138" s="18"/>
      <c r="CX138" s="18"/>
      <c r="CY138" s="37">
        <v>44958</v>
      </c>
      <c r="CZ138" s="38">
        <v>18.7682</v>
      </c>
      <c r="DA138" s="18"/>
      <c r="DB138" s="37">
        <v>44958</v>
      </c>
      <c r="DC138" s="38">
        <v>18.7788</v>
      </c>
      <c r="DD138" s="18"/>
      <c r="DE138" s="37">
        <v>44958</v>
      </c>
      <c r="DF138" s="38">
        <v>17.0367</v>
      </c>
      <c r="DG138" s="18"/>
      <c r="DH138" s="37">
        <v>44958</v>
      </c>
      <c r="DI138" s="38">
        <v>21.104199999999999</v>
      </c>
      <c r="DJ138" s="18"/>
      <c r="DK138" s="37">
        <v>44958</v>
      </c>
      <c r="DL138" s="38">
        <v>0.13250000000000001</v>
      </c>
      <c r="DM138" s="18"/>
      <c r="DN138" s="18"/>
      <c r="DO138" s="18"/>
      <c r="DP138" s="18"/>
      <c r="DQ138" s="18"/>
      <c r="DR138" s="18"/>
      <c r="DS138" s="18"/>
      <c r="DT138" s="18"/>
      <c r="DU138" s="18"/>
      <c r="DV138" s="18"/>
      <c r="DW138" s="18"/>
      <c r="DX138" s="18"/>
      <c r="DY138" s="18"/>
      <c r="DZ138" s="18"/>
    </row>
    <row r="139" spans="1:130" ht="15" customHeight="1" x14ac:dyDescent="0.3">
      <c r="A139" s="100" t="s">
        <v>426</v>
      </c>
      <c r="B139" s="73" t="s">
        <v>234</v>
      </c>
      <c r="C139" s="74">
        <v>34.4</v>
      </c>
      <c r="D139" s="74">
        <v>34.130000000000003</v>
      </c>
      <c r="E139" s="74">
        <v>30.32</v>
      </c>
      <c r="F139" s="74">
        <v>39.51</v>
      </c>
      <c r="G139" s="74">
        <v>42.41</v>
      </c>
      <c r="H139" s="74">
        <v>23.95</v>
      </c>
      <c r="I139" s="74">
        <v>22.43</v>
      </c>
      <c r="J139" s="74">
        <v>20.28</v>
      </c>
      <c r="K139" s="74">
        <v>19.329999999999998</v>
      </c>
      <c r="L139" s="74">
        <v>16.559999999999999</v>
      </c>
      <c r="M139" s="75">
        <v>-11.4</v>
      </c>
      <c r="N139" s="227"/>
      <c r="O139" s="17"/>
      <c r="P139" s="17"/>
      <c r="Q139" s="17"/>
      <c r="R139" s="17"/>
      <c r="S139" s="17"/>
      <c r="T139" s="17"/>
      <c r="U139" s="18"/>
      <c r="V139" s="18"/>
      <c r="W139" s="18"/>
      <c r="X139" s="18"/>
      <c r="Y139" s="18"/>
      <c r="Z139" s="18"/>
      <c r="AA139" s="18"/>
      <c r="AB139" s="18"/>
      <c r="AC139" s="18"/>
      <c r="AD139" s="18"/>
      <c r="AE139" s="18" t="str">
        <f t="shared" si="49"/>
        <v>Tangible Common Equity Ratio</v>
      </c>
      <c r="AF139" s="85">
        <f t="shared" si="50"/>
        <v>-5.0000000000238742E-4</v>
      </c>
      <c r="AG139" s="85">
        <f t="shared" si="51"/>
        <v>4.4000000000039563E-3</v>
      </c>
      <c r="AH139" s="85">
        <f t="shared" si="52"/>
        <v>1.0000000000012221E-3</v>
      </c>
      <c r="AI139" s="85">
        <f t="shared" si="53"/>
        <v>-3.1000000000034333E-3</v>
      </c>
      <c r="AJ139" s="85">
        <f t="shared" si="54"/>
        <v>3.4999999999953957E-3</v>
      </c>
      <c r="AK139" s="85">
        <f t="shared" si="55"/>
        <v>-9.9999999999766942E-5</v>
      </c>
      <c r="AL139" s="85">
        <f t="shared" si="56"/>
        <v>4.5000000000001705E-3</v>
      </c>
      <c r="AM139" s="85">
        <f t="shared" si="57"/>
        <v>-3.6999999999984823E-3</v>
      </c>
      <c r="AN139" s="18"/>
      <c r="AO139" s="18"/>
      <c r="AP139" s="77" t="s">
        <v>234</v>
      </c>
      <c r="AQ139" s="18">
        <f>_xll.BDH($B$10,"TANGIBLE_BK_VAL_TANGIBLE_ASSET","-10FY","","Per=fy","Days=W","Fill=E","Curr=","DtFmt=P","Sort=D","Dts=H","Dir=H","FILING_STATUS,EQY_CONSOLIDATED","MR,","cols=11;rows=1")</f>
        <v>34.400500000000001</v>
      </c>
      <c r="AR139" s="18">
        <v>34.125599999999999</v>
      </c>
      <c r="AS139" s="18">
        <v>30.318999999999999</v>
      </c>
      <c r="AT139" s="18">
        <v>39.513100000000001</v>
      </c>
      <c r="AU139" s="18">
        <v>42.406500000000001</v>
      </c>
      <c r="AV139" s="18">
        <v>23.950099999999999</v>
      </c>
      <c r="AW139" s="18">
        <v>22.4255</v>
      </c>
      <c r="AX139" s="18">
        <v>20.2837</v>
      </c>
      <c r="AY139" s="18">
        <v>19.329499999999999</v>
      </c>
      <c r="AZ139" s="18">
        <v>16.5639</v>
      </c>
      <c r="BA139" s="78">
        <v>-11.4032</v>
      </c>
      <c r="BB139" s="18"/>
      <c r="BC139" s="18"/>
      <c r="BD139" s="18"/>
      <c r="BE139" s="18"/>
      <c r="BF139" s="18"/>
      <c r="BG139" s="18"/>
      <c r="BH139" s="18"/>
      <c r="BI139" s="18"/>
      <c r="BJ139" s="18"/>
      <c r="BK139" s="18"/>
      <c r="BL139" s="18"/>
      <c r="BM139" s="18"/>
      <c r="BN139" s="18"/>
      <c r="BO139" s="18"/>
      <c r="BP139" s="18"/>
      <c r="BQ139" s="37">
        <v>44134</v>
      </c>
      <c r="BR139" s="38">
        <v>18564.2611</v>
      </c>
      <c r="BS139" s="17"/>
      <c r="BT139" s="37">
        <v>44134</v>
      </c>
      <c r="BU139" s="38">
        <v>1290</v>
      </c>
      <c r="BV139" s="18"/>
      <c r="BW139" s="37"/>
      <c r="BX139" s="38"/>
      <c r="BY139" s="18"/>
      <c r="BZ139" s="39">
        <f t="shared" ref="BZ139:BZ202" si="58">IF(BQ139="","-",BQ139)</f>
        <v>44134</v>
      </c>
      <c r="CA139" s="40">
        <f t="shared" ref="CA139:CA202" si="59">IF(BQ139="","-",IF(CA$8&lt;&gt;CA$7,BR139/VLOOKUP(BZ139,$BW$11:$BX$215,2,0),BR139))</f>
        <v>18564.2611</v>
      </c>
      <c r="CB139" s="17"/>
      <c r="CC139" s="39">
        <f t="shared" ref="CC139:CC202" si="60">IF(BT139="","-",BT139)</f>
        <v>44134</v>
      </c>
      <c r="CD139" s="40">
        <f t="shared" ref="CD139:CD202" si="61">IF(BT139="","-",IF(CD$8&lt;&gt;CD$7,(BU139*$C$19)/VLOOKUP(CC139,$BW$11:$BX$215,2,0),BU139*$C$19))</f>
        <v>12.9</v>
      </c>
      <c r="CE139" s="18"/>
      <c r="CF139" s="18"/>
      <c r="CG139" s="18"/>
      <c r="CH139" s="18"/>
      <c r="CI139" s="18"/>
      <c r="CJ139" s="18"/>
      <c r="CK139" s="18"/>
      <c r="CL139" s="18"/>
      <c r="CM139" s="18"/>
      <c r="CN139" s="18"/>
      <c r="CO139" s="18"/>
      <c r="CP139" s="18"/>
      <c r="CQ139" s="18"/>
      <c r="CR139" s="18"/>
      <c r="CS139" s="18"/>
      <c r="CT139" s="18"/>
      <c r="CU139" s="18"/>
      <c r="CV139" s="18"/>
      <c r="CW139" s="18"/>
      <c r="CX139" s="18"/>
      <c r="CY139" s="37">
        <v>44959</v>
      </c>
      <c r="CZ139" s="38">
        <v>18.6295</v>
      </c>
      <c r="DA139" s="18"/>
      <c r="DB139" s="37">
        <v>44959</v>
      </c>
      <c r="DC139" s="38">
        <v>18.706199999999999</v>
      </c>
      <c r="DD139" s="18"/>
      <c r="DE139" s="37">
        <v>44959</v>
      </c>
      <c r="DF139" s="38">
        <v>17.0839</v>
      </c>
      <c r="DG139" s="18"/>
      <c r="DH139" s="37">
        <v>44959</v>
      </c>
      <c r="DI139" s="38">
        <v>20.876799999999999</v>
      </c>
      <c r="DJ139" s="18"/>
      <c r="DK139" s="37">
        <v>44959</v>
      </c>
      <c r="DL139" s="38">
        <v>0.13270000000000001</v>
      </c>
      <c r="DM139" s="18"/>
      <c r="DN139" s="18"/>
      <c r="DO139" s="18"/>
      <c r="DP139" s="18"/>
      <c r="DQ139" s="18"/>
      <c r="DR139" s="18"/>
      <c r="DS139" s="18"/>
      <c r="DT139" s="18"/>
      <c r="DU139" s="18"/>
      <c r="DV139" s="18"/>
      <c r="DW139" s="18"/>
      <c r="DX139" s="18"/>
      <c r="DY139" s="18"/>
      <c r="DZ139" s="18"/>
    </row>
    <row r="140" spans="1:130" ht="15" customHeight="1" x14ac:dyDescent="0.3">
      <c r="A140" s="30" t="s">
        <v>385</v>
      </c>
      <c r="B140" s="73" t="s">
        <v>235</v>
      </c>
      <c r="C140" s="74">
        <v>1.03</v>
      </c>
      <c r="D140" s="74">
        <v>1</v>
      </c>
      <c r="E140" s="74">
        <v>1.21</v>
      </c>
      <c r="F140" s="74">
        <v>1.04</v>
      </c>
      <c r="G140" s="74">
        <v>1.25</v>
      </c>
      <c r="H140" s="74">
        <v>1.06</v>
      </c>
      <c r="I140" s="74">
        <v>1.07</v>
      </c>
      <c r="J140" s="74">
        <v>1.02</v>
      </c>
      <c r="K140" s="74">
        <v>0.97</v>
      </c>
      <c r="L140" s="74">
        <v>1.01</v>
      </c>
      <c r="M140" s="75">
        <v>1.05</v>
      </c>
      <c r="N140" s="227"/>
      <c r="O140" s="17"/>
      <c r="P140" s="17"/>
      <c r="Q140" s="17"/>
      <c r="R140" s="17"/>
      <c r="S140" s="17"/>
      <c r="T140" s="17"/>
      <c r="U140" s="18"/>
      <c r="V140" s="18"/>
      <c r="W140" s="18"/>
      <c r="X140" s="18"/>
      <c r="Y140" s="18"/>
      <c r="Z140" s="18"/>
      <c r="AA140" s="18"/>
      <c r="AB140" s="18"/>
      <c r="AC140" s="18"/>
      <c r="AD140" s="18"/>
      <c r="AE140" s="18" t="str">
        <f t="shared" si="49"/>
        <v>Current Ratio</v>
      </c>
      <c r="AF140" s="85">
        <f t="shared" si="50"/>
        <v>2.9999999999996696E-4</v>
      </c>
      <c r="AG140" s="85">
        <f t="shared" si="51"/>
        <v>4.8000000000000265E-3</v>
      </c>
      <c r="AH140" s="85">
        <f t="shared" si="52"/>
        <v>4.0999999999999925E-3</v>
      </c>
      <c r="AI140" s="85">
        <f t="shared" si="53"/>
        <v>-3.0999999999998806E-3</v>
      </c>
      <c r="AJ140" s="85">
        <f t="shared" si="54"/>
        <v>2.2999999999999687E-3</v>
      </c>
      <c r="AK140" s="85">
        <f t="shared" si="55"/>
        <v>-8.9999999999990088E-4</v>
      </c>
      <c r="AL140" s="85">
        <f t="shared" si="56"/>
        <v>-4.1999999999999815E-3</v>
      </c>
      <c r="AM140" s="85">
        <f t="shared" si="57"/>
        <v>-2.1999999999999797E-3</v>
      </c>
      <c r="AN140" s="18"/>
      <c r="AO140" s="18"/>
      <c r="AP140" s="77" t="s">
        <v>235</v>
      </c>
      <c r="AQ140" s="18">
        <f>_xll.BDH($B$10,"CUR_RATIO","-10FY","","Per=fy","Days=W","Fill=E","Curr=","DtFmt=P","Sort=D","Dts=H","Dir=H","FILING_STATUS,EQY_CONSOLIDATED","MR,","cols=11;rows=1")</f>
        <v>1.0297000000000001</v>
      </c>
      <c r="AR140" s="18">
        <v>0.99519999999999997</v>
      </c>
      <c r="AS140" s="18">
        <v>1.2059</v>
      </c>
      <c r="AT140" s="18">
        <v>1.0430999999999999</v>
      </c>
      <c r="AU140" s="18">
        <v>1.2477</v>
      </c>
      <c r="AV140" s="18">
        <v>1.0609</v>
      </c>
      <c r="AW140" s="18">
        <v>1.0742</v>
      </c>
      <c r="AX140" s="18">
        <v>1.0222</v>
      </c>
      <c r="AY140" s="18">
        <v>0.96630000000000005</v>
      </c>
      <c r="AZ140" s="18">
        <v>1.0069999999999999</v>
      </c>
      <c r="BA140" s="78">
        <v>1.0475000000000001</v>
      </c>
      <c r="BB140" s="18"/>
      <c r="BC140" s="18"/>
      <c r="BD140" s="18"/>
      <c r="BE140" s="18"/>
      <c r="BF140" s="18"/>
      <c r="BG140" s="18"/>
      <c r="BH140" s="18"/>
      <c r="BI140" s="18"/>
      <c r="BJ140" s="18"/>
      <c r="BK140" s="18"/>
      <c r="BL140" s="18"/>
      <c r="BM140" s="18"/>
      <c r="BN140" s="18"/>
      <c r="BO140" s="18"/>
      <c r="BP140" s="18"/>
      <c r="BQ140" s="37">
        <v>44165</v>
      </c>
      <c r="BR140" s="38">
        <v>17700.807100000002</v>
      </c>
      <c r="BS140" s="17"/>
      <c r="BT140" s="37">
        <v>44165</v>
      </c>
      <c r="BU140" s="38">
        <v>1230</v>
      </c>
      <c r="BV140" s="18"/>
      <c r="BW140" s="37"/>
      <c r="BX140" s="38"/>
      <c r="BY140" s="18"/>
      <c r="BZ140" s="39">
        <f t="shared" si="58"/>
        <v>44165</v>
      </c>
      <c r="CA140" s="40">
        <f t="shared" si="59"/>
        <v>17700.807100000002</v>
      </c>
      <c r="CB140" s="17"/>
      <c r="CC140" s="39">
        <f t="shared" si="60"/>
        <v>44165</v>
      </c>
      <c r="CD140" s="40">
        <f t="shared" si="61"/>
        <v>12.3</v>
      </c>
      <c r="CE140" s="18"/>
      <c r="CF140" s="18"/>
      <c r="CG140" s="18"/>
      <c r="CH140" s="18"/>
      <c r="CI140" s="18"/>
      <c r="CJ140" s="18"/>
      <c r="CK140" s="18"/>
      <c r="CL140" s="18"/>
      <c r="CM140" s="18"/>
      <c r="CN140" s="18"/>
      <c r="CO140" s="18"/>
      <c r="CP140" s="18"/>
      <c r="CQ140" s="18"/>
      <c r="CR140" s="18"/>
      <c r="CS140" s="18"/>
      <c r="CT140" s="18"/>
      <c r="CU140" s="18"/>
      <c r="CV140" s="18"/>
      <c r="CW140" s="18"/>
      <c r="CX140" s="18"/>
      <c r="CY140" s="37">
        <v>44960</v>
      </c>
      <c r="CZ140" s="38">
        <v>18.871500000000001</v>
      </c>
      <c r="DA140" s="18"/>
      <c r="DB140" s="37">
        <v>44960</v>
      </c>
      <c r="DC140" s="38">
        <v>18.8718</v>
      </c>
      <c r="DD140" s="18"/>
      <c r="DE140" s="37">
        <v>44960</v>
      </c>
      <c r="DF140" s="38">
        <v>17.4756</v>
      </c>
      <c r="DG140" s="18"/>
      <c r="DH140" s="37">
        <v>44960</v>
      </c>
      <c r="DI140" s="38">
        <v>21.072099999999999</v>
      </c>
      <c r="DJ140" s="18"/>
      <c r="DK140" s="37">
        <v>44960</v>
      </c>
      <c r="DL140" s="38">
        <v>0.13320000000000001</v>
      </c>
      <c r="DM140" s="18"/>
      <c r="DN140" s="18"/>
      <c r="DO140" s="18"/>
      <c r="DP140" s="18"/>
      <c r="DQ140" s="18"/>
      <c r="DR140" s="18"/>
      <c r="DS140" s="18"/>
      <c r="DT140" s="18"/>
      <c r="DU140" s="18"/>
      <c r="DV140" s="18"/>
      <c r="DW140" s="18"/>
      <c r="DX140" s="18"/>
      <c r="DY140" s="18"/>
      <c r="DZ140" s="18"/>
    </row>
    <row r="141" spans="1:130" ht="15" customHeight="1" x14ac:dyDescent="0.3">
      <c r="A141" s="30" t="s">
        <v>386</v>
      </c>
      <c r="B141" s="73" t="s">
        <v>236</v>
      </c>
      <c r="C141" s="74">
        <v>29.64</v>
      </c>
      <c r="D141" s="74">
        <v>41.84</v>
      </c>
      <c r="E141" s="74">
        <v>41.61</v>
      </c>
      <c r="F141" s="74">
        <v>17.34</v>
      </c>
      <c r="G141" s="74">
        <v>24.73</v>
      </c>
      <c r="H141" s="74">
        <v>27.47</v>
      </c>
      <c r="I141" s="74">
        <v>12.16</v>
      </c>
      <c r="J141" s="74">
        <v>14.28</v>
      </c>
      <c r="K141" s="74">
        <v>16.36</v>
      </c>
      <c r="L141" s="74">
        <v>16.27</v>
      </c>
      <c r="M141" s="75">
        <v>15.17</v>
      </c>
      <c r="N141" s="227"/>
      <c r="O141" s="17"/>
      <c r="P141" s="17"/>
      <c r="Q141" s="17"/>
      <c r="R141" s="17"/>
      <c r="S141" s="17"/>
      <c r="T141" s="17"/>
      <c r="U141" s="18"/>
      <c r="V141" s="18"/>
      <c r="W141" s="18"/>
      <c r="X141" s="18"/>
      <c r="Y141" s="18"/>
      <c r="Z141" s="18"/>
      <c r="AA141" s="18"/>
      <c r="AB141" s="18"/>
      <c r="AC141" s="18"/>
      <c r="AD141" s="18"/>
      <c r="AE141" s="18" t="str">
        <f t="shared" si="49"/>
        <v>Cash Conversion Cycle</v>
      </c>
      <c r="AF141" s="85">
        <f t="shared" si="50"/>
        <v>-4.9999999999990052E-3</v>
      </c>
      <c r="AG141" s="85">
        <f t="shared" si="51"/>
        <v>-2.4999999999977263E-3</v>
      </c>
      <c r="AH141" s="85">
        <f t="shared" si="52"/>
        <v>-2.4999999999977263E-3</v>
      </c>
      <c r="AI141" s="85">
        <f t="shared" si="53"/>
        <v>4.5999999999999375E-3</v>
      </c>
      <c r="AJ141" s="85">
        <f t="shared" si="54"/>
        <v>-1.5000000000000568E-3</v>
      </c>
      <c r="AK141" s="85">
        <f t="shared" si="55"/>
        <v>9.9999999999766942E-4</v>
      </c>
      <c r="AL141" s="85">
        <f t="shared" si="56"/>
        <v>3.9999999999995595E-3</v>
      </c>
      <c r="AM141" s="85">
        <f t="shared" si="57"/>
        <v>1.7999999999993577E-3</v>
      </c>
      <c r="AN141" s="18"/>
      <c r="AO141" s="18"/>
      <c r="AP141" s="77" t="s">
        <v>236</v>
      </c>
      <c r="AQ141" s="18">
        <f>_xll.BDH($B$10,"CASH_CONVERSION_CYCLE","-10FY","","Per=fy","Days=W","Fill=E","Curr=","DtFmt=P","Sort=D","Dts=H","Dir=H","FILING_STATUS,EQY_CONSOLIDATED","MR,","cols=11;rows=1")</f>
        <v>29.645</v>
      </c>
      <c r="AR141" s="18">
        <v>41.842500000000001</v>
      </c>
      <c r="AS141" s="18">
        <v>41.612499999999997</v>
      </c>
      <c r="AT141" s="18">
        <v>17.3354</v>
      </c>
      <c r="AU141" s="18">
        <v>24.7315</v>
      </c>
      <c r="AV141" s="18">
        <v>27.469000000000001</v>
      </c>
      <c r="AW141" s="18">
        <v>12.156000000000001</v>
      </c>
      <c r="AX141" s="18">
        <v>14.2782</v>
      </c>
      <c r="AY141" s="18">
        <v>16.3569</v>
      </c>
      <c r="AZ141" s="18">
        <v>16.2667</v>
      </c>
      <c r="BA141" s="78">
        <v>15.172000000000001</v>
      </c>
      <c r="BB141" s="18"/>
      <c r="BC141" s="18"/>
      <c r="BD141" s="18"/>
      <c r="BE141" s="18"/>
      <c r="BF141" s="18"/>
      <c r="BG141" s="18"/>
      <c r="BH141" s="18"/>
      <c r="BI141" s="18"/>
      <c r="BJ141" s="18"/>
      <c r="BK141" s="18"/>
      <c r="BL141" s="18"/>
      <c r="BM141" s="18"/>
      <c r="BN141" s="18"/>
      <c r="BO141" s="18"/>
      <c r="BP141" s="18"/>
      <c r="BQ141" s="37">
        <v>44196</v>
      </c>
      <c r="BR141" s="38">
        <v>17988.625100000001</v>
      </c>
      <c r="BS141" s="17"/>
      <c r="BT141" s="37">
        <v>44196</v>
      </c>
      <c r="BU141" s="38">
        <v>1250</v>
      </c>
      <c r="BV141" s="18"/>
      <c r="BW141" s="37"/>
      <c r="BX141" s="38"/>
      <c r="BY141" s="18"/>
      <c r="BZ141" s="39">
        <f t="shared" si="58"/>
        <v>44196</v>
      </c>
      <c r="CA141" s="40">
        <f t="shared" si="59"/>
        <v>17988.625100000001</v>
      </c>
      <c r="CB141" s="17"/>
      <c r="CC141" s="39">
        <f t="shared" si="60"/>
        <v>44196</v>
      </c>
      <c r="CD141" s="40">
        <f t="shared" si="61"/>
        <v>12.5</v>
      </c>
      <c r="CE141" s="18"/>
      <c r="CF141" s="18"/>
      <c r="CG141" s="18"/>
      <c r="CH141" s="18"/>
      <c r="CI141" s="18"/>
      <c r="CJ141" s="18"/>
      <c r="CK141" s="18"/>
      <c r="CL141" s="18"/>
      <c r="CM141" s="18"/>
      <c r="CN141" s="18"/>
      <c r="CO141" s="18"/>
      <c r="CP141" s="18"/>
      <c r="CQ141" s="18"/>
      <c r="CR141" s="18"/>
      <c r="CS141" s="18"/>
      <c r="CT141" s="18"/>
      <c r="CU141" s="18"/>
      <c r="CV141" s="18"/>
      <c r="CW141" s="18"/>
      <c r="CX141" s="18"/>
      <c r="CY141" s="37">
        <v>44963</v>
      </c>
      <c r="CZ141" s="38">
        <v>18.949200000000001</v>
      </c>
      <c r="DA141" s="18"/>
      <c r="DB141" s="37">
        <v>44963</v>
      </c>
      <c r="DC141" s="38">
        <v>19.027000000000001</v>
      </c>
      <c r="DD141" s="18"/>
      <c r="DE141" s="37">
        <v>44963</v>
      </c>
      <c r="DF141" s="38">
        <v>17.658300000000001</v>
      </c>
      <c r="DG141" s="18"/>
      <c r="DH141" s="37">
        <v>44963</v>
      </c>
      <c r="DI141" s="38">
        <v>21.241499999999998</v>
      </c>
      <c r="DJ141" s="18"/>
      <c r="DK141" s="37">
        <v>44963</v>
      </c>
      <c r="DL141" s="38">
        <v>0.13320000000000001</v>
      </c>
      <c r="DM141" s="18"/>
      <c r="DN141" s="18"/>
      <c r="DO141" s="18"/>
      <c r="DP141" s="18"/>
      <c r="DQ141" s="18"/>
      <c r="DR141" s="18"/>
      <c r="DS141" s="18"/>
      <c r="DT141" s="18"/>
      <c r="DU141" s="18"/>
      <c r="DV141" s="18"/>
      <c r="DW141" s="18"/>
      <c r="DX141" s="18"/>
      <c r="DY141" s="18"/>
      <c r="DZ141" s="18"/>
    </row>
    <row r="142" spans="1:130" ht="15" customHeight="1" x14ac:dyDescent="0.3">
      <c r="A142" s="30" t="s">
        <v>387</v>
      </c>
      <c r="B142" s="73" t="s">
        <v>237</v>
      </c>
      <c r="C142" s="74" t="s">
        <v>615</v>
      </c>
      <c r="D142" s="74" t="s">
        <v>615</v>
      </c>
      <c r="E142" s="74" t="s">
        <v>615</v>
      </c>
      <c r="F142" s="74" t="s">
        <v>615</v>
      </c>
      <c r="G142" s="74" t="s">
        <v>615</v>
      </c>
      <c r="H142" s="74" t="s">
        <v>615</v>
      </c>
      <c r="I142" s="74" t="s">
        <v>615</v>
      </c>
      <c r="J142" s="74" t="s">
        <v>615</v>
      </c>
      <c r="K142" s="74" t="s">
        <v>615</v>
      </c>
      <c r="L142" s="74" t="s">
        <v>615</v>
      </c>
      <c r="M142" s="75" t="s">
        <v>615</v>
      </c>
      <c r="N142" s="227"/>
      <c r="O142" s="17"/>
      <c r="P142" s="17"/>
      <c r="Q142" s="17"/>
      <c r="R142" s="17"/>
      <c r="S142" s="17"/>
      <c r="T142" s="17"/>
      <c r="U142" s="18"/>
      <c r="V142" s="18"/>
      <c r="W142" s="18"/>
      <c r="X142" s="18"/>
      <c r="Y142" s="18"/>
      <c r="Z142" s="18"/>
      <c r="AA142" s="18"/>
      <c r="AB142" s="18"/>
      <c r="AC142" s="18"/>
      <c r="AD142" s="18"/>
      <c r="AE142" s="18" t="str">
        <f t="shared" si="49"/>
        <v>Inventory - Raw Materials</v>
      </c>
      <c r="AF142" s="85" t="e">
        <f t="shared" si="50"/>
        <v>#VALUE!</v>
      </c>
      <c r="AG142" s="85" t="e">
        <f t="shared" si="51"/>
        <v>#VALUE!</v>
      </c>
      <c r="AH142" s="85" t="e">
        <f t="shared" si="52"/>
        <v>#VALUE!</v>
      </c>
      <c r="AI142" s="85" t="e">
        <f t="shared" si="53"/>
        <v>#VALUE!</v>
      </c>
      <c r="AJ142" s="85" t="e">
        <f t="shared" si="54"/>
        <v>#VALUE!</v>
      </c>
      <c r="AK142" s="85" t="e">
        <f t="shared" si="55"/>
        <v>#VALUE!</v>
      </c>
      <c r="AL142" s="85" t="e">
        <f t="shared" si="56"/>
        <v>#VALUE!</v>
      </c>
      <c r="AM142" s="85" t="e">
        <f t="shared" si="57"/>
        <v>#VALUE!</v>
      </c>
      <c r="AN142" s="18"/>
      <c r="AO142" s="18"/>
      <c r="AP142" s="77" t="s">
        <v>237</v>
      </c>
      <c r="AQ142" s="18">
        <f>_xll.BDH($B$10,"INVTRY_RAW_MATERIALS","-10FY","","Per=fy","Days=W","Fill=E","Curr=","DtFmt=P","Sort=D","Dts=H","Dir=H","FILING_STATUS,EQY_CONSOLIDATED","MR,","cols=11;rows=1")</f>
        <v>0</v>
      </c>
      <c r="AR142" s="18">
        <v>0</v>
      </c>
      <c r="AS142" s="18">
        <v>0</v>
      </c>
      <c r="AT142" s="18">
        <v>0</v>
      </c>
      <c r="AU142" s="18">
        <v>0</v>
      </c>
      <c r="AV142" s="18">
        <v>0</v>
      </c>
      <c r="AW142" s="18">
        <v>0</v>
      </c>
      <c r="AX142" s="18">
        <v>0</v>
      </c>
      <c r="AY142" s="18">
        <v>0</v>
      </c>
      <c r="AZ142" s="18">
        <v>0</v>
      </c>
      <c r="BA142" s="78">
        <v>0</v>
      </c>
      <c r="BB142" s="18"/>
      <c r="BC142" s="18"/>
      <c r="BD142" s="18"/>
      <c r="BE142" s="18"/>
      <c r="BF142" s="18"/>
      <c r="BG142" s="18"/>
      <c r="BH142" s="18"/>
      <c r="BI142" s="18"/>
      <c r="BJ142" s="18"/>
      <c r="BK142" s="18"/>
      <c r="BL142" s="18"/>
      <c r="BM142" s="18"/>
      <c r="BN142" s="18"/>
      <c r="BO142" s="18"/>
      <c r="BP142" s="18"/>
      <c r="BQ142" s="37">
        <v>44225</v>
      </c>
      <c r="BR142" s="38">
        <v>19255.024300000001</v>
      </c>
      <c r="BS142" s="17"/>
      <c r="BT142" s="37">
        <v>44225</v>
      </c>
      <c r="BU142" s="38">
        <v>1338</v>
      </c>
      <c r="BV142" s="18"/>
      <c r="BW142" s="37"/>
      <c r="BX142" s="38"/>
      <c r="BY142" s="18"/>
      <c r="BZ142" s="39">
        <f t="shared" si="58"/>
        <v>44225</v>
      </c>
      <c r="CA142" s="40">
        <f t="shared" si="59"/>
        <v>19255.024300000001</v>
      </c>
      <c r="CB142" s="17"/>
      <c r="CC142" s="39">
        <f t="shared" si="60"/>
        <v>44225</v>
      </c>
      <c r="CD142" s="40">
        <f t="shared" si="61"/>
        <v>13.38</v>
      </c>
      <c r="CE142" s="18"/>
      <c r="CF142" s="18"/>
      <c r="CG142" s="18"/>
      <c r="CH142" s="18"/>
      <c r="CI142" s="18"/>
      <c r="CJ142" s="18"/>
      <c r="CK142" s="18"/>
      <c r="CL142" s="18"/>
      <c r="CM142" s="18"/>
      <c r="CN142" s="18"/>
      <c r="CO142" s="18"/>
      <c r="CP142" s="18"/>
      <c r="CQ142" s="18"/>
      <c r="CR142" s="18"/>
      <c r="CS142" s="18"/>
      <c r="CT142" s="18"/>
      <c r="CU142" s="18"/>
      <c r="CV142" s="18"/>
      <c r="CW142" s="18"/>
      <c r="CX142" s="18"/>
      <c r="CY142" s="37">
        <v>44964</v>
      </c>
      <c r="CZ142" s="38">
        <v>18.8063</v>
      </c>
      <c r="DA142" s="18"/>
      <c r="DB142" s="37">
        <v>44964</v>
      </c>
      <c r="DC142" s="38">
        <v>19.017600000000002</v>
      </c>
      <c r="DD142" s="18"/>
      <c r="DE142" s="37">
        <v>44964</v>
      </c>
      <c r="DF142" s="38">
        <v>17.529800000000002</v>
      </c>
      <c r="DG142" s="18"/>
      <c r="DH142" s="37">
        <v>44964</v>
      </c>
      <c r="DI142" s="38">
        <v>21.130099999999999</v>
      </c>
      <c r="DJ142" s="18"/>
      <c r="DK142" s="37">
        <v>44964</v>
      </c>
      <c r="DL142" s="38">
        <v>0.1338</v>
      </c>
      <c r="DM142" s="18"/>
      <c r="DN142" s="18"/>
      <c r="DO142" s="18"/>
      <c r="DP142" s="18"/>
      <c r="DQ142" s="18"/>
      <c r="DR142" s="18"/>
      <c r="DS142" s="18"/>
      <c r="DT142" s="18"/>
      <c r="DU142" s="18"/>
      <c r="DV142" s="18"/>
      <c r="DW142" s="18"/>
      <c r="DX142" s="18"/>
      <c r="DY142" s="18"/>
      <c r="DZ142" s="18"/>
    </row>
    <row r="143" spans="1:130" ht="15" customHeight="1" x14ac:dyDescent="0.3">
      <c r="A143" s="30" t="s">
        <v>170</v>
      </c>
      <c r="B143" s="73" t="s">
        <v>47</v>
      </c>
      <c r="C143" s="74" t="s">
        <v>615</v>
      </c>
      <c r="D143" s="74" t="s">
        <v>615</v>
      </c>
      <c r="E143" s="74" t="s">
        <v>615</v>
      </c>
      <c r="F143" s="74" t="s">
        <v>615</v>
      </c>
      <c r="G143" s="74" t="s">
        <v>615</v>
      </c>
      <c r="H143" s="74" t="s">
        <v>615</v>
      </c>
      <c r="I143" s="74" t="s">
        <v>615</v>
      </c>
      <c r="J143" s="74" t="s">
        <v>615</v>
      </c>
      <c r="K143" s="74" t="s">
        <v>615</v>
      </c>
      <c r="L143" s="74" t="s">
        <v>615</v>
      </c>
      <c r="M143" s="75" t="s">
        <v>615</v>
      </c>
      <c r="N143" s="227"/>
      <c r="O143" s="17"/>
      <c r="P143" s="17"/>
      <c r="Q143" s="17"/>
      <c r="R143" s="17"/>
      <c r="S143" s="17"/>
      <c r="T143" s="17"/>
      <c r="U143" s="18"/>
      <c r="V143" s="18"/>
      <c r="W143" s="18"/>
      <c r="X143" s="18"/>
      <c r="Y143" s="18"/>
      <c r="Z143" s="18"/>
      <c r="AA143" s="18"/>
      <c r="AB143" s="18"/>
      <c r="AC143" s="18"/>
      <c r="AD143" s="18"/>
      <c r="AE143" s="18" t="str">
        <f t="shared" si="49"/>
        <v>Capital Work in Progress</v>
      </c>
      <c r="AF143" s="85" t="e">
        <f t="shared" si="50"/>
        <v>#VALUE!</v>
      </c>
      <c r="AG143" s="85" t="e">
        <f t="shared" si="51"/>
        <v>#VALUE!</v>
      </c>
      <c r="AH143" s="85" t="e">
        <f t="shared" si="52"/>
        <v>#VALUE!</v>
      </c>
      <c r="AI143" s="85" t="e">
        <f t="shared" si="53"/>
        <v>#VALUE!</v>
      </c>
      <c r="AJ143" s="85" t="e">
        <f t="shared" si="54"/>
        <v>#VALUE!</v>
      </c>
      <c r="AK143" s="85" t="e">
        <f t="shared" si="55"/>
        <v>#VALUE!</v>
      </c>
      <c r="AL143" s="85" t="e">
        <f t="shared" si="56"/>
        <v>#VALUE!</v>
      </c>
      <c r="AM143" s="85" t="e">
        <f t="shared" si="57"/>
        <v>#VALUE!</v>
      </c>
      <c r="AN143" s="18"/>
      <c r="AO143" s="18"/>
      <c r="AP143" s="77" t="s">
        <v>450</v>
      </c>
      <c r="AQ143" s="18">
        <f>_xll.BDH($B$10,"INVTRY_IN_PROGRESS","-10FY","","Per=fy","Days=W","Fill=E","Curr=","DtFmt=P","Sort=D","Dts=H","Dir=H","FILING_STATUS,EQY_CONSOLIDATED","MR,","cols=11;rows=1")</f>
        <v>0</v>
      </c>
      <c r="AR143" s="18">
        <v>0</v>
      </c>
      <c r="AS143" s="18">
        <v>0</v>
      </c>
      <c r="AT143" s="18">
        <v>0</v>
      </c>
      <c r="AU143" s="18">
        <v>0</v>
      </c>
      <c r="AV143" s="18">
        <v>0</v>
      </c>
      <c r="AW143" s="18">
        <v>0</v>
      </c>
      <c r="AX143" s="18">
        <v>0</v>
      </c>
      <c r="AY143" s="18">
        <v>0</v>
      </c>
      <c r="AZ143" s="18">
        <v>0</v>
      </c>
      <c r="BA143" s="78">
        <v>0</v>
      </c>
      <c r="BB143" s="18"/>
      <c r="BC143" s="18"/>
      <c r="BD143" s="18"/>
      <c r="BE143" s="18"/>
      <c r="BF143" s="18"/>
      <c r="BG143" s="18"/>
      <c r="BH143" s="18"/>
      <c r="BI143" s="18"/>
      <c r="BJ143" s="18"/>
      <c r="BK143" s="18"/>
      <c r="BL143" s="18"/>
      <c r="BM143" s="18"/>
      <c r="BN143" s="18"/>
      <c r="BO143" s="18"/>
      <c r="BP143" s="18"/>
      <c r="BQ143" s="37">
        <v>44253</v>
      </c>
      <c r="BR143" s="38">
        <v>19701.142199999998</v>
      </c>
      <c r="BS143" s="17"/>
      <c r="BT143" s="37">
        <v>44253</v>
      </c>
      <c r="BU143" s="38">
        <v>1369</v>
      </c>
      <c r="BV143" s="18"/>
      <c r="BW143" s="37"/>
      <c r="BX143" s="38"/>
      <c r="BY143" s="18"/>
      <c r="BZ143" s="39">
        <f t="shared" si="58"/>
        <v>44253</v>
      </c>
      <c r="CA143" s="40">
        <f t="shared" si="59"/>
        <v>19701.142199999998</v>
      </c>
      <c r="CB143" s="17"/>
      <c r="CC143" s="39">
        <f t="shared" si="60"/>
        <v>44253</v>
      </c>
      <c r="CD143" s="40">
        <f t="shared" si="61"/>
        <v>13.69</v>
      </c>
      <c r="CE143" s="18"/>
      <c r="CF143" s="18"/>
      <c r="CG143" s="18"/>
      <c r="CH143" s="18"/>
      <c r="CI143" s="18"/>
      <c r="CJ143" s="18"/>
      <c r="CK143" s="18"/>
      <c r="CL143" s="18"/>
      <c r="CM143" s="18"/>
      <c r="CN143" s="18"/>
      <c r="CO143" s="18"/>
      <c r="CP143" s="18"/>
      <c r="CQ143" s="18"/>
      <c r="CR143" s="18"/>
      <c r="CS143" s="18"/>
      <c r="CT143" s="18"/>
      <c r="CU143" s="18"/>
      <c r="CV143" s="18"/>
      <c r="CW143" s="18"/>
      <c r="CX143" s="18"/>
      <c r="CY143" s="37">
        <v>44965</v>
      </c>
      <c r="CZ143" s="38">
        <v>19.023900000000001</v>
      </c>
      <c r="DA143" s="18"/>
      <c r="DB143" s="37">
        <v>44965</v>
      </c>
      <c r="DC143" s="38">
        <v>19.276900000000001</v>
      </c>
      <c r="DD143" s="18"/>
      <c r="DE143" s="37">
        <v>44965</v>
      </c>
      <c r="DF143" s="38">
        <v>17.754100000000001</v>
      </c>
      <c r="DG143" s="18"/>
      <c r="DH143" s="37">
        <v>44965</v>
      </c>
      <c r="DI143" s="38">
        <v>21.4329</v>
      </c>
      <c r="DJ143" s="18"/>
      <c r="DK143" s="37">
        <v>44965</v>
      </c>
      <c r="DL143" s="38">
        <v>0.1351</v>
      </c>
      <c r="DM143" s="18"/>
      <c r="DN143" s="18"/>
      <c r="DO143" s="18"/>
      <c r="DP143" s="18"/>
      <c r="DQ143" s="18"/>
      <c r="DR143" s="18"/>
      <c r="DS143" s="18"/>
      <c r="DT143" s="18"/>
      <c r="DU143" s="18"/>
      <c r="DV143" s="18"/>
      <c r="DW143" s="18"/>
      <c r="DX143" s="18"/>
      <c r="DY143" s="18"/>
      <c r="DZ143" s="18"/>
    </row>
    <row r="144" spans="1:130" ht="15" customHeight="1" x14ac:dyDescent="0.3">
      <c r="A144" s="30" t="s">
        <v>388</v>
      </c>
      <c r="B144" s="73" t="s">
        <v>238</v>
      </c>
      <c r="C144" s="74">
        <v>351</v>
      </c>
      <c r="D144" s="74">
        <v>382</v>
      </c>
      <c r="E144" s="74">
        <v>536</v>
      </c>
      <c r="F144" s="74">
        <v>473</v>
      </c>
      <c r="G144" s="74">
        <v>498</v>
      </c>
      <c r="H144" s="74">
        <v>902</v>
      </c>
      <c r="I144" s="74">
        <v>934</v>
      </c>
      <c r="J144" s="74">
        <v>1038</v>
      </c>
      <c r="K144" s="74">
        <v>917</v>
      </c>
      <c r="L144" s="74">
        <v>845</v>
      </c>
      <c r="M144" s="75">
        <v>740</v>
      </c>
      <c r="N144" s="227"/>
      <c r="O144" s="17"/>
      <c r="P144" s="17"/>
      <c r="Q144" s="17"/>
      <c r="R144" s="17"/>
      <c r="S144" s="17"/>
      <c r="T144" s="17"/>
      <c r="U144" s="18"/>
      <c r="V144" s="18"/>
      <c r="W144" s="18"/>
      <c r="X144" s="18"/>
      <c r="Y144" s="18"/>
      <c r="Z144" s="18"/>
      <c r="AA144" s="18"/>
      <c r="AB144" s="18"/>
      <c r="AC144" s="18"/>
      <c r="AD144" s="18"/>
      <c r="AE144" s="18" t="str">
        <f t="shared" si="49"/>
        <v>Inventory - Finished Goods</v>
      </c>
      <c r="AF144" s="85">
        <f t="shared" si="50"/>
        <v>0</v>
      </c>
      <c r="AG144" s="85">
        <f t="shared" si="51"/>
        <v>0</v>
      </c>
      <c r="AH144" s="85">
        <f t="shared" si="52"/>
        <v>0</v>
      </c>
      <c r="AI144" s="85">
        <f t="shared" si="53"/>
        <v>0</v>
      </c>
      <c r="AJ144" s="85">
        <f t="shared" si="54"/>
        <v>0</v>
      </c>
      <c r="AK144" s="85">
        <f t="shared" si="55"/>
        <v>0</v>
      </c>
      <c r="AL144" s="85">
        <f t="shared" si="56"/>
        <v>0</v>
      </c>
      <c r="AM144" s="85">
        <f t="shared" si="57"/>
        <v>0</v>
      </c>
      <c r="AN144" s="18"/>
      <c r="AO144" s="18"/>
      <c r="AP144" s="77" t="s">
        <v>238</v>
      </c>
      <c r="AQ144" s="18">
        <f>_xll.BDH($B$10,"INVTRY_FINISHED_GOODS","-10FY","","Per=fy","Days=W","Fill=E","Curr=","DtFmt=P","Sort=D","Dts=H","Dir=H","FILING_STATUS,EQY_CONSOLIDATED","MR,","cols=11;rows=1")</f>
        <v>351</v>
      </c>
      <c r="AR144" s="18">
        <v>382</v>
      </c>
      <c r="AS144" s="18">
        <v>536</v>
      </c>
      <c r="AT144" s="18">
        <v>473</v>
      </c>
      <c r="AU144" s="18">
        <v>498</v>
      </c>
      <c r="AV144" s="18">
        <v>902</v>
      </c>
      <c r="AW144" s="18">
        <v>934</v>
      </c>
      <c r="AX144" s="18">
        <v>1038</v>
      </c>
      <c r="AY144" s="18">
        <v>917</v>
      </c>
      <c r="AZ144" s="18">
        <v>845</v>
      </c>
      <c r="BA144" s="78">
        <v>740</v>
      </c>
      <c r="BB144" s="18"/>
      <c r="BC144" s="18"/>
      <c r="BD144" s="18"/>
      <c r="BE144" s="18"/>
      <c r="BF144" s="18"/>
      <c r="BG144" s="18"/>
      <c r="BH144" s="18"/>
      <c r="BI144" s="18"/>
      <c r="BJ144" s="18"/>
      <c r="BK144" s="18"/>
      <c r="BL144" s="18"/>
      <c r="BM144" s="18"/>
      <c r="BN144" s="18"/>
      <c r="BO144" s="18"/>
      <c r="BP144" s="18"/>
      <c r="BQ144" s="37">
        <v>44286</v>
      </c>
      <c r="BR144" s="38">
        <v>20507.032599999999</v>
      </c>
      <c r="BS144" s="17"/>
      <c r="BT144" s="37">
        <v>44286</v>
      </c>
      <c r="BU144" s="38">
        <v>1425</v>
      </c>
      <c r="BV144" s="18"/>
      <c r="BW144" s="37"/>
      <c r="BX144" s="38"/>
      <c r="BY144" s="18"/>
      <c r="BZ144" s="39">
        <f t="shared" si="58"/>
        <v>44286</v>
      </c>
      <c r="CA144" s="40">
        <f t="shared" si="59"/>
        <v>20507.032599999999</v>
      </c>
      <c r="CB144" s="17"/>
      <c r="CC144" s="39">
        <f t="shared" si="60"/>
        <v>44286</v>
      </c>
      <c r="CD144" s="40">
        <f t="shared" si="61"/>
        <v>14.25</v>
      </c>
      <c r="CE144" s="18"/>
      <c r="CF144" s="18"/>
      <c r="CG144" s="18"/>
      <c r="CH144" s="18"/>
      <c r="CI144" s="18"/>
      <c r="CJ144" s="18"/>
      <c r="CK144" s="18"/>
      <c r="CL144" s="18"/>
      <c r="CM144" s="18"/>
      <c r="CN144" s="18"/>
      <c r="CO144" s="18"/>
      <c r="CP144" s="18"/>
      <c r="CQ144" s="18"/>
      <c r="CR144" s="18"/>
      <c r="CS144" s="18"/>
      <c r="CT144" s="18"/>
      <c r="CU144" s="18"/>
      <c r="CV144" s="18"/>
      <c r="CW144" s="18"/>
      <c r="CX144" s="18"/>
      <c r="CY144" s="37">
        <v>44966</v>
      </c>
      <c r="CZ144" s="38">
        <v>19.072399999999998</v>
      </c>
      <c r="DA144" s="18"/>
      <c r="DB144" s="37">
        <v>44966</v>
      </c>
      <c r="DC144" s="38">
        <v>19.255500000000001</v>
      </c>
      <c r="DD144" s="18"/>
      <c r="DE144" s="37">
        <v>44966</v>
      </c>
      <c r="DF144" s="38">
        <v>17.757999999999999</v>
      </c>
      <c r="DG144" s="18"/>
      <c r="DH144" s="37">
        <v>44966</v>
      </c>
      <c r="DI144" s="38">
        <v>21.514600000000002</v>
      </c>
      <c r="DJ144" s="18"/>
      <c r="DK144" s="37">
        <v>44966</v>
      </c>
      <c r="DL144" s="38">
        <v>0.13500000000000001</v>
      </c>
      <c r="DM144" s="18"/>
      <c r="DN144" s="18"/>
      <c r="DO144" s="18"/>
      <c r="DP144" s="18"/>
      <c r="DQ144" s="18"/>
      <c r="DR144" s="18"/>
      <c r="DS144" s="18"/>
      <c r="DT144" s="18"/>
      <c r="DU144" s="18"/>
      <c r="DV144" s="18"/>
      <c r="DW144" s="18"/>
      <c r="DX144" s="18"/>
      <c r="DY144" s="18"/>
      <c r="DZ144" s="18"/>
    </row>
    <row r="145" spans="1:130" ht="15" customHeight="1" x14ac:dyDescent="0.3">
      <c r="A145" s="30" t="s">
        <v>389</v>
      </c>
      <c r="B145" s="73" t="s">
        <v>239</v>
      </c>
      <c r="C145" s="74">
        <v>211</v>
      </c>
      <c r="D145" s="74">
        <v>258</v>
      </c>
      <c r="E145" s="74">
        <v>670</v>
      </c>
      <c r="F145" s="74">
        <v>91</v>
      </c>
      <c r="G145" s="74">
        <v>91</v>
      </c>
      <c r="H145" s="74">
        <v>82</v>
      </c>
      <c r="I145" s="74">
        <v>85</v>
      </c>
      <c r="J145" s="74">
        <v>69</v>
      </c>
      <c r="K145" s="74">
        <v>70</v>
      </c>
      <c r="L145" s="74">
        <v>67</v>
      </c>
      <c r="M145" s="75">
        <v>77</v>
      </c>
      <c r="N145" s="227"/>
      <c r="O145" s="17"/>
      <c r="P145" s="17"/>
      <c r="Q145" s="17"/>
      <c r="R145" s="17"/>
      <c r="S145" s="17"/>
      <c r="T145" s="17"/>
      <c r="U145" s="18"/>
      <c r="V145" s="18"/>
      <c r="W145" s="18"/>
      <c r="X145" s="18"/>
      <c r="Y145" s="18"/>
      <c r="Z145" s="18"/>
      <c r="AA145" s="18"/>
      <c r="AB145" s="18"/>
      <c r="AC145" s="18"/>
      <c r="AD145" s="18"/>
      <c r="AE145" s="18" t="str">
        <f t="shared" si="49"/>
        <v>Other Inventory</v>
      </c>
      <c r="AF145" s="85">
        <f t="shared" si="50"/>
        <v>0</v>
      </c>
      <c r="AG145" s="85">
        <f t="shared" si="51"/>
        <v>0</v>
      </c>
      <c r="AH145" s="85">
        <f t="shared" si="52"/>
        <v>0</v>
      </c>
      <c r="AI145" s="85">
        <f t="shared" si="53"/>
        <v>0</v>
      </c>
      <c r="AJ145" s="85">
        <f t="shared" si="54"/>
        <v>0</v>
      </c>
      <c r="AK145" s="85">
        <f t="shared" si="55"/>
        <v>0</v>
      </c>
      <c r="AL145" s="85">
        <f t="shared" si="56"/>
        <v>0</v>
      </c>
      <c r="AM145" s="85">
        <f t="shared" si="57"/>
        <v>0</v>
      </c>
      <c r="AN145" s="18"/>
      <c r="AO145" s="18"/>
      <c r="AP145" s="77" t="s">
        <v>239</v>
      </c>
      <c r="AQ145" s="18">
        <f>_xll.BDH($B$10,"BS_OTHER_INV","-10FY","","Per=fy","Days=W","Fill=E","Curr=","DtFmt=P","Sort=D","Dts=H","Dir=H","FILING_STATUS,EQY_CONSOLIDATED","MR,","cols=11;rows=1")</f>
        <v>211</v>
      </c>
      <c r="AR145" s="18">
        <v>258</v>
      </c>
      <c r="AS145" s="18">
        <v>670</v>
      </c>
      <c r="AT145" s="18">
        <v>91</v>
      </c>
      <c r="AU145" s="18">
        <v>91</v>
      </c>
      <c r="AV145" s="18">
        <v>82</v>
      </c>
      <c r="AW145" s="18">
        <v>85</v>
      </c>
      <c r="AX145" s="18">
        <v>69</v>
      </c>
      <c r="AY145" s="18">
        <v>70</v>
      </c>
      <c r="AZ145" s="18">
        <v>67</v>
      </c>
      <c r="BA145" s="78">
        <v>77</v>
      </c>
      <c r="BB145" s="18"/>
      <c r="BC145" s="18"/>
      <c r="BD145" s="18"/>
      <c r="BE145" s="18"/>
      <c r="BF145" s="18"/>
      <c r="BG145" s="18"/>
      <c r="BH145" s="18"/>
      <c r="BI145" s="18"/>
      <c r="BJ145" s="18"/>
      <c r="BK145" s="18"/>
      <c r="BL145" s="18"/>
      <c r="BM145" s="18"/>
      <c r="BN145" s="18"/>
      <c r="BO145" s="18"/>
      <c r="BP145" s="18"/>
      <c r="BQ145" s="37">
        <v>44316</v>
      </c>
      <c r="BR145" s="38">
        <v>21672.695500000002</v>
      </c>
      <c r="BS145" s="17"/>
      <c r="BT145" s="37">
        <v>44316</v>
      </c>
      <c r="BU145" s="38">
        <v>1506</v>
      </c>
      <c r="BV145" s="18"/>
      <c r="BW145" s="37"/>
      <c r="BX145" s="38"/>
      <c r="BY145" s="18"/>
      <c r="BZ145" s="39">
        <f t="shared" si="58"/>
        <v>44316</v>
      </c>
      <c r="CA145" s="40">
        <f t="shared" si="59"/>
        <v>21672.695500000002</v>
      </c>
      <c r="CB145" s="17"/>
      <c r="CC145" s="39">
        <f t="shared" si="60"/>
        <v>44316</v>
      </c>
      <c r="CD145" s="40">
        <f t="shared" si="61"/>
        <v>15.06</v>
      </c>
      <c r="CE145" s="18"/>
      <c r="CF145" s="18"/>
      <c r="CG145" s="18"/>
      <c r="CH145" s="18"/>
      <c r="CI145" s="18"/>
      <c r="CJ145" s="18"/>
      <c r="CK145" s="18"/>
      <c r="CL145" s="18"/>
      <c r="CM145" s="18"/>
      <c r="CN145" s="18"/>
      <c r="CO145" s="18"/>
      <c r="CP145" s="18"/>
      <c r="CQ145" s="18"/>
      <c r="CR145" s="18"/>
      <c r="CS145" s="18"/>
      <c r="CT145" s="18"/>
      <c r="CU145" s="18"/>
      <c r="CV145" s="18"/>
      <c r="CW145" s="18"/>
      <c r="CX145" s="18"/>
      <c r="CY145" s="37">
        <v>44967</v>
      </c>
      <c r="CZ145" s="38">
        <v>19.061699999999998</v>
      </c>
      <c r="DA145" s="18"/>
      <c r="DB145" s="37">
        <v>44967</v>
      </c>
      <c r="DC145" s="38">
        <v>19.360199999999999</v>
      </c>
      <c r="DD145" s="18"/>
      <c r="DE145" s="37">
        <v>44967</v>
      </c>
      <c r="DF145" s="38">
        <v>17.8582</v>
      </c>
      <c r="DG145" s="18"/>
      <c r="DH145" s="37">
        <v>44967</v>
      </c>
      <c r="DI145" s="38">
        <v>21.577400000000001</v>
      </c>
      <c r="DJ145" s="18"/>
      <c r="DK145" s="37">
        <v>44967</v>
      </c>
      <c r="DL145" s="38">
        <v>0.13600000000000001</v>
      </c>
      <c r="DM145" s="18"/>
      <c r="DN145" s="18"/>
      <c r="DO145" s="18"/>
      <c r="DP145" s="18"/>
      <c r="DQ145" s="18"/>
      <c r="DR145" s="18"/>
      <c r="DS145" s="18"/>
      <c r="DT145" s="18"/>
      <c r="DU145" s="18"/>
      <c r="DV145" s="18"/>
      <c r="DW145" s="18"/>
      <c r="DX145" s="18"/>
      <c r="DY145" s="18"/>
      <c r="DZ145" s="18"/>
    </row>
    <row r="146" spans="1:130" ht="15" customHeight="1" x14ac:dyDescent="0.3">
      <c r="A146" s="30" t="s">
        <v>157</v>
      </c>
      <c r="B146" s="73" t="s">
        <v>39</v>
      </c>
      <c r="C146" s="74">
        <v>8980</v>
      </c>
      <c r="D146" s="74">
        <v>8780</v>
      </c>
      <c r="E146" s="74">
        <v>7894</v>
      </c>
      <c r="F146" s="74">
        <v>8611</v>
      </c>
      <c r="G146" s="74">
        <v>8566</v>
      </c>
      <c r="H146" s="74">
        <v>5316</v>
      </c>
      <c r="I146" s="74">
        <v>7283</v>
      </c>
      <c r="J146" s="74">
        <v>6902</v>
      </c>
      <c r="K146" s="74">
        <v>5859</v>
      </c>
      <c r="L146" s="74">
        <v>4846</v>
      </c>
      <c r="M146" s="75">
        <v>427</v>
      </c>
      <c r="N146" s="227"/>
      <c r="O146" s="17"/>
      <c r="P146" s="17"/>
      <c r="Q146" s="17"/>
      <c r="R146" s="17"/>
      <c r="S146" s="17"/>
      <c r="T146" s="17"/>
      <c r="U146" s="18"/>
      <c r="V146" s="18"/>
      <c r="W146" s="18"/>
      <c r="X146" s="18"/>
      <c r="Y146" s="18"/>
      <c r="Z146" s="18"/>
      <c r="AA146" s="18"/>
      <c r="AB146" s="18"/>
      <c r="AC146" s="18"/>
      <c r="AD146" s="18"/>
      <c r="AE146" s="18" t="str">
        <f t="shared" si="49"/>
        <v>Surplus Retained</v>
      </c>
      <c r="AF146" s="85">
        <f t="shared" si="50"/>
        <v>0</v>
      </c>
      <c r="AG146" s="85">
        <f t="shared" si="51"/>
        <v>0</v>
      </c>
      <c r="AH146" s="85">
        <f t="shared" si="52"/>
        <v>0</v>
      </c>
      <c r="AI146" s="85">
        <f t="shared" si="53"/>
        <v>0</v>
      </c>
      <c r="AJ146" s="85">
        <f t="shared" si="54"/>
        <v>0</v>
      </c>
      <c r="AK146" s="85">
        <f t="shared" si="55"/>
        <v>0</v>
      </c>
      <c r="AL146" s="85">
        <f t="shared" si="56"/>
        <v>0</v>
      </c>
      <c r="AM146" s="85">
        <f t="shared" si="57"/>
        <v>0</v>
      </c>
      <c r="AN146" s="18"/>
      <c r="AO146" s="18"/>
      <c r="AP146" s="77" t="s">
        <v>451</v>
      </c>
      <c r="AQ146" s="18">
        <f>_xll.BDH($B$10,"BS_PURE_RETAINED_EARNINGS","-10FY","","Per=fy","Days=W","Fill=E","Curr=","DtFmt=P","Sort=D","Dts=H","Dir=H","FILING_STATUS,EQY_CONSOLIDATED","MR,","cols=11;rows=1")</f>
        <v>8980</v>
      </c>
      <c r="AR146" s="18">
        <v>8780</v>
      </c>
      <c r="AS146" s="18">
        <v>7894</v>
      </c>
      <c r="AT146" s="18">
        <v>8611</v>
      </c>
      <c r="AU146" s="18">
        <v>8566</v>
      </c>
      <c r="AV146" s="18">
        <v>5316</v>
      </c>
      <c r="AW146" s="18">
        <v>7283</v>
      </c>
      <c r="AX146" s="18">
        <v>6902</v>
      </c>
      <c r="AY146" s="18">
        <v>5859</v>
      </c>
      <c r="AZ146" s="18">
        <v>4846</v>
      </c>
      <c r="BA146" s="78">
        <v>427</v>
      </c>
      <c r="BB146" s="18"/>
      <c r="BC146" s="18"/>
      <c r="BD146" s="18"/>
      <c r="BE146" s="18"/>
      <c r="BF146" s="18"/>
      <c r="BG146" s="18"/>
      <c r="BH146" s="18"/>
      <c r="BI146" s="18"/>
      <c r="BJ146" s="18"/>
      <c r="BK146" s="18"/>
      <c r="BL146" s="18"/>
      <c r="BM146" s="18"/>
      <c r="BN146" s="18"/>
      <c r="BO146" s="18"/>
      <c r="BP146" s="18"/>
      <c r="BQ146" s="37">
        <v>44347</v>
      </c>
      <c r="BR146" s="38">
        <v>21370.4866</v>
      </c>
      <c r="BS146" s="17"/>
      <c r="BT146" s="37">
        <v>44347</v>
      </c>
      <c r="BU146" s="38">
        <v>1485</v>
      </c>
      <c r="BV146" s="18"/>
      <c r="BW146" s="37"/>
      <c r="BX146" s="38"/>
      <c r="BY146" s="18"/>
      <c r="BZ146" s="39">
        <f t="shared" si="58"/>
        <v>44347</v>
      </c>
      <c r="CA146" s="40">
        <f t="shared" si="59"/>
        <v>21370.4866</v>
      </c>
      <c r="CB146" s="17"/>
      <c r="CC146" s="39">
        <f t="shared" si="60"/>
        <v>44347</v>
      </c>
      <c r="CD146" s="40">
        <f t="shared" si="61"/>
        <v>14.85</v>
      </c>
      <c r="CE146" s="18"/>
      <c r="CF146" s="18"/>
      <c r="CG146" s="18"/>
      <c r="CH146" s="18"/>
      <c r="CI146" s="18"/>
      <c r="CJ146" s="18"/>
      <c r="CK146" s="18"/>
      <c r="CL146" s="18"/>
      <c r="CM146" s="18"/>
      <c r="CN146" s="18"/>
      <c r="CO146" s="18"/>
      <c r="CP146" s="18"/>
      <c r="CQ146" s="18"/>
      <c r="CR146" s="18"/>
      <c r="CS146" s="18"/>
      <c r="CT146" s="18"/>
      <c r="CU146" s="18"/>
      <c r="CV146" s="18"/>
      <c r="CW146" s="18"/>
      <c r="CX146" s="18"/>
      <c r="CY146" s="37">
        <v>44970</v>
      </c>
      <c r="CZ146" s="38">
        <v>19.161100000000001</v>
      </c>
      <c r="DA146" s="18"/>
      <c r="DB146" s="37">
        <v>44970</v>
      </c>
      <c r="DC146" s="38">
        <v>19.432200000000002</v>
      </c>
      <c r="DD146" s="18"/>
      <c r="DE146" s="37">
        <v>44970</v>
      </c>
      <c r="DF146" s="38">
        <v>17.854700000000001</v>
      </c>
      <c r="DG146" s="18"/>
      <c r="DH146" s="37">
        <v>44970</v>
      </c>
      <c r="DI146" s="38">
        <v>21.694299999999998</v>
      </c>
      <c r="DJ146" s="18"/>
      <c r="DK146" s="37">
        <v>44970</v>
      </c>
      <c r="DL146" s="38">
        <v>0.13489999999999999</v>
      </c>
      <c r="DM146" s="18"/>
      <c r="DN146" s="18"/>
      <c r="DO146" s="18"/>
      <c r="DP146" s="18"/>
      <c r="DQ146" s="18"/>
      <c r="DR146" s="18"/>
      <c r="DS146" s="18"/>
      <c r="DT146" s="18"/>
      <c r="DU146" s="18"/>
      <c r="DV146" s="18"/>
      <c r="DW146" s="18"/>
      <c r="DX146" s="18"/>
      <c r="DY146" s="18"/>
      <c r="DZ146" s="18"/>
    </row>
    <row r="147" spans="1:130" ht="15" customHeight="1" x14ac:dyDescent="0.3">
      <c r="A147" s="100" t="s">
        <v>421</v>
      </c>
      <c r="B147" s="73" t="s">
        <v>240</v>
      </c>
      <c r="C147" s="74">
        <v>1606</v>
      </c>
      <c r="D147" s="74">
        <v>1606</v>
      </c>
      <c r="E147" s="74">
        <v>1606</v>
      </c>
      <c r="F147" s="74">
        <v>1606</v>
      </c>
      <c r="G147" s="74">
        <v>1614</v>
      </c>
      <c r="H147" s="74">
        <v>1705</v>
      </c>
      <c r="I147" s="74">
        <v>3942</v>
      </c>
      <c r="J147" s="74">
        <v>4482</v>
      </c>
      <c r="K147" s="74">
        <v>3879</v>
      </c>
      <c r="L147" s="74">
        <v>3466</v>
      </c>
      <c r="M147" s="75">
        <v>5099</v>
      </c>
      <c r="N147" s="227"/>
      <c r="O147" s="17"/>
      <c r="P147" s="17"/>
      <c r="Q147" s="17"/>
      <c r="R147" s="17"/>
      <c r="S147" s="17"/>
      <c r="T147" s="17"/>
      <c r="U147" s="18"/>
      <c r="V147" s="18"/>
      <c r="W147" s="18"/>
      <c r="X147" s="18"/>
      <c r="Y147" s="18"/>
      <c r="Z147" s="18"/>
      <c r="AA147" s="18"/>
      <c r="AB147" s="18"/>
      <c r="AC147" s="18"/>
      <c r="AD147" s="18"/>
      <c r="AE147" s="18" t="str">
        <f t="shared" si="49"/>
        <v>Goodwill</v>
      </c>
      <c r="AF147" s="85">
        <f t="shared" si="50"/>
        <v>0</v>
      </c>
      <c r="AG147" s="85">
        <f t="shared" si="51"/>
        <v>0</v>
      </c>
      <c r="AH147" s="85">
        <f t="shared" si="52"/>
        <v>0</v>
      </c>
      <c r="AI147" s="85">
        <f t="shared" si="53"/>
        <v>0</v>
      </c>
      <c r="AJ147" s="85">
        <f t="shared" si="54"/>
        <v>0</v>
      </c>
      <c r="AK147" s="85">
        <f t="shared" si="55"/>
        <v>0</v>
      </c>
      <c r="AL147" s="85">
        <f t="shared" si="56"/>
        <v>0</v>
      </c>
      <c r="AM147" s="85">
        <f t="shared" si="57"/>
        <v>0</v>
      </c>
      <c r="AN147" s="18"/>
      <c r="AO147" s="18"/>
      <c r="AP147" s="77" t="s">
        <v>240</v>
      </c>
      <c r="AQ147" s="18">
        <f>_xll.BDH($B$10,"GOODWILL","-10FY","","Per=fy","Days=W","Fill=E","Curr=","DtFmt=P","Sort=D","Dts=H","Dir=H","FILING_STATUS,EQY_CONSOLIDATED","MR,","cols=11;rows=1")</f>
        <v>1606</v>
      </c>
      <c r="AR147" s="18">
        <v>1606</v>
      </c>
      <c r="AS147" s="18">
        <v>1606</v>
      </c>
      <c r="AT147" s="18">
        <v>1606</v>
      </c>
      <c r="AU147" s="18">
        <v>1614</v>
      </c>
      <c r="AV147" s="18">
        <v>1705</v>
      </c>
      <c r="AW147" s="18">
        <v>3942</v>
      </c>
      <c r="AX147" s="18">
        <v>4482</v>
      </c>
      <c r="AY147" s="18">
        <v>3879</v>
      </c>
      <c r="AZ147" s="18">
        <v>3466</v>
      </c>
      <c r="BA147" s="78">
        <v>5099</v>
      </c>
      <c r="BB147" s="18"/>
      <c r="BC147" s="18"/>
      <c r="BD147" s="18"/>
      <c r="BE147" s="18"/>
      <c r="BF147" s="18"/>
      <c r="BG147" s="18"/>
      <c r="BH147" s="18"/>
      <c r="BI147" s="18"/>
      <c r="BJ147" s="18"/>
      <c r="BK147" s="18"/>
      <c r="BL147" s="18"/>
      <c r="BM147" s="18"/>
      <c r="BN147" s="18"/>
      <c r="BO147" s="18"/>
      <c r="BP147" s="18"/>
      <c r="BQ147" s="37">
        <v>44377</v>
      </c>
      <c r="BR147" s="38">
        <v>20492.6417</v>
      </c>
      <c r="BS147" s="17"/>
      <c r="BT147" s="37">
        <v>44377</v>
      </c>
      <c r="BU147" s="38">
        <v>1424</v>
      </c>
      <c r="BV147" s="18"/>
      <c r="BW147" s="37"/>
      <c r="BX147" s="38"/>
      <c r="BY147" s="18"/>
      <c r="BZ147" s="39">
        <f t="shared" si="58"/>
        <v>44377</v>
      </c>
      <c r="CA147" s="40">
        <f t="shared" si="59"/>
        <v>20492.6417</v>
      </c>
      <c r="CB147" s="17"/>
      <c r="CC147" s="39">
        <f t="shared" si="60"/>
        <v>44377</v>
      </c>
      <c r="CD147" s="40">
        <f t="shared" si="61"/>
        <v>14.24</v>
      </c>
      <c r="CE147" s="18"/>
      <c r="CF147" s="18"/>
      <c r="CG147" s="18"/>
      <c r="CH147" s="18"/>
      <c r="CI147" s="18"/>
      <c r="CJ147" s="18"/>
      <c r="CK147" s="18"/>
      <c r="CL147" s="18"/>
      <c r="CM147" s="18"/>
      <c r="CN147" s="18"/>
      <c r="CO147" s="18"/>
      <c r="CP147" s="18"/>
      <c r="CQ147" s="18"/>
      <c r="CR147" s="18"/>
      <c r="CS147" s="18"/>
      <c r="CT147" s="18"/>
      <c r="CU147" s="18"/>
      <c r="CV147" s="18"/>
      <c r="CW147" s="18"/>
      <c r="CX147" s="18"/>
      <c r="CY147" s="37">
        <v>44971</v>
      </c>
      <c r="CZ147" s="38">
        <v>19.211300000000001</v>
      </c>
      <c r="DA147" s="18"/>
      <c r="DB147" s="37">
        <v>44971</v>
      </c>
      <c r="DC147" s="38">
        <v>19.4177</v>
      </c>
      <c r="DD147" s="18"/>
      <c r="DE147" s="37">
        <v>44971</v>
      </c>
      <c r="DF147" s="38">
        <v>17.899899999999999</v>
      </c>
      <c r="DG147" s="18"/>
      <c r="DH147" s="37">
        <v>44971</v>
      </c>
      <c r="DI147" s="38">
        <v>21.7807</v>
      </c>
      <c r="DJ147" s="18"/>
      <c r="DK147" s="37">
        <v>44971</v>
      </c>
      <c r="DL147" s="38">
        <v>0.1346</v>
      </c>
      <c r="DM147" s="18"/>
      <c r="DN147" s="18"/>
      <c r="DO147" s="18"/>
      <c r="DP147" s="18"/>
      <c r="DQ147" s="18"/>
      <c r="DR147" s="18"/>
      <c r="DS147" s="18"/>
      <c r="DT147" s="18"/>
      <c r="DU147" s="18"/>
      <c r="DV147" s="18"/>
      <c r="DW147" s="18"/>
      <c r="DX147" s="18"/>
      <c r="DY147" s="18"/>
      <c r="DZ147" s="18"/>
    </row>
    <row r="148" spans="1:130" ht="15" customHeight="1" x14ac:dyDescent="0.3">
      <c r="A148" s="30" t="s">
        <v>390</v>
      </c>
      <c r="B148" s="73" t="s">
        <v>241</v>
      </c>
      <c r="C148" s="74">
        <v>418</v>
      </c>
      <c r="D148" s="74">
        <v>424</v>
      </c>
      <c r="E148" s="74">
        <v>591</v>
      </c>
      <c r="F148" s="74">
        <v>735</v>
      </c>
      <c r="G148" s="74">
        <v>716</v>
      </c>
      <c r="H148" s="74">
        <v>1045</v>
      </c>
      <c r="I148" s="74">
        <v>912</v>
      </c>
      <c r="J148" s="74">
        <v>865</v>
      </c>
      <c r="K148" s="74">
        <v>678</v>
      </c>
      <c r="L148" s="74">
        <v>690</v>
      </c>
      <c r="M148" s="75">
        <v>486</v>
      </c>
      <c r="N148" s="227"/>
      <c r="O148" s="17"/>
      <c r="P148" s="17"/>
      <c r="Q148" s="17"/>
      <c r="R148" s="17"/>
      <c r="S148" s="17"/>
      <c r="T148" s="17"/>
      <c r="U148" s="18"/>
      <c r="V148" s="18"/>
      <c r="W148" s="18"/>
      <c r="X148" s="18"/>
      <c r="Y148" s="18"/>
      <c r="Z148" s="18"/>
      <c r="AA148" s="18"/>
      <c r="AB148" s="18"/>
      <c r="AC148" s="18"/>
      <c r="AD148" s="18"/>
      <c r="AE148" s="18" t="str">
        <f t="shared" si="49"/>
        <v>Investments in Associated Companies</v>
      </c>
      <c r="AF148" s="85">
        <f t="shared" si="50"/>
        <v>0</v>
      </c>
      <c r="AG148" s="85">
        <f t="shared" si="51"/>
        <v>0</v>
      </c>
      <c r="AH148" s="85">
        <f t="shared" si="52"/>
        <v>0</v>
      </c>
      <c r="AI148" s="85">
        <f t="shared" si="53"/>
        <v>0</v>
      </c>
      <c r="AJ148" s="85">
        <f t="shared" si="54"/>
        <v>0</v>
      </c>
      <c r="AK148" s="85">
        <f t="shared" si="55"/>
        <v>0</v>
      </c>
      <c r="AL148" s="85">
        <f t="shared" si="56"/>
        <v>0</v>
      </c>
      <c r="AM148" s="85">
        <f t="shared" si="57"/>
        <v>0</v>
      </c>
      <c r="AN148" s="18"/>
      <c r="AO148" s="18"/>
      <c r="AP148" s="77" t="s">
        <v>241</v>
      </c>
      <c r="AQ148" s="18">
        <f>_xll.BDH($B$10,"BS_INVEST_IN_ASSOC_CO","-10FY","","Per=fy","Days=W","Fill=E","Curr=","DtFmt=P","Sort=D","Dts=H","Dir=H","FILING_STATUS,EQY_CONSOLIDATED","MR,","cols=11;rows=1")</f>
        <v>418</v>
      </c>
      <c r="AR148" s="18">
        <v>424</v>
      </c>
      <c r="AS148" s="18">
        <v>591</v>
      </c>
      <c r="AT148" s="18">
        <v>735</v>
      </c>
      <c r="AU148" s="18">
        <v>716</v>
      </c>
      <c r="AV148" s="18">
        <v>1045</v>
      </c>
      <c r="AW148" s="18">
        <v>912</v>
      </c>
      <c r="AX148" s="18">
        <v>865</v>
      </c>
      <c r="AY148" s="18">
        <v>678</v>
      </c>
      <c r="AZ148" s="18">
        <v>690</v>
      </c>
      <c r="BA148" s="78">
        <v>486</v>
      </c>
      <c r="BB148" s="18"/>
      <c r="BC148" s="18"/>
      <c r="BD148" s="18"/>
      <c r="BE148" s="18"/>
      <c r="BF148" s="18"/>
      <c r="BG148" s="18"/>
      <c r="BH148" s="18"/>
      <c r="BI148" s="18"/>
      <c r="BJ148" s="18"/>
      <c r="BK148" s="18"/>
      <c r="BL148" s="18"/>
      <c r="BM148" s="18"/>
      <c r="BN148" s="18"/>
      <c r="BO148" s="18"/>
      <c r="BP148" s="18"/>
      <c r="BQ148" s="37">
        <v>44407</v>
      </c>
      <c r="BR148" s="38">
        <v>21931.7317</v>
      </c>
      <c r="BS148" s="17"/>
      <c r="BT148" s="37">
        <v>44407</v>
      </c>
      <c r="BU148" s="38">
        <v>1524</v>
      </c>
      <c r="BV148" s="18"/>
      <c r="BW148" s="37"/>
      <c r="BX148" s="38"/>
      <c r="BY148" s="18"/>
      <c r="BZ148" s="39">
        <f t="shared" si="58"/>
        <v>44407</v>
      </c>
      <c r="CA148" s="40">
        <f t="shared" si="59"/>
        <v>21931.7317</v>
      </c>
      <c r="CB148" s="17"/>
      <c r="CC148" s="39">
        <f t="shared" si="60"/>
        <v>44407</v>
      </c>
      <c r="CD148" s="40">
        <f t="shared" si="61"/>
        <v>15.24</v>
      </c>
      <c r="CE148" s="18"/>
      <c r="CF148" s="18"/>
      <c r="CG148" s="18"/>
      <c r="CH148" s="18"/>
      <c r="CI148" s="18"/>
      <c r="CJ148" s="18"/>
      <c r="CK148" s="18"/>
      <c r="CL148" s="18"/>
      <c r="CM148" s="18"/>
      <c r="CN148" s="18"/>
      <c r="CO148" s="18"/>
      <c r="CP148" s="18"/>
      <c r="CQ148" s="18"/>
      <c r="CR148" s="18"/>
      <c r="CS148" s="18"/>
      <c r="CT148" s="18"/>
      <c r="CU148" s="18"/>
      <c r="CV148" s="18"/>
      <c r="CW148" s="18"/>
      <c r="CX148" s="18"/>
      <c r="CY148" s="37">
        <v>44972</v>
      </c>
      <c r="CZ148" s="38">
        <v>19.2803</v>
      </c>
      <c r="DA148" s="18"/>
      <c r="DB148" s="37">
        <v>44972</v>
      </c>
      <c r="DC148" s="38">
        <v>19.5352</v>
      </c>
      <c r="DD148" s="18"/>
      <c r="DE148" s="37">
        <v>44972</v>
      </c>
      <c r="DF148" s="38">
        <v>18.0381</v>
      </c>
      <c r="DG148" s="18"/>
      <c r="DH148" s="37">
        <v>44972</v>
      </c>
      <c r="DI148" s="38">
        <v>21.715399999999999</v>
      </c>
      <c r="DJ148" s="18"/>
      <c r="DK148" s="37">
        <v>44972</v>
      </c>
      <c r="DL148" s="38">
        <v>0.1348</v>
      </c>
      <c r="DM148" s="18"/>
      <c r="DN148" s="18"/>
      <c r="DO148" s="18"/>
      <c r="DP148" s="18"/>
      <c r="DQ148" s="18"/>
      <c r="DR148" s="18"/>
      <c r="DS148" s="18"/>
      <c r="DT148" s="18"/>
      <c r="DU148" s="18"/>
      <c r="DV148" s="18"/>
      <c r="DW148" s="18"/>
      <c r="DX148" s="18"/>
      <c r="DY148" s="18"/>
      <c r="DZ148" s="18"/>
    </row>
    <row r="149" spans="1:130" ht="15" customHeight="1" thickBot="1" x14ac:dyDescent="0.35">
      <c r="A149" s="100" t="s">
        <v>425</v>
      </c>
      <c r="B149" s="73" t="s">
        <v>242</v>
      </c>
      <c r="C149" s="74">
        <v>18000</v>
      </c>
      <c r="D149" s="74">
        <v>18346</v>
      </c>
      <c r="E149" s="74">
        <v>19007</v>
      </c>
      <c r="F149" s="74">
        <v>21061</v>
      </c>
      <c r="G149" s="74">
        <v>22146</v>
      </c>
      <c r="H149" s="74">
        <v>19934</v>
      </c>
      <c r="I149" s="74">
        <v>30086</v>
      </c>
      <c r="J149" s="74">
        <v>27609</v>
      </c>
      <c r="K149" s="74">
        <v>27609</v>
      </c>
      <c r="L149" s="74">
        <v>28618</v>
      </c>
      <c r="M149" s="75">
        <v>28032</v>
      </c>
      <c r="N149" s="227"/>
      <c r="O149" s="17"/>
      <c r="P149" s="17"/>
      <c r="Q149" s="17"/>
      <c r="R149" s="17"/>
      <c r="S149" s="17"/>
      <c r="T149" s="17"/>
      <c r="U149" s="18"/>
      <c r="V149" s="18"/>
      <c r="W149" s="18"/>
      <c r="X149" s="18"/>
      <c r="Y149" s="18"/>
      <c r="Z149" s="18"/>
      <c r="AA149" s="18"/>
      <c r="AB149" s="18"/>
      <c r="AC149" s="18"/>
      <c r="AD149" s="18"/>
      <c r="AE149" s="18" t="str">
        <f t="shared" si="49"/>
        <v>Number of Employees</v>
      </c>
      <c r="AF149" s="85">
        <f t="shared" si="50"/>
        <v>0</v>
      </c>
      <c r="AG149" s="85">
        <f t="shared" si="51"/>
        <v>0</v>
      </c>
      <c r="AH149" s="85">
        <f t="shared" si="52"/>
        <v>0</v>
      </c>
      <c r="AI149" s="85">
        <f t="shared" si="53"/>
        <v>0</v>
      </c>
      <c r="AJ149" s="85">
        <f t="shared" si="54"/>
        <v>0</v>
      </c>
      <c r="AK149" s="85">
        <f t="shared" si="55"/>
        <v>0</v>
      </c>
      <c r="AL149" s="85">
        <f t="shared" si="56"/>
        <v>0</v>
      </c>
      <c r="AM149" s="85">
        <f t="shared" si="57"/>
        <v>0</v>
      </c>
      <c r="AN149" s="18"/>
      <c r="AO149" s="18"/>
      <c r="AP149" s="104" t="s">
        <v>242</v>
      </c>
      <c r="AQ149" s="113">
        <f>_xll.BDH($B$10,"RR121","-10FY","","Per=fy","Days=W","Fill=E","Curr=","DtFmt=P","Sort=D","Dts=H","Dir=H","FILING_STATUS,EQY_CONSOLIDATED","MR,","cols=11;rows=1")</f>
        <v>18000</v>
      </c>
      <c r="AR149" s="113">
        <v>18346</v>
      </c>
      <c r="AS149" s="113">
        <v>19007</v>
      </c>
      <c r="AT149" s="113">
        <v>21061</v>
      </c>
      <c r="AU149" s="113">
        <v>22146</v>
      </c>
      <c r="AV149" s="113">
        <v>19934</v>
      </c>
      <c r="AW149" s="113">
        <v>30086</v>
      </c>
      <c r="AX149" s="113">
        <v>27609</v>
      </c>
      <c r="AY149" s="113">
        <v>27609</v>
      </c>
      <c r="AZ149" s="113">
        <v>28618</v>
      </c>
      <c r="BA149" s="114">
        <v>28032</v>
      </c>
      <c r="BB149" s="18"/>
      <c r="BC149" s="18"/>
      <c r="BD149" s="18"/>
      <c r="BE149" s="18"/>
      <c r="BF149" s="18"/>
      <c r="BG149" s="18"/>
      <c r="BH149" s="18"/>
      <c r="BI149" s="18"/>
      <c r="BJ149" s="18"/>
      <c r="BK149" s="18"/>
      <c r="BL149" s="18"/>
      <c r="BM149" s="18"/>
      <c r="BN149" s="18"/>
      <c r="BO149" s="18"/>
      <c r="BP149" s="18"/>
      <c r="BQ149" s="37">
        <v>44439</v>
      </c>
      <c r="BR149" s="38">
        <v>24248.666700000002</v>
      </c>
      <c r="BS149" s="17"/>
      <c r="BT149" s="37">
        <v>44439</v>
      </c>
      <c r="BU149" s="38">
        <v>1685</v>
      </c>
      <c r="BV149" s="18"/>
      <c r="BW149" s="37"/>
      <c r="BX149" s="38"/>
      <c r="BY149" s="18"/>
      <c r="BZ149" s="39">
        <f t="shared" si="58"/>
        <v>44439</v>
      </c>
      <c r="CA149" s="40">
        <f t="shared" si="59"/>
        <v>24248.666700000002</v>
      </c>
      <c r="CB149" s="17"/>
      <c r="CC149" s="39">
        <f t="shared" si="60"/>
        <v>44439</v>
      </c>
      <c r="CD149" s="40">
        <f t="shared" si="61"/>
        <v>16.850000000000001</v>
      </c>
      <c r="CE149" s="18"/>
      <c r="CF149" s="18"/>
      <c r="CG149" s="18"/>
      <c r="CH149" s="18"/>
      <c r="CI149" s="18"/>
      <c r="CJ149" s="18"/>
      <c r="CK149" s="18"/>
      <c r="CL149" s="18"/>
      <c r="CM149" s="18"/>
      <c r="CN149" s="18"/>
      <c r="CO149" s="18"/>
      <c r="CP149" s="18"/>
      <c r="CQ149" s="18"/>
      <c r="CR149" s="18"/>
      <c r="CS149" s="18"/>
      <c r="CT149" s="18"/>
      <c r="CU149" s="18"/>
      <c r="CV149" s="18"/>
      <c r="CW149" s="18"/>
      <c r="CX149" s="18"/>
      <c r="CY149" s="37"/>
      <c r="CZ149" s="38"/>
      <c r="DA149" s="18"/>
      <c r="DB149" s="37"/>
      <c r="DC149" s="38"/>
      <c r="DD149" s="18"/>
      <c r="DE149" s="37"/>
      <c r="DF149" s="38"/>
      <c r="DG149" s="18"/>
      <c r="DH149" s="37"/>
      <c r="DI149" s="38"/>
      <c r="DJ149" s="18"/>
      <c r="DK149" s="37"/>
      <c r="DL149" s="38"/>
      <c r="DM149" s="18"/>
      <c r="DN149" s="18"/>
      <c r="DO149" s="18"/>
      <c r="DP149" s="18"/>
      <c r="DQ149" s="18"/>
      <c r="DR149" s="18"/>
      <c r="DS149" s="18"/>
      <c r="DT149" s="18"/>
      <c r="DU149" s="18"/>
      <c r="DV149" s="18"/>
      <c r="DW149" s="18"/>
      <c r="DX149" s="18"/>
      <c r="DY149" s="18"/>
      <c r="DZ149" s="18"/>
    </row>
    <row r="150" spans="1:130" ht="15" customHeight="1" x14ac:dyDescent="0.3">
      <c r="A150" s="30"/>
      <c r="B150" s="73"/>
      <c r="C150" s="74"/>
      <c r="D150" s="74"/>
      <c r="E150" s="74"/>
      <c r="F150" s="74"/>
      <c r="G150" s="74"/>
      <c r="H150" s="74"/>
      <c r="I150" s="74"/>
      <c r="J150" s="74"/>
      <c r="K150" s="74"/>
      <c r="L150" s="74"/>
      <c r="M150" s="75"/>
      <c r="N150" s="227"/>
      <c r="O150" s="17"/>
      <c r="P150" s="17"/>
      <c r="Q150" s="17"/>
      <c r="R150" s="17"/>
      <c r="S150" s="17"/>
      <c r="T150" s="17"/>
      <c r="U150" s="18"/>
      <c r="V150" s="18"/>
      <c r="W150" s="18"/>
      <c r="X150" s="18"/>
      <c r="Y150" s="18"/>
      <c r="Z150" s="18"/>
      <c r="AA150" s="18"/>
      <c r="AB150" s="18"/>
      <c r="AC150" s="18"/>
      <c r="AD150" s="18"/>
      <c r="AE150" s="18"/>
      <c r="AF150" s="85"/>
      <c r="AG150" s="85"/>
      <c r="AH150" s="85"/>
      <c r="AI150" s="85"/>
      <c r="AJ150" s="85"/>
      <c r="AK150" s="85"/>
      <c r="AL150" s="85"/>
      <c r="AM150" s="85"/>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37">
        <v>44469</v>
      </c>
      <c r="BR150" s="38">
        <v>23313.258099999999</v>
      </c>
      <c r="BS150" s="17"/>
      <c r="BT150" s="37">
        <v>44469</v>
      </c>
      <c r="BU150" s="38">
        <v>1620</v>
      </c>
      <c r="BV150" s="18"/>
      <c r="BW150" s="37"/>
      <c r="BX150" s="38"/>
      <c r="BY150" s="18"/>
      <c r="BZ150" s="39">
        <f t="shared" si="58"/>
        <v>44469</v>
      </c>
      <c r="CA150" s="40">
        <f t="shared" si="59"/>
        <v>23313.258099999999</v>
      </c>
      <c r="CB150" s="17"/>
      <c r="CC150" s="39">
        <f t="shared" si="60"/>
        <v>44469</v>
      </c>
      <c r="CD150" s="40">
        <f t="shared" si="61"/>
        <v>16.2</v>
      </c>
      <c r="CE150" s="18"/>
      <c r="CF150" s="18"/>
      <c r="CG150" s="18"/>
      <c r="CH150" s="18"/>
      <c r="CI150" s="18"/>
      <c r="CJ150" s="18"/>
      <c r="CK150" s="18"/>
      <c r="CL150" s="18"/>
      <c r="CM150" s="18"/>
      <c r="CN150" s="18"/>
      <c r="CO150" s="18"/>
      <c r="CP150" s="18"/>
      <c r="CQ150" s="18"/>
      <c r="CR150" s="18"/>
      <c r="CS150" s="18"/>
      <c r="CT150" s="18"/>
      <c r="CU150" s="18"/>
      <c r="CV150" s="18"/>
      <c r="CW150" s="18"/>
      <c r="CX150" s="18"/>
      <c r="CY150" s="37"/>
      <c r="CZ150" s="38"/>
      <c r="DA150" s="18"/>
      <c r="DB150" s="37"/>
      <c r="DC150" s="38"/>
      <c r="DD150" s="18"/>
      <c r="DE150" s="37"/>
      <c r="DF150" s="38"/>
      <c r="DG150" s="18"/>
      <c r="DH150" s="37"/>
      <c r="DI150" s="38"/>
      <c r="DJ150" s="18"/>
      <c r="DK150" s="37"/>
      <c r="DL150" s="38"/>
      <c r="DM150" s="18"/>
      <c r="DN150" s="18"/>
      <c r="DO150" s="18"/>
      <c r="DP150" s="18"/>
      <c r="DQ150" s="18"/>
      <c r="DR150" s="18"/>
      <c r="DS150" s="18"/>
      <c r="DT150" s="18"/>
      <c r="DU150" s="18"/>
      <c r="DV150" s="18"/>
      <c r="DW150" s="18"/>
      <c r="DX150" s="18"/>
      <c r="DY150" s="18"/>
      <c r="DZ150" s="18"/>
    </row>
    <row r="151" spans="1:130" ht="15" customHeight="1" x14ac:dyDescent="0.3">
      <c r="A151" s="30"/>
      <c r="B151" s="73"/>
      <c r="C151" s="74"/>
      <c r="D151" s="74"/>
      <c r="E151" s="74"/>
      <c r="F151" s="74"/>
      <c r="G151" s="74"/>
      <c r="H151" s="74"/>
      <c r="I151" s="74"/>
      <c r="J151" s="74"/>
      <c r="K151" s="74"/>
      <c r="L151" s="74"/>
      <c r="M151" s="75"/>
      <c r="N151" s="227"/>
      <c r="O151" s="17"/>
      <c r="P151" s="17"/>
      <c r="Q151" s="17"/>
      <c r="R151" s="17"/>
      <c r="S151" s="17"/>
      <c r="T151" s="17"/>
      <c r="U151" s="18"/>
      <c r="V151" s="18"/>
      <c r="W151" s="18"/>
      <c r="X151" s="18"/>
      <c r="Y151" s="18"/>
      <c r="Z151" s="18"/>
      <c r="AA151" s="18"/>
      <c r="AB151" s="18"/>
      <c r="AC151" s="18"/>
      <c r="AD151" s="18"/>
      <c r="AE151" s="18"/>
      <c r="AF151" s="85"/>
      <c r="AG151" s="85"/>
      <c r="AH151" s="85"/>
      <c r="AI151" s="85"/>
      <c r="AJ151" s="85"/>
      <c r="AK151" s="85"/>
      <c r="AL151" s="85"/>
      <c r="AM151" s="85"/>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37">
        <v>44498</v>
      </c>
      <c r="BR151" s="38">
        <v>24335.0121</v>
      </c>
      <c r="BS151" s="17"/>
      <c r="BT151" s="37">
        <v>44498</v>
      </c>
      <c r="BU151" s="38">
        <v>1691</v>
      </c>
      <c r="BV151" s="18"/>
      <c r="BW151" s="37"/>
      <c r="BX151" s="38"/>
      <c r="BY151" s="18"/>
      <c r="BZ151" s="39">
        <f t="shared" si="58"/>
        <v>44498</v>
      </c>
      <c r="CA151" s="40">
        <f t="shared" si="59"/>
        <v>24335.0121</v>
      </c>
      <c r="CB151" s="17"/>
      <c r="CC151" s="39">
        <f t="shared" si="60"/>
        <v>44498</v>
      </c>
      <c r="CD151" s="40">
        <f t="shared" si="61"/>
        <v>16.91</v>
      </c>
      <c r="CE151" s="18"/>
      <c r="CF151" s="18"/>
      <c r="CG151" s="18"/>
      <c r="CH151" s="18"/>
      <c r="CI151" s="18"/>
      <c r="CJ151" s="18"/>
      <c r="CK151" s="18"/>
      <c r="CL151" s="18"/>
      <c r="CM151" s="18"/>
      <c r="CN151" s="18"/>
      <c r="CO151" s="18"/>
      <c r="CP151" s="18"/>
      <c r="CQ151" s="18"/>
      <c r="CR151" s="18"/>
      <c r="CS151" s="18"/>
      <c r="CT151" s="18"/>
      <c r="CU151" s="18"/>
      <c r="CV151" s="18"/>
      <c r="CW151" s="18"/>
      <c r="CX151" s="18"/>
      <c r="CY151" s="37"/>
      <c r="CZ151" s="38"/>
      <c r="DA151" s="18"/>
      <c r="DB151" s="37"/>
      <c r="DC151" s="38"/>
      <c r="DD151" s="18"/>
      <c r="DE151" s="37"/>
      <c r="DF151" s="38"/>
      <c r="DG151" s="18"/>
      <c r="DH151" s="37"/>
      <c r="DI151" s="38"/>
      <c r="DJ151" s="18"/>
      <c r="DK151" s="37"/>
      <c r="DL151" s="38"/>
      <c r="DM151" s="18"/>
      <c r="DN151" s="18"/>
      <c r="DO151" s="18"/>
      <c r="DP151" s="18"/>
      <c r="DQ151" s="18"/>
      <c r="DR151" s="18"/>
      <c r="DS151" s="18"/>
      <c r="DT151" s="18"/>
      <c r="DU151" s="18"/>
      <c r="DV151" s="18"/>
      <c r="DW151" s="18"/>
      <c r="DX151" s="18"/>
      <c r="DY151" s="18"/>
      <c r="DZ151" s="18"/>
    </row>
    <row r="152" spans="1:130" ht="15" customHeight="1" x14ac:dyDescent="0.3">
      <c r="A152" s="30"/>
      <c r="B152" s="73"/>
      <c r="C152" s="74"/>
      <c r="D152" s="74"/>
      <c r="E152" s="74"/>
      <c r="F152" s="74"/>
      <c r="G152" s="74"/>
      <c r="H152" s="74"/>
      <c r="I152" s="74"/>
      <c r="J152" s="74"/>
      <c r="K152" s="74"/>
      <c r="L152" s="74"/>
      <c r="M152" s="75"/>
      <c r="N152" s="227"/>
      <c r="O152" s="17"/>
      <c r="P152" s="17"/>
      <c r="Q152" s="17"/>
      <c r="R152" s="17"/>
      <c r="S152" s="17"/>
      <c r="T152" s="17"/>
      <c r="U152" s="18"/>
      <c r="V152" s="18"/>
      <c r="W152" s="18"/>
      <c r="X152" s="18"/>
      <c r="Y152" s="18"/>
      <c r="Z152" s="18"/>
      <c r="AA152" s="18"/>
      <c r="AB152" s="18"/>
      <c r="AC152" s="18"/>
      <c r="AD152" s="18"/>
      <c r="AE152" s="18"/>
      <c r="AF152" s="85"/>
      <c r="AG152" s="85"/>
      <c r="AH152" s="85"/>
      <c r="AI152" s="85"/>
      <c r="AJ152" s="85"/>
      <c r="AK152" s="85"/>
      <c r="AL152" s="85"/>
      <c r="AM152" s="85"/>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37">
        <v>44530</v>
      </c>
      <c r="BR152" s="38">
        <v>20694.114300000001</v>
      </c>
      <c r="BS152" s="17"/>
      <c r="BT152" s="37">
        <v>44530</v>
      </c>
      <c r="BU152" s="38">
        <v>1438</v>
      </c>
      <c r="BV152" s="18"/>
      <c r="BW152" s="37"/>
      <c r="BX152" s="38"/>
      <c r="BY152" s="18"/>
      <c r="BZ152" s="39">
        <f t="shared" si="58"/>
        <v>44530</v>
      </c>
      <c r="CA152" s="40">
        <f t="shared" si="59"/>
        <v>20694.114300000001</v>
      </c>
      <c r="CB152" s="17"/>
      <c r="CC152" s="39">
        <f t="shared" si="60"/>
        <v>44530</v>
      </c>
      <c r="CD152" s="40">
        <f t="shared" si="61"/>
        <v>14.38</v>
      </c>
      <c r="CE152" s="18"/>
      <c r="CF152" s="18"/>
      <c r="CG152" s="18"/>
      <c r="CH152" s="18"/>
      <c r="CI152" s="18"/>
      <c r="CJ152" s="18"/>
      <c r="CK152" s="18"/>
      <c r="CL152" s="18"/>
      <c r="CM152" s="18"/>
      <c r="CN152" s="18"/>
      <c r="CO152" s="18"/>
      <c r="CP152" s="18"/>
      <c r="CQ152" s="18"/>
      <c r="CR152" s="18"/>
      <c r="CS152" s="18"/>
      <c r="CT152" s="18"/>
      <c r="CU152" s="18"/>
      <c r="CV152" s="18"/>
      <c r="CW152" s="18"/>
      <c r="CX152" s="18"/>
      <c r="CY152" s="37"/>
      <c r="CZ152" s="38"/>
      <c r="DA152" s="18"/>
      <c r="DB152" s="37"/>
      <c r="DC152" s="38"/>
      <c r="DD152" s="18"/>
      <c r="DE152" s="37"/>
      <c r="DF152" s="38"/>
      <c r="DG152" s="18"/>
      <c r="DH152" s="37"/>
      <c r="DI152" s="38"/>
      <c r="DJ152" s="18"/>
      <c r="DK152" s="37"/>
      <c r="DL152" s="38"/>
      <c r="DM152" s="18"/>
      <c r="DN152" s="18"/>
      <c r="DO152" s="18"/>
      <c r="DP152" s="18"/>
      <c r="DQ152" s="18"/>
      <c r="DR152" s="18"/>
      <c r="DS152" s="18"/>
      <c r="DT152" s="18"/>
      <c r="DU152" s="18"/>
      <c r="DV152" s="18"/>
      <c r="DW152" s="18"/>
      <c r="DX152" s="18"/>
      <c r="DY152" s="18"/>
      <c r="DZ152" s="18"/>
    </row>
    <row r="153" spans="1:130" ht="15" customHeight="1" x14ac:dyDescent="0.3">
      <c r="A153" s="30"/>
      <c r="B153" s="73"/>
      <c r="C153" s="74"/>
      <c r="D153" s="74"/>
      <c r="E153" s="74"/>
      <c r="F153" s="74"/>
      <c r="G153" s="74"/>
      <c r="H153" s="74"/>
      <c r="I153" s="74"/>
      <c r="J153" s="74"/>
      <c r="K153" s="74"/>
      <c r="L153" s="74"/>
      <c r="M153" s="75"/>
      <c r="N153" s="227"/>
      <c r="O153" s="17"/>
      <c r="P153" s="17"/>
      <c r="Q153" s="17"/>
      <c r="R153" s="17"/>
      <c r="S153" s="17"/>
      <c r="T153" s="17"/>
      <c r="U153" s="18"/>
      <c r="V153" s="18"/>
      <c r="W153" s="18"/>
      <c r="X153" s="18"/>
      <c r="Y153" s="18"/>
      <c r="Z153" s="18"/>
      <c r="AA153" s="18"/>
      <c r="AB153" s="18"/>
      <c r="AC153" s="18"/>
      <c r="AD153" s="18"/>
      <c r="AE153" s="18"/>
      <c r="AF153" s="85"/>
      <c r="AG153" s="85"/>
      <c r="AH153" s="85"/>
      <c r="AI153" s="85"/>
      <c r="AJ153" s="85"/>
      <c r="AK153" s="85"/>
      <c r="AL153" s="85"/>
      <c r="AM153" s="85"/>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37">
        <v>44561</v>
      </c>
      <c r="BR153" s="38">
        <v>22852.749299999999</v>
      </c>
      <c r="BS153" s="17"/>
      <c r="BT153" s="37">
        <v>44561</v>
      </c>
      <c r="BU153" s="38">
        <v>1588</v>
      </c>
      <c r="BV153" s="18"/>
      <c r="BW153" s="37"/>
      <c r="BX153" s="38"/>
      <c r="BY153" s="18"/>
      <c r="BZ153" s="39">
        <f t="shared" si="58"/>
        <v>44561</v>
      </c>
      <c r="CA153" s="40">
        <f t="shared" si="59"/>
        <v>22852.749299999999</v>
      </c>
      <c r="CB153" s="17"/>
      <c r="CC153" s="39">
        <f t="shared" si="60"/>
        <v>44561</v>
      </c>
      <c r="CD153" s="40">
        <f t="shared" si="61"/>
        <v>15.88</v>
      </c>
      <c r="CE153" s="18"/>
      <c r="CF153" s="18"/>
      <c r="CG153" s="18"/>
      <c r="CH153" s="18"/>
      <c r="CI153" s="18"/>
      <c r="CJ153" s="18"/>
      <c r="CK153" s="18"/>
      <c r="CL153" s="18"/>
      <c r="CM153" s="18"/>
      <c r="CN153" s="18"/>
      <c r="CO153" s="18"/>
      <c r="CP153" s="18"/>
      <c r="CQ153" s="18"/>
      <c r="CR153" s="18"/>
      <c r="CS153" s="18"/>
      <c r="CT153" s="18"/>
      <c r="CU153" s="18"/>
      <c r="CV153" s="18"/>
      <c r="CW153" s="18"/>
      <c r="CX153" s="18"/>
      <c r="CY153" s="37"/>
      <c r="CZ153" s="38"/>
      <c r="DA153" s="18"/>
      <c r="DB153" s="37"/>
      <c r="DC153" s="38"/>
      <c r="DD153" s="18"/>
      <c r="DE153" s="37"/>
      <c r="DF153" s="38"/>
      <c r="DG153" s="18"/>
      <c r="DH153" s="37"/>
      <c r="DI153" s="38"/>
      <c r="DJ153" s="18"/>
      <c r="DK153" s="37"/>
      <c r="DL153" s="38"/>
      <c r="DM153" s="18"/>
      <c r="DN153" s="18"/>
      <c r="DO153" s="18"/>
      <c r="DP153" s="18"/>
      <c r="DQ153" s="18"/>
      <c r="DR153" s="18"/>
      <c r="DS153" s="18"/>
      <c r="DT153" s="18"/>
      <c r="DU153" s="18"/>
      <c r="DV153" s="18"/>
      <c r="DW153" s="18"/>
      <c r="DX153" s="18"/>
      <c r="DY153" s="18"/>
      <c r="DZ153" s="18"/>
    </row>
    <row r="154" spans="1:130" ht="15" customHeight="1" x14ac:dyDescent="0.3">
      <c r="A154" s="115"/>
      <c r="B154" s="121"/>
      <c r="C154" s="117"/>
      <c r="D154" s="117"/>
      <c r="E154" s="117"/>
      <c r="F154" s="117"/>
      <c r="G154" s="117"/>
      <c r="H154" s="117"/>
      <c r="I154" s="117"/>
      <c r="J154" s="117"/>
      <c r="K154" s="117"/>
      <c r="L154" s="117"/>
      <c r="M154" s="118"/>
      <c r="N154" s="227"/>
      <c r="O154" s="17"/>
      <c r="P154" s="17"/>
      <c r="Q154" s="17"/>
      <c r="R154" s="17"/>
      <c r="S154" s="17"/>
      <c r="T154" s="17"/>
      <c r="U154" s="18"/>
      <c r="V154" s="18"/>
      <c r="W154" s="18"/>
      <c r="X154" s="18"/>
      <c r="Y154" s="18"/>
      <c r="Z154" s="18"/>
      <c r="AA154" s="18"/>
      <c r="AB154" s="18"/>
      <c r="AC154" s="18"/>
      <c r="AD154" s="18"/>
      <c r="AE154" s="18"/>
      <c r="AF154" s="85"/>
      <c r="AG154" s="85"/>
      <c r="AH154" s="85"/>
      <c r="AI154" s="85"/>
      <c r="AJ154" s="85"/>
      <c r="AK154" s="85"/>
      <c r="AL154" s="85"/>
      <c r="AM154" s="85"/>
      <c r="AN154" s="18"/>
      <c r="AO154" s="18"/>
      <c r="AP154" s="18"/>
      <c r="AQ154" s="122"/>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37">
        <v>44592</v>
      </c>
      <c r="BR154" s="38">
        <v>21327.313900000001</v>
      </c>
      <c r="BS154" s="17"/>
      <c r="BT154" s="37">
        <v>44592</v>
      </c>
      <c r="BU154" s="38">
        <v>1482</v>
      </c>
      <c r="BV154" s="18"/>
      <c r="BW154" s="37"/>
      <c r="BX154" s="38"/>
      <c r="BY154" s="18"/>
      <c r="BZ154" s="39">
        <f t="shared" si="58"/>
        <v>44592</v>
      </c>
      <c r="CA154" s="40">
        <f t="shared" si="59"/>
        <v>21327.313900000001</v>
      </c>
      <c r="CB154" s="17"/>
      <c r="CC154" s="39">
        <f t="shared" si="60"/>
        <v>44592</v>
      </c>
      <c r="CD154" s="40">
        <f t="shared" si="61"/>
        <v>14.82</v>
      </c>
      <c r="CE154" s="18"/>
      <c r="CF154" s="18"/>
      <c r="CG154" s="18"/>
      <c r="CH154" s="18"/>
      <c r="CI154" s="18"/>
      <c r="CJ154" s="18"/>
      <c r="CK154" s="18"/>
      <c r="CL154" s="18"/>
      <c r="CM154" s="18"/>
      <c r="CN154" s="18"/>
      <c r="CO154" s="18"/>
      <c r="CP154" s="18"/>
      <c r="CQ154" s="18"/>
      <c r="CR154" s="18"/>
      <c r="CS154" s="18"/>
      <c r="CT154" s="18"/>
      <c r="CU154" s="18"/>
      <c r="CV154" s="18"/>
      <c r="CW154" s="18"/>
      <c r="CX154" s="18"/>
      <c r="CY154" s="37"/>
      <c r="CZ154" s="38"/>
      <c r="DA154" s="18"/>
      <c r="DB154" s="37"/>
      <c r="DC154" s="38"/>
      <c r="DD154" s="18"/>
      <c r="DE154" s="37"/>
      <c r="DF154" s="38"/>
      <c r="DG154" s="18"/>
      <c r="DH154" s="37"/>
      <c r="DI154" s="38"/>
      <c r="DJ154" s="18"/>
      <c r="DK154" s="37"/>
      <c r="DL154" s="38"/>
      <c r="DM154" s="18"/>
      <c r="DN154" s="18"/>
      <c r="DO154" s="18"/>
      <c r="DP154" s="18"/>
      <c r="DQ154" s="18"/>
      <c r="DR154" s="18"/>
      <c r="DS154" s="18"/>
      <c r="DT154" s="18"/>
      <c r="DU154" s="18"/>
      <c r="DV154" s="18"/>
      <c r="DW154" s="18"/>
      <c r="DX154" s="18"/>
      <c r="DY154" s="18"/>
      <c r="DZ154" s="18"/>
    </row>
    <row r="155" spans="1:130" ht="15" customHeight="1" x14ac:dyDescent="0.3">
      <c r="A155" s="16"/>
      <c r="B155" s="16"/>
      <c r="C155" s="62"/>
      <c r="D155" s="62"/>
      <c r="E155" s="62"/>
      <c r="F155" s="62"/>
      <c r="G155" s="62"/>
      <c r="H155" s="62"/>
      <c r="I155" s="62"/>
      <c r="J155" s="62"/>
      <c r="K155" s="62"/>
      <c r="L155" s="62"/>
      <c r="M155" s="62"/>
      <c r="N155" s="227"/>
      <c r="O155" s="17"/>
      <c r="P155" s="17"/>
      <c r="Q155" s="17"/>
      <c r="R155" s="17"/>
      <c r="S155" s="17"/>
      <c r="T155" s="17"/>
      <c r="U155" s="18"/>
      <c r="V155" s="18"/>
      <c r="W155" s="18"/>
      <c r="X155" s="18"/>
      <c r="Y155" s="18"/>
      <c r="Z155" s="18"/>
      <c r="AA155" s="18"/>
      <c r="AB155" s="18"/>
      <c r="AC155" s="18"/>
      <c r="AD155" s="18"/>
      <c r="AE155" s="18"/>
      <c r="AF155" s="85"/>
      <c r="AG155" s="85"/>
      <c r="AH155" s="85"/>
      <c r="AI155" s="85"/>
      <c r="AJ155" s="85"/>
      <c r="AK155" s="85"/>
      <c r="AL155" s="85"/>
      <c r="AM155" s="85"/>
      <c r="AN155" s="18"/>
      <c r="AO155" s="18"/>
      <c r="AP155" s="18"/>
      <c r="AQ155" s="122"/>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37">
        <v>44620</v>
      </c>
      <c r="BR155" s="38">
        <v>21068.277699999999</v>
      </c>
      <c r="BS155" s="17"/>
      <c r="BT155" s="37">
        <v>44620</v>
      </c>
      <c r="BU155" s="38">
        <v>1464</v>
      </c>
      <c r="BV155" s="18"/>
      <c r="BW155" s="37"/>
      <c r="BX155" s="38"/>
      <c r="BY155" s="18"/>
      <c r="BZ155" s="39">
        <f t="shared" si="58"/>
        <v>44620</v>
      </c>
      <c r="CA155" s="40">
        <f t="shared" si="59"/>
        <v>21068.277699999999</v>
      </c>
      <c r="CB155" s="17"/>
      <c r="CC155" s="39">
        <f t="shared" si="60"/>
        <v>44620</v>
      </c>
      <c r="CD155" s="40">
        <f t="shared" si="61"/>
        <v>14.64</v>
      </c>
      <c r="CE155" s="18"/>
      <c r="CF155" s="18"/>
      <c r="CG155" s="18"/>
      <c r="CH155" s="18"/>
      <c r="CI155" s="18"/>
      <c r="CJ155" s="18"/>
      <c r="CK155" s="18"/>
      <c r="CL155" s="18"/>
      <c r="CM155" s="18"/>
      <c r="CN155" s="18"/>
      <c r="CO155" s="18"/>
      <c r="CP155" s="18"/>
      <c r="CQ155" s="18"/>
      <c r="CR155" s="18"/>
      <c r="CS155" s="18"/>
      <c r="CT155" s="18"/>
      <c r="CU155" s="18"/>
      <c r="CV155" s="18"/>
      <c r="CW155" s="18"/>
      <c r="CX155" s="18"/>
      <c r="CY155" s="37"/>
      <c r="CZ155" s="38"/>
      <c r="DA155" s="18"/>
      <c r="DB155" s="37"/>
      <c r="DC155" s="38"/>
      <c r="DD155" s="18"/>
      <c r="DE155" s="37"/>
      <c r="DF155" s="38"/>
      <c r="DG155" s="18"/>
      <c r="DH155" s="37"/>
      <c r="DI155" s="38"/>
      <c r="DJ155" s="18"/>
      <c r="DK155" s="37"/>
      <c r="DL155" s="38"/>
      <c r="DM155" s="18"/>
      <c r="DN155" s="18"/>
      <c r="DO155" s="18"/>
      <c r="DP155" s="18"/>
      <c r="DQ155" s="18"/>
      <c r="DR155" s="18"/>
      <c r="DS155" s="18"/>
      <c r="DT155" s="18"/>
      <c r="DU155" s="18"/>
      <c r="DV155" s="18"/>
      <c r="DW155" s="18"/>
      <c r="DX155" s="18"/>
      <c r="DY155" s="18"/>
      <c r="DZ155" s="18"/>
    </row>
    <row r="156" spans="1:130" ht="15" customHeight="1" x14ac:dyDescent="0.3">
      <c r="A156" s="16"/>
      <c r="B156" s="16"/>
      <c r="C156" s="62"/>
      <c r="D156" s="62"/>
      <c r="E156" s="62"/>
      <c r="F156" s="62"/>
      <c r="G156" s="62"/>
      <c r="H156" s="62"/>
      <c r="I156" s="62"/>
      <c r="J156" s="62"/>
      <c r="K156" s="62"/>
      <c r="L156" s="62"/>
      <c r="M156" s="62"/>
      <c r="N156" s="227"/>
      <c r="O156" s="17"/>
      <c r="P156" s="17"/>
      <c r="Q156" s="17"/>
      <c r="R156" s="17"/>
      <c r="S156" s="17"/>
      <c r="T156" s="17"/>
      <c r="U156" s="18"/>
      <c r="V156" s="18"/>
      <c r="W156" s="18"/>
      <c r="X156" s="18"/>
      <c r="Y156" s="18"/>
      <c r="Z156" s="18"/>
      <c r="AA156" s="18"/>
      <c r="AB156" s="18"/>
      <c r="AC156" s="18"/>
      <c r="AD156" s="18"/>
      <c r="AE156" s="18"/>
      <c r="AF156" s="85"/>
      <c r="AG156" s="85"/>
      <c r="AH156" s="85"/>
      <c r="AI156" s="85"/>
      <c r="AJ156" s="85"/>
      <c r="AK156" s="85"/>
      <c r="AL156" s="85"/>
      <c r="AM156" s="85"/>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37">
        <v>44651</v>
      </c>
      <c r="BR156" s="38">
        <v>23169.349099999999</v>
      </c>
      <c r="BS156" s="17"/>
      <c r="BT156" s="37">
        <v>44651</v>
      </c>
      <c r="BU156" s="38">
        <v>1610</v>
      </c>
      <c r="BV156" s="18"/>
      <c r="BW156" s="37"/>
      <c r="BX156" s="38"/>
      <c r="BY156" s="18"/>
      <c r="BZ156" s="39">
        <f t="shared" si="58"/>
        <v>44651</v>
      </c>
      <c r="CA156" s="40">
        <f t="shared" si="59"/>
        <v>23169.349099999999</v>
      </c>
      <c r="CB156" s="17"/>
      <c r="CC156" s="39">
        <f t="shared" si="60"/>
        <v>44651</v>
      </c>
      <c r="CD156" s="40">
        <f t="shared" si="61"/>
        <v>16.100000000000001</v>
      </c>
      <c r="CE156" s="18"/>
      <c r="CF156" s="18"/>
      <c r="CG156" s="18"/>
      <c r="CH156" s="18"/>
      <c r="CI156" s="18"/>
      <c r="CJ156" s="18"/>
      <c r="CK156" s="18"/>
      <c r="CL156" s="18"/>
      <c r="CM156" s="18"/>
      <c r="CN156" s="18"/>
      <c r="CO156" s="18"/>
      <c r="CP156" s="18"/>
      <c r="CQ156" s="18"/>
      <c r="CR156" s="18"/>
      <c r="CS156" s="18"/>
      <c r="CT156" s="18"/>
      <c r="CU156" s="18"/>
      <c r="CV156" s="18"/>
      <c r="CW156" s="18"/>
      <c r="CX156" s="18"/>
      <c r="CY156" s="37"/>
      <c r="CZ156" s="38"/>
      <c r="DA156" s="18"/>
      <c r="DB156" s="37"/>
      <c r="DC156" s="38"/>
      <c r="DD156" s="18"/>
      <c r="DE156" s="37"/>
      <c r="DF156" s="38"/>
      <c r="DG156" s="18"/>
      <c r="DH156" s="37"/>
      <c r="DI156" s="38"/>
      <c r="DJ156" s="18"/>
      <c r="DK156" s="37"/>
      <c r="DL156" s="38"/>
      <c r="DM156" s="18"/>
      <c r="DN156" s="18"/>
      <c r="DO156" s="18"/>
      <c r="DP156" s="18"/>
      <c r="DQ156" s="18"/>
      <c r="DR156" s="18"/>
      <c r="DS156" s="18"/>
      <c r="DT156" s="18"/>
      <c r="DU156" s="18"/>
      <c r="DV156" s="18"/>
      <c r="DW156" s="18"/>
      <c r="DX156" s="18"/>
      <c r="DY156" s="18"/>
      <c r="DZ156" s="18"/>
    </row>
    <row r="157" spans="1:130" ht="15" customHeight="1" x14ac:dyDescent="0.3">
      <c r="A157" s="16"/>
      <c r="B157" s="16"/>
      <c r="C157" s="62"/>
      <c r="D157" s="62"/>
      <c r="E157" s="62"/>
      <c r="F157" s="62"/>
      <c r="G157" s="62"/>
      <c r="H157" s="62"/>
      <c r="I157" s="62"/>
      <c r="J157" s="62"/>
      <c r="K157" s="62"/>
      <c r="L157" s="62"/>
      <c r="M157" s="62"/>
      <c r="N157" s="227"/>
      <c r="O157" s="17"/>
      <c r="P157" s="17"/>
      <c r="Q157" s="17"/>
      <c r="R157" s="17"/>
      <c r="S157" s="17"/>
      <c r="T157" s="17"/>
      <c r="U157" s="18"/>
      <c r="V157" s="18"/>
      <c r="W157" s="18"/>
      <c r="X157" s="18"/>
      <c r="Y157" s="18"/>
      <c r="Z157" s="18"/>
      <c r="AA157" s="18"/>
      <c r="AB157" s="18"/>
      <c r="AC157" s="18"/>
      <c r="AD157" s="18"/>
      <c r="AE157" s="18"/>
      <c r="AF157" s="85"/>
      <c r="AG157" s="85"/>
      <c r="AH157" s="85"/>
      <c r="AI157" s="85"/>
      <c r="AJ157" s="85"/>
      <c r="AK157" s="85"/>
      <c r="AL157" s="85"/>
      <c r="AM157" s="85"/>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37">
        <v>44680</v>
      </c>
      <c r="BR157" s="38">
        <v>21946.12</v>
      </c>
      <c r="BS157" s="17"/>
      <c r="BT157" s="37">
        <v>44680</v>
      </c>
      <c r="BU157" s="38">
        <v>1525</v>
      </c>
      <c r="BV157" s="18"/>
      <c r="BW157" s="37"/>
      <c r="BX157" s="38"/>
      <c r="BY157" s="18"/>
      <c r="BZ157" s="39">
        <f t="shared" si="58"/>
        <v>44680</v>
      </c>
      <c r="CA157" s="40">
        <f t="shared" si="59"/>
        <v>21946.12</v>
      </c>
      <c r="CB157" s="17"/>
      <c r="CC157" s="39">
        <f t="shared" si="60"/>
        <v>44680</v>
      </c>
      <c r="CD157" s="40">
        <f t="shared" si="61"/>
        <v>15.25</v>
      </c>
      <c r="CE157" s="18"/>
      <c r="CF157" s="18"/>
      <c r="CG157" s="18"/>
      <c r="CH157" s="18"/>
      <c r="CI157" s="18"/>
      <c r="CJ157" s="18"/>
      <c r="CK157" s="18"/>
      <c r="CL157" s="18"/>
      <c r="CM157" s="18"/>
      <c r="CN157" s="18"/>
      <c r="CO157" s="18"/>
      <c r="CP157" s="18"/>
      <c r="CQ157" s="18"/>
      <c r="CR157" s="18"/>
      <c r="CS157" s="18"/>
      <c r="CT157" s="18"/>
      <c r="CU157" s="18"/>
      <c r="CV157" s="18"/>
      <c r="CW157" s="18"/>
      <c r="CX157" s="18"/>
      <c r="CY157" s="37"/>
      <c r="CZ157" s="38"/>
      <c r="DA157" s="18"/>
      <c r="DB157" s="37"/>
      <c r="DC157" s="38"/>
      <c r="DD157" s="18"/>
      <c r="DE157" s="37"/>
      <c r="DF157" s="38"/>
      <c r="DG157" s="18"/>
      <c r="DH157" s="37"/>
      <c r="DI157" s="38"/>
      <c r="DJ157" s="18"/>
      <c r="DK157" s="37"/>
      <c r="DL157" s="38"/>
      <c r="DM157" s="18"/>
      <c r="DN157" s="18"/>
      <c r="DO157" s="18"/>
      <c r="DP157" s="18"/>
      <c r="DQ157" s="18"/>
      <c r="DR157" s="18"/>
      <c r="DS157" s="18"/>
      <c r="DT157" s="18"/>
      <c r="DU157" s="18"/>
      <c r="DV157" s="18"/>
      <c r="DW157" s="18"/>
      <c r="DX157" s="18"/>
      <c r="DY157" s="18"/>
      <c r="DZ157" s="18"/>
    </row>
    <row r="158" spans="1:130" ht="15" customHeight="1" x14ac:dyDescent="0.3">
      <c r="A158" s="16"/>
      <c r="B158" s="16"/>
      <c r="C158" s="62"/>
      <c r="D158" s="62"/>
      <c r="E158" s="62"/>
      <c r="F158" s="62"/>
      <c r="G158" s="62"/>
      <c r="H158" s="62"/>
      <c r="I158" s="62"/>
      <c r="J158" s="62"/>
      <c r="K158" s="62"/>
      <c r="L158" s="62"/>
      <c r="M158" s="62"/>
      <c r="N158" s="227"/>
      <c r="O158" s="17"/>
      <c r="P158" s="17"/>
      <c r="Q158" s="17"/>
      <c r="R158" s="17"/>
      <c r="S158" s="17"/>
      <c r="T158" s="17"/>
      <c r="U158" s="18"/>
      <c r="V158" s="18"/>
      <c r="W158" s="18"/>
      <c r="X158" s="18"/>
      <c r="Y158" s="18"/>
      <c r="Z158" s="18"/>
      <c r="AA158" s="18"/>
      <c r="AB158" s="18"/>
      <c r="AC158" s="18"/>
      <c r="AD158" s="18"/>
      <c r="AE158" s="18"/>
      <c r="AF158" s="85"/>
      <c r="AG158" s="85"/>
      <c r="AH158" s="85"/>
      <c r="AI158" s="85"/>
      <c r="AJ158" s="85"/>
      <c r="AK158" s="85"/>
      <c r="AL158" s="85"/>
      <c r="AM158" s="85"/>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37">
        <v>44712</v>
      </c>
      <c r="BR158" s="38">
        <v>22046.86</v>
      </c>
      <c r="BS158" s="17"/>
      <c r="BT158" s="37">
        <v>44712</v>
      </c>
      <c r="BU158" s="38">
        <v>1532</v>
      </c>
      <c r="BV158" s="18"/>
      <c r="BW158" s="37"/>
      <c r="BX158" s="38"/>
      <c r="BY158" s="18"/>
      <c r="BZ158" s="39">
        <f t="shared" si="58"/>
        <v>44712</v>
      </c>
      <c r="CA158" s="40">
        <f t="shared" si="59"/>
        <v>22046.86</v>
      </c>
      <c r="CB158" s="17"/>
      <c r="CC158" s="39">
        <f t="shared" si="60"/>
        <v>44712</v>
      </c>
      <c r="CD158" s="40">
        <f t="shared" si="61"/>
        <v>15.32</v>
      </c>
      <c r="CE158" s="18"/>
      <c r="CF158" s="18"/>
      <c r="CG158" s="18"/>
      <c r="CH158" s="18"/>
      <c r="CI158" s="18"/>
      <c r="CJ158" s="18"/>
      <c r="CK158" s="18"/>
      <c r="CL158" s="18"/>
      <c r="CM158" s="18"/>
      <c r="CN158" s="18"/>
      <c r="CO158" s="18"/>
      <c r="CP158" s="18"/>
      <c r="CQ158" s="18"/>
      <c r="CR158" s="18"/>
      <c r="CS158" s="18"/>
      <c r="CT158" s="18"/>
      <c r="CU158" s="18"/>
      <c r="CV158" s="18"/>
      <c r="CW158" s="18"/>
      <c r="CX158" s="18"/>
      <c r="CY158" s="37"/>
      <c r="CZ158" s="38"/>
      <c r="DA158" s="18"/>
      <c r="DB158" s="37"/>
      <c r="DC158" s="38"/>
      <c r="DD158" s="18"/>
      <c r="DE158" s="37"/>
      <c r="DF158" s="38"/>
      <c r="DG158" s="18"/>
      <c r="DH158" s="37"/>
      <c r="DI158" s="38"/>
      <c r="DJ158" s="18"/>
      <c r="DK158" s="37"/>
      <c r="DL158" s="38"/>
      <c r="DM158" s="18"/>
      <c r="DN158" s="18"/>
      <c r="DO158" s="18"/>
      <c r="DP158" s="18"/>
      <c r="DQ158" s="18"/>
      <c r="DR158" s="18"/>
      <c r="DS158" s="18"/>
      <c r="DT158" s="18"/>
      <c r="DU158" s="18"/>
      <c r="DV158" s="18"/>
      <c r="DW158" s="18"/>
      <c r="DX158" s="18"/>
      <c r="DY158" s="18"/>
      <c r="DZ158" s="18"/>
    </row>
    <row r="159" spans="1:130" ht="15" customHeight="1" thickBot="1" x14ac:dyDescent="0.35">
      <c r="A159" s="16"/>
      <c r="B159" s="16"/>
      <c r="C159" s="62"/>
      <c r="D159" s="62"/>
      <c r="E159" s="62"/>
      <c r="F159" s="62"/>
      <c r="G159" s="62"/>
      <c r="H159" s="62"/>
      <c r="I159" s="62"/>
      <c r="J159" s="62"/>
      <c r="K159" s="62"/>
      <c r="L159" s="62"/>
      <c r="M159" s="62"/>
      <c r="N159" s="227"/>
      <c r="O159" s="17"/>
      <c r="P159" s="17"/>
      <c r="Q159" s="17"/>
      <c r="R159" s="17"/>
      <c r="S159" s="17"/>
      <c r="T159" s="17"/>
      <c r="U159" s="18"/>
      <c r="V159" s="18"/>
      <c r="W159" s="18"/>
      <c r="X159" s="18"/>
      <c r="Y159" s="18"/>
      <c r="Z159" s="18"/>
      <c r="AA159" s="18"/>
      <c r="AB159" s="18"/>
      <c r="AC159" s="18"/>
      <c r="AD159" s="18"/>
      <c r="AE159" s="18"/>
      <c r="AF159" s="85"/>
      <c r="AG159" s="85"/>
      <c r="AH159" s="85"/>
      <c r="AI159" s="85"/>
      <c r="AJ159" s="85"/>
      <c r="AK159" s="85"/>
      <c r="AL159" s="85"/>
      <c r="AM159" s="85"/>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37">
        <v>44742</v>
      </c>
      <c r="BR159" s="38">
        <v>20535.810000000001</v>
      </c>
      <c r="BS159" s="17"/>
      <c r="BT159" s="37">
        <v>44742</v>
      </c>
      <c r="BU159" s="38">
        <v>1427</v>
      </c>
      <c r="BV159" s="18"/>
      <c r="BW159" s="37"/>
      <c r="BX159" s="38"/>
      <c r="BY159" s="18"/>
      <c r="BZ159" s="39">
        <f t="shared" si="58"/>
        <v>44742</v>
      </c>
      <c r="CA159" s="40">
        <f t="shared" si="59"/>
        <v>20535.810000000001</v>
      </c>
      <c r="CB159" s="17"/>
      <c r="CC159" s="39">
        <f t="shared" si="60"/>
        <v>44742</v>
      </c>
      <c r="CD159" s="40">
        <f t="shared" si="61"/>
        <v>14.27</v>
      </c>
      <c r="CE159" s="18"/>
      <c r="CF159" s="18"/>
      <c r="CG159" s="18"/>
      <c r="CH159" s="18"/>
      <c r="CI159" s="18"/>
      <c r="CJ159" s="18"/>
      <c r="CK159" s="18"/>
      <c r="CL159" s="18"/>
      <c r="CM159" s="18"/>
      <c r="CN159" s="18"/>
      <c r="CO159" s="18"/>
      <c r="CP159" s="18"/>
      <c r="CQ159" s="18"/>
      <c r="CR159" s="18"/>
      <c r="CS159" s="18"/>
      <c r="CT159" s="18"/>
      <c r="CU159" s="18"/>
      <c r="CV159" s="18"/>
      <c r="CW159" s="18"/>
      <c r="CX159" s="18"/>
      <c r="CY159" s="37"/>
      <c r="CZ159" s="38"/>
      <c r="DA159" s="18"/>
      <c r="DB159" s="37"/>
      <c r="DC159" s="38"/>
      <c r="DD159" s="18"/>
      <c r="DE159" s="37"/>
      <c r="DF159" s="38"/>
      <c r="DG159" s="18"/>
      <c r="DH159" s="37"/>
      <c r="DI159" s="38"/>
      <c r="DJ159" s="18"/>
      <c r="DK159" s="37"/>
      <c r="DL159" s="38"/>
      <c r="DM159" s="18"/>
      <c r="DN159" s="18"/>
      <c r="DO159" s="18"/>
      <c r="DP159" s="18"/>
      <c r="DQ159" s="18"/>
      <c r="DR159" s="18"/>
      <c r="DS159" s="18"/>
      <c r="DT159" s="18"/>
      <c r="DU159" s="18"/>
      <c r="DV159" s="18"/>
      <c r="DW159" s="18"/>
      <c r="DX159" s="18"/>
      <c r="DY159" s="18"/>
      <c r="DZ159" s="18"/>
    </row>
    <row r="160" spans="1:130" ht="15" customHeight="1" x14ac:dyDescent="0.3">
      <c r="A160" s="63"/>
      <c r="B160" s="64" t="s">
        <v>243</v>
      </c>
      <c r="C160" s="65"/>
      <c r="D160" s="65"/>
      <c r="E160" s="65"/>
      <c r="F160" s="65"/>
      <c r="G160" s="65"/>
      <c r="H160" s="65"/>
      <c r="I160" s="65"/>
      <c r="J160" s="65"/>
      <c r="K160" s="65"/>
      <c r="L160" s="65"/>
      <c r="M160" s="66"/>
      <c r="N160" s="227"/>
      <c r="O160" s="17"/>
      <c r="P160" s="17"/>
      <c r="Q160" s="17"/>
      <c r="R160" s="17"/>
      <c r="S160" s="17"/>
      <c r="T160" s="17"/>
      <c r="U160" s="18"/>
      <c r="V160" s="18"/>
      <c r="W160" s="18"/>
      <c r="X160" s="18"/>
      <c r="Y160" s="18"/>
      <c r="Z160" s="18"/>
      <c r="AA160" s="18"/>
      <c r="AB160" s="18"/>
      <c r="AC160" s="18"/>
      <c r="AD160" s="18"/>
      <c r="AE160" s="18"/>
      <c r="AF160" s="85"/>
      <c r="AG160" s="85"/>
      <c r="AH160" s="85"/>
      <c r="AI160" s="85"/>
      <c r="AJ160" s="85"/>
      <c r="AK160" s="85"/>
      <c r="AL160" s="85"/>
      <c r="AM160" s="85"/>
      <c r="AN160" s="18"/>
      <c r="AO160" s="18"/>
      <c r="AP160" s="67" t="s">
        <v>243</v>
      </c>
      <c r="AQ160" s="68"/>
      <c r="AR160" s="68"/>
      <c r="AS160" s="68"/>
      <c r="AT160" s="68"/>
      <c r="AU160" s="68"/>
      <c r="AV160" s="68"/>
      <c r="AW160" s="68"/>
      <c r="AX160" s="68"/>
      <c r="AY160" s="68"/>
      <c r="AZ160" s="68"/>
      <c r="BA160" s="69"/>
      <c r="BB160" s="18"/>
      <c r="BC160" s="18"/>
      <c r="BD160" s="18"/>
      <c r="BE160" s="18"/>
      <c r="BF160" s="18"/>
      <c r="BG160" s="18"/>
      <c r="BH160" s="18"/>
      <c r="BI160" s="18"/>
      <c r="BJ160" s="18"/>
      <c r="BK160" s="18"/>
      <c r="BL160" s="18"/>
      <c r="BM160" s="18"/>
      <c r="BN160" s="18"/>
      <c r="BO160" s="18"/>
      <c r="BP160" s="18"/>
      <c r="BQ160" s="37">
        <v>44771</v>
      </c>
      <c r="BR160" s="38">
        <v>21874.17</v>
      </c>
      <c r="BS160" s="17"/>
      <c r="BT160" s="37">
        <v>44771</v>
      </c>
      <c r="BU160" s="38">
        <v>1520</v>
      </c>
      <c r="BV160" s="18"/>
      <c r="BW160" s="37"/>
      <c r="BX160" s="38"/>
      <c r="BY160" s="18"/>
      <c r="BZ160" s="39">
        <f t="shared" si="58"/>
        <v>44771</v>
      </c>
      <c r="CA160" s="40">
        <f t="shared" si="59"/>
        <v>21874.17</v>
      </c>
      <c r="CB160" s="17"/>
      <c r="CC160" s="39">
        <f t="shared" si="60"/>
        <v>44771</v>
      </c>
      <c r="CD160" s="40">
        <f t="shared" si="61"/>
        <v>15.200000000000001</v>
      </c>
      <c r="CE160" s="18"/>
      <c r="CF160" s="18"/>
      <c r="CG160" s="18"/>
      <c r="CH160" s="18"/>
      <c r="CI160" s="18"/>
      <c r="CJ160" s="18"/>
      <c r="CK160" s="18"/>
      <c r="CL160" s="18"/>
      <c r="CM160" s="18"/>
      <c r="CN160" s="18"/>
      <c r="CO160" s="18"/>
      <c r="CP160" s="18"/>
      <c r="CQ160" s="18"/>
      <c r="CR160" s="18"/>
      <c r="CS160" s="18"/>
      <c r="CT160" s="18"/>
      <c r="CU160" s="18"/>
      <c r="CV160" s="18"/>
      <c r="CW160" s="18"/>
      <c r="CX160" s="18"/>
      <c r="CY160" s="37"/>
      <c r="CZ160" s="38"/>
      <c r="DA160" s="18"/>
      <c r="DB160" s="37"/>
      <c r="DC160" s="38"/>
      <c r="DD160" s="18"/>
      <c r="DE160" s="37"/>
      <c r="DF160" s="38"/>
      <c r="DG160" s="18"/>
      <c r="DH160" s="37"/>
      <c r="DI160" s="38"/>
      <c r="DJ160" s="18"/>
      <c r="DK160" s="37"/>
      <c r="DL160" s="38"/>
      <c r="DM160" s="18"/>
      <c r="DN160" s="18"/>
      <c r="DO160" s="18"/>
      <c r="DP160" s="18"/>
      <c r="DQ160" s="18"/>
      <c r="DR160" s="18"/>
      <c r="DS160" s="18"/>
      <c r="DT160" s="18"/>
      <c r="DU160" s="18"/>
      <c r="DV160" s="18"/>
      <c r="DW160" s="18"/>
      <c r="DX160" s="18"/>
      <c r="DY160" s="18"/>
      <c r="DZ160" s="18"/>
    </row>
    <row r="161" spans="1:130" ht="15" customHeight="1" x14ac:dyDescent="0.3">
      <c r="A161" s="72"/>
      <c r="B161" s="73"/>
      <c r="C161" s="74"/>
      <c r="D161" s="74"/>
      <c r="E161" s="74"/>
      <c r="F161" s="74"/>
      <c r="G161" s="74"/>
      <c r="H161" s="74"/>
      <c r="I161" s="74"/>
      <c r="J161" s="74"/>
      <c r="K161" s="74"/>
      <c r="L161" s="74"/>
      <c r="M161" s="75"/>
      <c r="N161" s="227"/>
      <c r="O161" s="17"/>
      <c r="P161" s="17"/>
      <c r="Q161" s="17"/>
      <c r="R161" s="17"/>
      <c r="S161" s="17"/>
      <c r="T161" s="17"/>
      <c r="U161" s="18"/>
      <c r="V161" s="18"/>
      <c r="W161" s="18"/>
      <c r="X161" s="18"/>
      <c r="Y161" s="18"/>
      <c r="Z161" s="18"/>
      <c r="AA161" s="18"/>
      <c r="AB161" s="18"/>
      <c r="AC161" s="18"/>
      <c r="AD161" s="18"/>
      <c r="AE161" s="18"/>
      <c r="AF161" s="85"/>
      <c r="AG161" s="85"/>
      <c r="AH161" s="85"/>
      <c r="AI161" s="85"/>
      <c r="AJ161" s="85"/>
      <c r="AK161" s="85"/>
      <c r="AL161" s="85"/>
      <c r="AM161" s="85"/>
      <c r="AN161" s="18"/>
      <c r="AO161" s="18"/>
      <c r="AP161" s="77"/>
      <c r="AQ161" s="18"/>
      <c r="AR161" s="18"/>
      <c r="AS161" s="18"/>
      <c r="AT161" s="18"/>
      <c r="AU161" s="18"/>
      <c r="AV161" s="18"/>
      <c r="AW161" s="18"/>
      <c r="AX161" s="18"/>
      <c r="AY161" s="18"/>
      <c r="AZ161" s="18"/>
      <c r="BA161" s="78"/>
      <c r="BB161" s="18"/>
      <c r="BC161" s="18"/>
      <c r="BD161" s="18"/>
      <c r="BE161" s="18"/>
      <c r="BF161" s="18"/>
      <c r="BG161" s="18"/>
      <c r="BH161" s="18"/>
      <c r="BI161" s="18"/>
      <c r="BJ161" s="18"/>
      <c r="BK161" s="18"/>
      <c r="BL161" s="18"/>
      <c r="BM161" s="18"/>
      <c r="BN161" s="18"/>
      <c r="BO161" s="18"/>
      <c r="BP161" s="18"/>
      <c r="BQ161" s="37">
        <v>44804</v>
      </c>
      <c r="BR161" s="38">
        <v>21212.19</v>
      </c>
      <c r="BS161" s="17"/>
      <c r="BT161" s="37">
        <v>44804</v>
      </c>
      <c r="BU161" s="38">
        <v>1474</v>
      </c>
      <c r="BV161" s="18"/>
      <c r="BW161" s="37"/>
      <c r="BX161" s="38"/>
      <c r="BY161" s="18"/>
      <c r="BZ161" s="39">
        <f t="shared" si="58"/>
        <v>44804</v>
      </c>
      <c r="CA161" s="40">
        <f t="shared" si="59"/>
        <v>21212.19</v>
      </c>
      <c r="CB161" s="17"/>
      <c r="CC161" s="39">
        <f t="shared" si="60"/>
        <v>44804</v>
      </c>
      <c r="CD161" s="40">
        <f t="shared" si="61"/>
        <v>14.74</v>
      </c>
      <c r="CE161" s="18"/>
      <c r="CF161" s="18"/>
      <c r="CG161" s="18"/>
      <c r="CH161" s="18"/>
      <c r="CI161" s="18"/>
      <c r="CJ161" s="18"/>
      <c r="CK161" s="18"/>
      <c r="CL161" s="18"/>
      <c r="CM161" s="18"/>
      <c r="CN161" s="18"/>
      <c r="CO161" s="18"/>
      <c r="CP161" s="18"/>
      <c r="CQ161" s="18"/>
      <c r="CR161" s="18"/>
      <c r="CS161" s="18"/>
      <c r="CT161" s="18"/>
      <c r="CU161" s="18"/>
      <c r="CV161" s="18"/>
      <c r="CW161" s="18"/>
      <c r="CX161" s="18"/>
      <c r="CY161" s="37"/>
      <c r="CZ161" s="38"/>
      <c r="DA161" s="18"/>
      <c r="DB161" s="37"/>
      <c r="DC161" s="38"/>
      <c r="DD161" s="18"/>
      <c r="DE161" s="37"/>
      <c r="DF161" s="38"/>
      <c r="DG161" s="18"/>
      <c r="DH161" s="37"/>
      <c r="DI161" s="38"/>
      <c r="DJ161" s="18"/>
      <c r="DK161" s="37"/>
      <c r="DL161" s="38"/>
      <c r="DM161" s="18"/>
      <c r="DN161" s="18"/>
      <c r="DO161" s="18"/>
      <c r="DP161" s="18"/>
      <c r="DQ161" s="18"/>
      <c r="DR161" s="18"/>
      <c r="DS161" s="18"/>
      <c r="DT161" s="18"/>
      <c r="DU161" s="18"/>
      <c r="DV161" s="18"/>
      <c r="DW161" s="18"/>
      <c r="DX161" s="18"/>
      <c r="DY161" s="18"/>
      <c r="DZ161" s="18"/>
    </row>
    <row r="162" spans="1:130" ht="15" customHeight="1" x14ac:dyDescent="0.3">
      <c r="A162" s="30" t="s">
        <v>344</v>
      </c>
      <c r="B162" s="123" t="s">
        <v>345</v>
      </c>
      <c r="C162" s="48">
        <v>2022</v>
      </c>
      <c r="D162" s="48">
        <v>2021</v>
      </c>
      <c r="E162" s="48">
        <v>2020</v>
      </c>
      <c r="F162" s="48">
        <v>2019</v>
      </c>
      <c r="G162" s="48">
        <v>2018</v>
      </c>
      <c r="H162" s="48">
        <v>2017</v>
      </c>
      <c r="I162" s="48">
        <v>2016</v>
      </c>
      <c r="J162" s="48">
        <v>2015</v>
      </c>
      <c r="K162" s="48">
        <v>2014</v>
      </c>
      <c r="L162" s="48">
        <v>2013</v>
      </c>
      <c r="M162" s="49">
        <v>2012</v>
      </c>
      <c r="N162" s="227"/>
      <c r="O162" s="17"/>
      <c r="P162" s="17"/>
      <c r="Q162" s="17"/>
      <c r="R162" s="17"/>
      <c r="S162" s="17"/>
      <c r="T162" s="17"/>
      <c r="U162" s="18"/>
      <c r="V162" s="18"/>
      <c r="W162" s="18"/>
      <c r="X162" s="18"/>
      <c r="Y162" s="18"/>
      <c r="Z162" s="18"/>
      <c r="AA162" s="18"/>
      <c r="AB162" s="18"/>
      <c r="AC162" s="18"/>
      <c r="AD162" s="18"/>
      <c r="AE162" s="18" t="str">
        <f t="shared" ref="AE162:AM162" si="62">B162</f>
        <v>Year</v>
      </c>
      <c r="AF162" s="76">
        <f t="shared" si="62"/>
        <v>2022</v>
      </c>
      <c r="AG162" s="76">
        <f t="shared" si="62"/>
        <v>2021</v>
      </c>
      <c r="AH162" s="76">
        <f t="shared" si="62"/>
        <v>2020</v>
      </c>
      <c r="AI162" s="76">
        <f t="shared" si="62"/>
        <v>2019</v>
      </c>
      <c r="AJ162" s="76">
        <f t="shared" si="62"/>
        <v>2018</v>
      </c>
      <c r="AK162" s="76">
        <f t="shared" si="62"/>
        <v>2017</v>
      </c>
      <c r="AL162" s="76">
        <f t="shared" si="62"/>
        <v>2016</v>
      </c>
      <c r="AM162" s="76">
        <f t="shared" si="62"/>
        <v>2015</v>
      </c>
      <c r="AN162" s="18"/>
      <c r="AO162" s="18"/>
      <c r="AP162" s="124"/>
      <c r="AQ162" s="76" t="str">
        <f>_xll.BDH($B$10,"CF_NET_INC","-10FY","","Per=fy","Days=W","Fill=E","Curr=","DtFmt=P","Sort=D","Dts=S","Dir=H","FILING_STATUS,EQY_CONSOLIDATED","MR,","cols=11;rows=2")</f>
        <v>FY1 2022</v>
      </c>
      <c r="AR162" s="76" t="s">
        <v>1921</v>
      </c>
      <c r="AS162" s="76" t="s">
        <v>1821</v>
      </c>
      <c r="AT162" s="76" t="s">
        <v>1812</v>
      </c>
      <c r="AU162" s="76" t="s">
        <v>1813</v>
      </c>
      <c r="AV162" s="76" t="s">
        <v>1814</v>
      </c>
      <c r="AW162" s="76" t="s">
        <v>1815</v>
      </c>
      <c r="AX162" s="76" t="s">
        <v>1816</v>
      </c>
      <c r="AY162" s="76" t="s">
        <v>1817</v>
      </c>
      <c r="AZ162" s="76" t="s">
        <v>1818</v>
      </c>
      <c r="BA162" s="83" t="s">
        <v>1819</v>
      </c>
      <c r="BB162" s="18"/>
      <c r="BC162" s="18"/>
      <c r="BD162" s="18"/>
      <c r="BE162" s="18"/>
      <c r="BF162" s="18"/>
      <c r="BG162" s="18"/>
      <c r="BH162" s="18"/>
      <c r="BI162" s="18"/>
      <c r="BJ162" s="18"/>
      <c r="BK162" s="18"/>
      <c r="BL162" s="18"/>
      <c r="BM162" s="18"/>
      <c r="BN162" s="18"/>
      <c r="BO162" s="18"/>
      <c r="BP162" s="18"/>
      <c r="BQ162" s="37">
        <v>44834</v>
      </c>
      <c r="BR162" s="38">
        <v>19744.310000000001</v>
      </c>
      <c r="BS162" s="17"/>
      <c r="BT162" s="37">
        <v>44834</v>
      </c>
      <c r="BU162" s="38">
        <v>1372</v>
      </c>
      <c r="BV162" s="18"/>
      <c r="BW162" s="37"/>
      <c r="BX162" s="38"/>
      <c r="BY162" s="18"/>
      <c r="BZ162" s="39">
        <f t="shared" si="58"/>
        <v>44834</v>
      </c>
      <c r="CA162" s="40">
        <f t="shared" si="59"/>
        <v>19744.310000000001</v>
      </c>
      <c r="CB162" s="17"/>
      <c r="CC162" s="39">
        <f t="shared" si="60"/>
        <v>44834</v>
      </c>
      <c r="CD162" s="40">
        <f t="shared" si="61"/>
        <v>13.72</v>
      </c>
      <c r="CE162" s="18"/>
      <c r="CF162" s="18"/>
      <c r="CG162" s="18"/>
      <c r="CH162" s="18"/>
      <c r="CI162" s="18"/>
      <c r="CJ162" s="18"/>
      <c r="CK162" s="18"/>
      <c r="CL162" s="18"/>
      <c r="CM162" s="18"/>
      <c r="CN162" s="18"/>
      <c r="CO162" s="18"/>
      <c r="CP162" s="18"/>
      <c r="CQ162" s="18"/>
      <c r="CR162" s="18"/>
      <c r="CS162" s="18"/>
      <c r="CT162" s="18"/>
      <c r="CU162" s="18"/>
      <c r="CV162" s="18"/>
      <c r="CW162" s="18"/>
      <c r="CX162" s="18"/>
      <c r="CY162" s="37"/>
      <c r="CZ162" s="38"/>
      <c r="DA162" s="18"/>
      <c r="DB162" s="37"/>
      <c r="DC162" s="38"/>
      <c r="DD162" s="18"/>
      <c r="DE162" s="37"/>
      <c r="DF162" s="38"/>
      <c r="DG162" s="18"/>
      <c r="DH162" s="37"/>
      <c r="DI162" s="38"/>
      <c r="DJ162" s="18"/>
      <c r="DK162" s="37"/>
      <c r="DL162" s="38"/>
      <c r="DM162" s="18"/>
      <c r="DN162" s="18"/>
      <c r="DO162" s="18"/>
      <c r="DP162" s="18"/>
      <c r="DQ162" s="18"/>
      <c r="DR162" s="18"/>
      <c r="DS162" s="18"/>
      <c r="DT162" s="18"/>
      <c r="DU162" s="18"/>
      <c r="DV162" s="18"/>
      <c r="DW162" s="18"/>
      <c r="DX162" s="18"/>
      <c r="DY162" s="18"/>
      <c r="DZ162" s="18"/>
    </row>
    <row r="163" spans="1:130" ht="15" customHeight="1" x14ac:dyDescent="0.3">
      <c r="A163" s="30" t="s">
        <v>409</v>
      </c>
      <c r="B163" s="73" t="s">
        <v>244</v>
      </c>
      <c r="C163" s="74">
        <v>1013</v>
      </c>
      <c r="D163" s="74">
        <v>769</v>
      </c>
      <c r="E163" s="74">
        <v>446</v>
      </c>
      <c r="F163" s="74">
        <v>2447</v>
      </c>
      <c r="G163" s="74">
        <v>4940</v>
      </c>
      <c r="H163" s="74">
        <v>-493</v>
      </c>
      <c r="I163" s="74">
        <v>1719</v>
      </c>
      <c r="J163" s="74">
        <v>2461</v>
      </c>
      <c r="K163" s="74">
        <v>2153</v>
      </c>
      <c r="L163" s="74">
        <v>5091</v>
      </c>
      <c r="M163" s="75">
        <v>-4189</v>
      </c>
      <c r="N163" s="227"/>
      <c r="O163" s="17"/>
      <c r="P163" s="17"/>
      <c r="Q163" s="17"/>
      <c r="R163" s="17"/>
      <c r="S163" s="17"/>
      <c r="T163" s="17"/>
      <c r="U163" s="18"/>
      <c r="V163" s="18"/>
      <c r="W163" s="18"/>
      <c r="X163" s="18"/>
      <c r="Y163" s="18"/>
      <c r="Z163" s="18"/>
      <c r="AA163" s="18"/>
      <c r="AB163" s="18"/>
      <c r="AC163" s="18"/>
      <c r="AD163" s="18"/>
      <c r="AE163" s="18" t="str">
        <f t="shared" ref="AE163:AE192" si="63">B163</f>
        <v>Net Income</v>
      </c>
      <c r="AF163" s="85">
        <f t="shared" ref="AF163:AF182" si="64">C163-AQ163</f>
        <v>0</v>
      </c>
      <c r="AG163" s="85">
        <f t="shared" ref="AG163:AG182" si="65">D163-AR163</f>
        <v>0</v>
      </c>
      <c r="AH163" s="85">
        <f t="shared" ref="AH163:AH182" si="66">E163-AS163</f>
        <v>0</v>
      </c>
      <c r="AI163" s="85">
        <f t="shared" ref="AI163:AI182" si="67">F163-AT163</f>
        <v>0</v>
      </c>
      <c r="AJ163" s="85">
        <f t="shared" ref="AJ163:AJ182" si="68">G163-AU163</f>
        <v>0</v>
      </c>
      <c r="AK163" s="85">
        <f t="shared" ref="AK163:AK182" si="69">H163-AV163</f>
        <v>0</v>
      </c>
      <c r="AL163" s="85">
        <f t="shared" ref="AL163:AL182" si="70">I163-AW163</f>
        <v>0</v>
      </c>
      <c r="AM163" s="85">
        <f t="shared" ref="AM163:AM182" si="71">J163-AX163</f>
        <v>0</v>
      </c>
      <c r="AN163" s="18"/>
      <c r="AO163" s="18"/>
      <c r="AP163" s="77" t="s">
        <v>244</v>
      </c>
      <c r="AQ163" s="18">
        <v>1013</v>
      </c>
      <c r="AR163" s="18">
        <v>769</v>
      </c>
      <c r="AS163" s="18">
        <v>446</v>
      </c>
      <c r="AT163" s="18">
        <v>2447</v>
      </c>
      <c r="AU163" s="18">
        <v>4940</v>
      </c>
      <c r="AV163" s="18">
        <v>-493</v>
      </c>
      <c r="AW163" s="18">
        <v>1719</v>
      </c>
      <c r="AX163" s="18">
        <v>2461</v>
      </c>
      <c r="AY163" s="18">
        <v>2153</v>
      </c>
      <c r="AZ163" s="18">
        <v>5091</v>
      </c>
      <c r="BA163" s="78">
        <v>-4189</v>
      </c>
      <c r="BB163" s="18"/>
      <c r="BC163" s="18"/>
      <c r="BD163" s="18"/>
      <c r="BE163" s="18"/>
      <c r="BF163" s="18"/>
      <c r="BG163" s="18"/>
      <c r="BH163" s="18"/>
      <c r="BI163" s="18"/>
      <c r="BJ163" s="18"/>
      <c r="BK163" s="18"/>
      <c r="BL163" s="18"/>
      <c r="BM163" s="18"/>
      <c r="BN163" s="18"/>
      <c r="BO163" s="18"/>
      <c r="BP163" s="18"/>
      <c r="BQ163" s="37">
        <v>44865</v>
      </c>
      <c r="BR163" s="38">
        <v>22421.02</v>
      </c>
      <c r="BS163" s="17"/>
      <c r="BT163" s="37">
        <v>44865</v>
      </c>
      <c r="BU163" s="38">
        <v>1558</v>
      </c>
      <c r="BV163" s="18"/>
      <c r="BW163" s="37"/>
      <c r="BX163" s="38"/>
      <c r="BY163" s="18"/>
      <c r="BZ163" s="39">
        <f t="shared" si="58"/>
        <v>44865</v>
      </c>
      <c r="CA163" s="40">
        <f t="shared" si="59"/>
        <v>22421.02</v>
      </c>
      <c r="CB163" s="17"/>
      <c r="CC163" s="39">
        <f t="shared" si="60"/>
        <v>44865</v>
      </c>
      <c r="CD163" s="40">
        <f t="shared" si="61"/>
        <v>15.58</v>
      </c>
      <c r="CE163" s="18"/>
      <c r="CF163" s="18"/>
      <c r="CG163" s="18"/>
      <c r="CH163" s="18"/>
      <c r="CI163" s="18"/>
      <c r="CJ163" s="18"/>
      <c r="CK163" s="18"/>
      <c r="CL163" s="18"/>
      <c r="CM163" s="18"/>
      <c r="CN163" s="18"/>
      <c r="CO163" s="18"/>
      <c r="CP163" s="18"/>
      <c r="CQ163" s="18"/>
      <c r="CR163" s="18"/>
      <c r="CS163" s="18"/>
      <c r="CT163" s="18"/>
      <c r="CU163" s="18"/>
      <c r="CV163" s="18"/>
      <c r="CW163" s="18"/>
      <c r="CX163" s="18"/>
      <c r="CY163" s="37"/>
      <c r="CZ163" s="38"/>
      <c r="DA163" s="18"/>
      <c r="DB163" s="37"/>
      <c r="DC163" s="38"/>
      <c r="DD163" s="18"/>
      <c r="DE163" s="37"/>
      <c r="DF163" s="38"/>
      <c r="DG163" s="18"/>
      <c r="DH163" s="37"/>
      <c r="DI163" s="38"/>
      <c r="DJ163" s="18"/>
      <c r="DK163" s="37"/>
      <c r="DL163" s="38"/>
      <c r="DM163" s="18"/>
      <c r="DN163" s="18"/>
      <c r="DO163" s="18"/>
      <c r="DP163" s="18"/>
      <c r="DQ163" s="18"/>
      <c r="DR163" s="18"/>
      <c r="DS163" s="18"/>
      <c r="DT163" s="18"/>
      <c r="DU163" s="18"/>
      <c r="DV163" s="18"/>
      <c r="DW163" s="18"/>
      <c r="DX163" s="18"/>
      <c r="DY163" s="18"/>
      <c r="DZ163" s="18"/>
    </row>
    <row r="164" spans="1:130" ht="15" customHeight="1" x14ac:dyDescent="0.3">
      <c r="A164" s="30" t="s">
        <v>146</v>
      </c>
      <c r="B164" s="73" t="s">
        <v>12</v>
      </c>
      <c r="C164" s="74">
        <v>1203</v>
      </c>
      <c r="D164" s="74">
        <v>1168</v>
      </c>
      <c r="E164" s="74">
        <v>1165</v>
      </c>
      <c r="F164" s="74">
        <v>748</v>
      </c>
      <c r="G164" s="74">
        <v>962</v>
      </c>
      <c r="H164" s="74">
        <v>1299</v>
      </c>
      <c r="I164" s="74">
        <v>1391</v>
      </c>
      <c r="J164" s="74">
        <v>1253</v>
      </c>
      <c r="K164" s="74">
        <v>1151</v>
      </c>
      <c r="L164" s="74">
        <v>1089</v>
      </c>
      <c r="M164" s="75">
        <v>1346</v>
      </c>
      <c r="N164" s="227"/>
      <c r="O164" s="17"/>
      <c r="P164" s="17"/>
      <c r="Q164" s="17"/>
      <c r="R164" s="17"/>
      <c r="S164" s="17"/>
      <c r="T164" s="17"/>
      <c r="U164" s="18"/>
      <c r="V164" s="18"/>
      <c r="W164" s="18"/>
      <c r="X164" s="18"/>
      <c r="Y164" s="18"/>
      <c r="Z164" s="18"/>
      <c r="AA164" s="18"/>
      <c r="AB164" s="18"/>
      <c r="AC164" s="18"/>
      <c r="AD164" s="18"/>
      <c r="AE164" s="18" t="str">
        <f t="shared" si="63"/>
        <v>Depreciation</v>
      </c>
      <c r="AF164" s="85">
        <f t="shared" si="64"/>
        <v>0</v>
      </c>
      <c r="AG164" s="85">
        <f t="shared" si="65"/>
        <v>0</v>
      </c>
      <c r="AH164" s="85">
        <f t="shared" si="66"/>
        <v>0</v>
      </c>
      <c r="AI164" s="85">
        <f t="shared" si="67"/>
        <v>0</v>
      </c>
      <c r="AJ164" s="85">
        <f t="shared" si="68"/>
        <v>0</v>
      </c>
      <c r="AK164" s="85">
        <f t="shared" si="69"/>
        <v>0</v>
      </c>
      <c r="AL164" s="85">
        <f t="shared" si="70"/>
        <v>0</v>
      </c>
      <c r="AM164" s="85">
        <f t="shared" si="71"/>
        <v>0</v>
      </c>
      <c r="AN164" s="18"/>
      <c r="AO164" s="18"/>
      <c r="AP164" s="77" t="s">
        <v>452</v>
      </c>
      <c r="AQ164" s="18">
        <f>_xll.BDH($B$10,"CF_DEPR_AMORT","-10FY","","Per=fy","Days=W","Fill=E","Curr=","DtFmt=P","Sort=D","Dts=H","Dir=H","FILING_STATUS,EQY_CONSOLIDATED","MR,","cols=11;rows=1")</f>
        <v>1203</v>
      </c>
      <c r="AR164" s="18">
        <v>1168</v>
      </c>
      <c r="AS164" s="18">
        <v>1165</v>
      </c>
      <c r="AT164" s="18">
        <v>748</v>
      </c>
      <c r="AU164" s="18">
        <v>962</v>
      </c>
      <c r="AV164" s="18">
        <v>1299</v>
      </c>
      <c r="AW164" s="18">
        <v>1391</v>
      </c>
      <c r="AX164" s="18">
        <v>1253</v>
      </c>
      <c r="AY164" s="18">
        <v>1151</v>
      </c>
      <c r="AZ164" s="18">
        <v>1089</v>
      </c>
      <c r="BA164" s="78">
        <v>1346</v>
      </c>
      <c r="BB164" s="18"/>
      <c r="BC164" s="18"/>
      <c r="BD164" s="18"/>
      <c r="BE164" s="18"/>
      <c r="BF164" s="18"/>
      <c r="BG164" s="18"/>
      <c r="BH164" s="18"/>
      <c r="BI164" s="18"/>
      <c r="BJ164" s="18"/>
      <c r="BK164" s="18"/>
      <c r="BL164" s="18"/>
      <c r="BM164" s="18"/>
      <c r="BN164" s="18"/>
      <c r="BO164" s="18"/>
      <c r="BP164" s="18"/>
      <c r="BQ164" s="37">
        <v>44895</v>
      </c>
      <c r="BR164" s="38">
        <v>21154.62</v>
      </c>
      <c r="BS164" s="17"/>
      <c r="BT164" s="37">
        <v>44895</v>
      </c>
      <c r="BU164" s="38">
        <v>1470</v>
      </c>
      <c r="BV164" s="18"/>
      <c r="BW164" s="37"/>
      <c r="BX164" s="38"/>
      <c r="BY164" s="18"/>
      <c r="BZ164" s="39">
        <f t="shared" si="58"/>
        <v>44895</v>
      </c>
      <c r="CA164" s="40">
        <f t="shared" si="59"/>
        <v>21154.62</v>
      </c>
      <c r="CB164" s="17"/>
      <c r="CC164" s="39">
        <f t="shared" si="60"/>
        <v>44895</v>
      </c>
      <c r="CD164" s="40">
        <f t="shared" si="61"/>
        <v>14.700000000000001</v>
      </c>
      <c r="CE164" s="18"/>
      <c r="CF164" s="18"/>
      <c r="CG164" s="18"/>
      <c r="CH164" s="18"/>
      <c r="CI164" s="18"/>
      <c r="CJ164" s="18"/>
      <c r="CK164" s="18"/>
      <c r="CL164" s="18"/>
      <c r="CM164" s="18"/>
      <c r="CN164" s="18"/>
      <c r="CO164" s="18"/>
      <c r="CP164" s="18"/>
      <c r="CQ164" s="18"/>
      <c r="CR164" s="18"/>
      <c r="CS164" s="18"/>
      <c r="CT164" s="18"/>
      <c r="CU164" s="18"/>
      <c r="CV164" s="18"/>
      <c r="CW164" s="18"/>
      <c r="CX164" s="18"/>
      <c r="CY164" s="37"/>
      <c r="CZ164" s="38"/>
      <c r="DA164" s="18"/>
      <c r="DB164" s="37"/>
      <c r="DC164" s="38"/>
      <c r="DD164" s="18"/>
      <c r="DE164" s="37"/>
      <c r="DF164" s="38"/>
      <c r="DG164" s="18"/>
      <c r="DH164" s="37"/>
      <c r="DI164" s="38"/>
      <c r="DJ164" s="18"/>
      <c r="DK164" s="37"/>
      <c r="DL164" s="38"/>
      <c r="DM164" s="18"/>
      <c r="DN164" s="18"/>
      <c r="DO164" s="18"/>
      <c r="DP164" s="18"/>
      <c r="DQ164" s="18"/>
      <c r="DR164" s="18"/>
      <c r="DS164" s="18"/>
      <c r="DT164" s="18"/>
      <c r="DU164" s="18"/>
      <c r="DV164" s="18"/>
      <c r="DW164" s="18"/>
      <c r="DX164" s="18"/>
      <c r="DY164" s="18"/>
      <c r="DZ164" s="18"/>
    </row>
    <row r="165" spans="1:130" ht="15" customHeight="1" x14ac:dyDescent="0.3">
      <c r="A165" s="30" t="s">
        <v>391</v>
      </c>
      <c r="B165" s="73" t="s">
        <v>245</v>
      </c>
      <c r="C165" s="74">
        <v>-436</v>
      </c>
      <c r="D165" s="74">
        <v>401</v>
      </c>
      <c r="E165" s="74">
        <v>-27</v>
      </c>
      <c r="F165" s="74">
        <v>-123</v>
      </c>
      <c r="G165" s="74">
        <v>-2779</v>
      </c>
      <c r="H165" s="74">
        <v>2149</v>
      </c>
      <c r="I165" s="74">
        <v>998</v>
      </c>
      <c r="J165" s="74">
        <v>-286</v>
      </c>
      <c r="K165" s="74">
        <v>-48</v>
      </c>
      <c r="L165" s="74">
        <v>-3376</v>
      </c>
      <c r="M165" s="75">
        <v>5454</v>
      </c>
      <c r="N165" s="227"/>
      <c r="O165" s="17"/>
      <c r="P165" s="17"/>
      <c r="Q165" s="17"/>
      <c r="R165" s="17"/>
      <c r="S165" s="17"/>
      <c r="T165" s="17"/>
      <c r="U165" s="18"/>
      <c r="V165" s="18"/>
      <c r="W165" s="18"/>
      <c r="X165" s="18"/>
      <c r="Y165" s="18"/>
      <c r="Z165" s="18"/>
      <c r="AA165" s="18"/>
      <c r="AB165" s="18"/>
      <c r="AC165" s="18"/>
      <c r="AD165" s="18"/>
      <c r="AE165" s="18" t="str">
        <f t="shared" si="63"/>
        <v>Other Non-Cash Adjustments</v>
      </c>
      <c r="AF165" s="85">
        <f t="shared" si="64"/>
        <v>0</v>
      </c>
      <c r="AG165" s="85">
        <f t="shared" si="65"/>
        <v>0</v>
      </c>
      <c r="AH165" s="85">
        <f t="shared" si="66"/>
        <v>0</v>
      </c>
      <c r="AI165" s="85">
        <f t="shared" si="67"/>
        <v>0</v>
      </c>
      <c r="AJ165" s="85">
        <f t="shared" si="68"/>
        <v>0</v>
      </c>
      <c r="AK165" s="85">
        <f t="shared" si="69"/>
        <v>0</v>
      </c>
      <c r="AL165" s="85">
        <f t="shared" si="70"/>
        <v>0</v>
      </c>
      <c r="AM165" s="85">
        <f t="shared" si="71"/>
        <v>0</v>
      </c>
      <c r="AN165" s="18"/>
      <c r="AO165" s="18"/>
      <c r="AP165" s="77" t="s">
        <v>245</v>
      </c>
      <c r="AQ165" s="18">
        <f>_xll.BDH($B$10,"CF_OTHER_NON_CASH_ADJUST","-10FY","","Per=fy","Days=W","Fill=E","Curr=","DtFmt=P","Sort=D","Dts=H","Dir=H","FILING_STATUS,EQY_CONSOLIDATED","MR,","cols=11;rows=1")</f>
        <v>-436</v>
      </c>
      <c r="AR165" s="18">
        <v>401</v>
      </c>
      <c r="AS165" s="18">
        <v>-27</v>
      </c>
      <c r="AT165" s="18">
        <v>-123</v>
      </c>
      <c r="AU165" s="18">
        <v>-2779</v>
      </c>
      <c r="AV165" s="18">
        <v>2149</v>
      </c>
      <c r="AW165" s="18">
        <v>998</v>
      </c>
      <c r="AX165" s="18">
        <v>-286</v>
      </c>
      <c r="AY165" s="18">
        <v>-48</v>
      </c>
      <c r="AZ165" s="18">
        <v>-3376</v>
      </c>
      <c r="BA165" s="78">
        <v>5454</v>
      </c>
      <c r="BB165" s="18"/>
      <c r="BC165" s="18"/>
      <c r="BD165" s="18"/>
      <c r="BE165" s="18"/>
      <c r="BF165" s="18"/>
      <c r="BG165" s="18"/>
      <c r="BH165" s="18"/>
      <c r="BI165" s="18"/>
      <c r="BJ165" s="18"/>
      <c r="BK165" s="18"/>
      <c r="BL165" s="18"/>
      <c r="BM165" s="18"/>
      <c r="BN165" s="18"/>
      <c r="BO165" s="18"/>
      <c r="BP165" s="18"/>
      <c r="BQ165" s="37">
        <v>44925</v>
      </c>
      <c r="BR165" s="38">
        <v>20866.810000000001</v>
      </c>
      <c r="BS165" s="17"/>
      <c r="BT165" s="37">
        <v>44925</v>
      </c>
      <c r="BU165" s="38">
        <v>1450</v>
      </c>
      <c r="BV165" s="18"/>
      <c r="BW165" s="37"/>
      <c r="BX165" s="38"/>
      <c r="BY165" s="18"/>
      <c r="BZ165" s="39">
        <f t="shared" si="58"/>
        <v>44925</v>
      </c>
      <c r="CA165" s="40">
        <f t="shared" si="59"/>
        <v>20866.810000000001</v>
      </c>
      <c r="CB165" s="17"/>
      <c r="CC165" s="39">
        <f t="shared" si="60"/>
        <v>44925</v>
      </c>
      <c r="CD165" s="40">
        <f t="shared" si="61"/>
        <v>14.5</v>
      </c>
      <c r="CE165" s="18"/>
      <c r="CF165" s="18"/>
      <c r="CG165" s="18"/>
      <c r="CH165" s="18"/>
      <c r="CI165" s="18"/>
      <c r="CJ165" s="18"/>
      <c r="CK165" s="18"/>
      <c r="CL165" s="18"/>
      <c r="CM165" s="18"/>
      <c r="CN165" s="18"/>
      <c r="CO165" s="18"/>
      <c r="CP165" s="18"/>
      <c r="CQ165" s="18"/>
      <c r="CR165" s="18"/>
      <c r="CS165" s="18"/>
      <c r="CT165" s="18"/>
      <c r="CU165" s="18"/>
      <c r="CV165" s="18"/>
      <c r="CW165" s="18"/>
      <c r="CX165" s="18"/>
      <c r="CY165" s="37"/>
      <c r="CZ165" s="38"/>
      <c r="DA165" s="18"/>
      <c r="DB165" s="37"/>
      <c r="DC165" s="38"/>
      <c r="DD165" s="18"/>
      <c r="DE165" s="37"/>
      <c r="DF165" s="38"/>
      <c r="DG165" s="18"/>
      <c r="DH165" s="37"/>
      <c r="DI165" s="38"/>
      <c r="DJ165" s="18"/>
      <c r="DK165" s="37"/>
      <c r="DL165" s="38"/>
      <c r="DM165" s="18"/>
      <c r="DN165" s="18"/>
      <c r="DO165" s="18"/>
      <c r="DP165" s="18"/>
      <c r="DQ165" s="18"/>
      <c r="DR165" s="18"/>
      <c r="DS165" s="18"/>
      <c r="DT165" s="18"/>
      <c r="DU165" s="18"/>
      <c r="DV165" s="18"/>
      <c r="DW165" s="18"/>
      <c r="DX165" s="18"/>
      <c r="DY165" s="18"/>
      <c r="DZ165" s="18"/>
    </row>
    <row r="166" spans="1:130" ht="15" customHeight="1" x14ac:dyDescent="0.3">
      <c r="A166" s="30" t="s">
        <v>392</v>
      </c>
      <c r="B166" s="73" t="s">
        <v>246</v>
      </c>
      <c r="C166" s="74">
        <v>238</v>
      </c>
      <c r="D166" s="74">
        <v>234</v>
      </c>
      <c r="E166" s="74">
        <v>-1395</v>
      </c>
      <c r="F166" s="74">
        <v>427</v>
      </c>
      <c r="G166" s="74">
        <v>-343</v>
      </c>
      <c r="H166" s="74">
        <v>-126</v>
      </c>
      <c r="I166" s="74">
        <v>-259</v>
      </c>
      <c r="J166" s="74">
        <v>-12</v>
      </c>
      <c r="K166" s="74">
        <v>-127</v>
      </c>
      <c r="L166" s="74">
        <v>-283</v>
      </c>
      <c r="M166" s="75">
        <v>28</v>
      </c>
      <c r="N166" s="227"/>
      <c r="O166" s="17"/>
      <c r="P166" s="17"/>
      <c r="Q166" s="17"/>
      <c r="R166" s="17"/>
      <c r="S166" s="17"/>
      <c r="T166" s="17"/>
      <c r="U166" s="18"/>
      <c r="V166" s="18"/>
      <c r="W166" s="18"/>
      <c r="X166" s="18"/>
      <c r="Y166" s="18"/>
      <c r="Z166" s="18"/>
      <c r="AA166" s="18"/>
      <c r="AB166" s="18"/>
      <c r="AC166" s="18"/>
      <c r="AD166" s="18"/>
      <c r="AE166" s="18" t="str">
        <f t="shared" si="63"/>
        <v>Changes in Non-Cash Capital</v>
      </c>
      <c r="AF166" s="85">
        <f t="shared" si="64"/>
        <v>0</v>
      </c>
      <c r="AG166" s="85">
        <f t="shared" si="65"/>
        <v>0</v>
      </c>
      <c r="AH166" s="85">
        <f t="shared" si="66"/>
        <v>0</v>
      </c>
      <c r="AI166" s="85">
        <f t="shared" si="67"/>
        <v>0</v>
      </c>
      <c r="AJ166" s="85">
        <f t="shared" si="68"/>
        <v>0</v>
      </c>
      <c r="AK166" s="85">
        <f t="shared" si="69"/>
        <v>0</v>
      </c>
      <c r="AL166" s="85">
        <f t="shared" si="70"/>
        <v>0</v>
      </c>
      <c r="AM166" s="85">
        <f t="shared" si="71"/>
        <v>0</v>
      </c>
      <c r="AN166" s="18"/>
      <c r="AO166" s="18"/>
      <c r="AP166" s="120" t="s">
        <v>246</v>
      </c>
      <c r="AQ166" s="86">
        <f>_xll.BDH($B$10,"CF_CHNG_NON_CASH_WORK_CAP","-10FY","","Per=fy","Days=W","Fill=E","Curr=","DtFmt=P","Sort=D","Dts=H","Dir=H","FILING_STATUS,EQY_CONSOLIDATED","MR,","cols=11;rows=1")</f>
        <v>238</v>
      </c>
      <c r="AR166" s="86">
        <v>234</v>
      </c>
      <c r="AS166" s="86">
        <v>-1395</v>
      </c>
      <c r="AT166" s="86">
        <v>427</v>
      </c>
      <c r="AU166" s="86">
        <v>-343</v>
      </c>
      <c r="AV166" s="86">
        <v>-126</v>
      </c>
      <c r="AW166" s="86">
        <v>-259</v>
      </c>
      <c r="AX166" s="86">
        <v>-12</v>
      </c>
      <c r="AY166" s="86">
        <v>-127</v>
      </c>
      <c r="AZ166" s="86">
        <v>-283</v>
      </c>
      <c r="BA166" s="87">
        <v>28</v>
      </c>
      <c r="BB166" s="18"/>
      <c r="BC166" s="18"/>
      <c r="BD166" s="18"/>
      <c r="BE166" s="18"/>
      <c r="BF166" s="18"/>
      <c r="BG166" s="18"/>
      <c r="BH166" s="18"/>
      <c r="BI166" s="18"/>
      <c r="BJ166" s="18"/>
      <c r="BK166" s="18"/>
      <c r="BL166" s="18"/>
      <c r="BM166" s="18"/>
      <c r="BN166" s="18"/>
      <c r="BO166" s="18"/>
      <c r="BP166" s="18"/>
      <c r="BQ166" s="37">
        <v>44957</v>
      </c>
      <c r="BR166" s="38">
        <v>20564.599999999999</v>
      </c>
      <c r="BS166" s="17"/>
      <c r="BT166" s="37">
        <v>44957</v>
      </c>
      <c r="BU166" s="38">
        <v>1429</v>
      </c>
      <c r="BV166" s="18"/>
      <c r="BW166" s="37"/>
      <c r="BX166" s="38"/>
      <c r="BY166" s="18"/>
      <c r="BZ166" s="39">
        <f t="shared" si="58"/>
        <v>44957</v>
      </c>
      <c r="CA166" s="40">
        <f t="shared" si="59"/>
        <v>20564.599999999999</v>
      </c>
      <c r="CB166" s="17"/>
      <c r="CC166" s="39">
        <f t="shared" si="60"/>
        <v>44957</v>
      </c>
      <c r="CD166" s="40">
        <f t="shared" si="61"/>
        <v>14.290000000000001</v>
      </c>
      <c r="CE166" s="18"/>
      <c r="CF166" s="18"/>
      <c r="CG166" s="18"/>
      <c r="CH166" s="18"/>
      <c r="CI166" s="18"/>
      <c r="CJ166" s="18"/>
      <c r="CK166" s="18"/>
      <c r="CL166" s="18"/>
      <c r="CM166" s="18"/>
      <c r="CN166" s="18"/>
      <c r="CO166" s="18"/>
      <c r="CP166" s="18"/>
      <c r="CQ166" s="18"/>
      <c r="CR166" s="18"/>
      <c r="CS166" s="18"/>
      <c r="CT166" s="18"/>
      <c r="CU166" s="18"/>
      <c r="CV166" s="18"/>
      <c r="CW166" s="18"/>
      <c r="CX166" s="18"/>
      <c r="CY166" s="37"/>
      <c r="CZ166" s="38"/>
      <c r="DA166" s="18"/>
      <c r="DB166" s="37"/>
      <c r="DC166" s="38"/>
      <c r="DD166" s="18"/>
      <c r="DE166" s="37"/>
      <c r="DF166" s="38"/>
      <c r="DG166" s="18"/>
      <c r="DH166" s="37"/>
      <c r="DI166" s="38"/>
      <c r="DJ166" s="18"/>
      <c r="DK166" s="37"/>
      <c r="DL166" s="38"/>
      <c r="DM166" s="18"/>
      <c r="DN166" s="18"/>
      <c r="DO166" s="18"/>
      <c r="DP166" s="18"/>
      <c r="DQ166" s="18"/>
      <c r="DR166" s="18"/>
      <c r="DS166" s="18"/>
      <c r="DT166" s="18"/>
      <c r="DU166" s="18"/>
      <c r="DV166" s="18"/>
      <c r="DW166" s="18"/>
      <c r="DX166" s="18"/>
      <c r="DY166" s="18"/>
      <c r="DZ166" s="18"/>
    </row>
    <row r="167" spans="1:130" ht="15" customHeight="1" x14ac:dyDescent="0.3">
      <c r="A167" s="30" t="s">
        <v>177</v>
      </c>
      <c r="B167" s="90" t="s">
        <v>453</v>
      </c>
      <c r="C167" s="91">
        <v>2018</v>
      </c>
      <c r="D167" s="91">
        <v>2572</v>
      </c>
      <c r="E167" s="91">
        <v>189</v>
      </c>
      <c r="F167" s="91">
        <v>3499</v>
      </c>
      <c r="G167" s="91">
        <v>2780</v>
      </c>
      <c r="H167" s="91">
        <v>2829</v>
      </c>
      <c r="I167" s="91">
        <v>3849</v>
      </c>
      <c r="J167" s="91">
        <v>3416</v>
      </c>
      <c r="K167" s="91">
        <v>3129</v>
      </c>
      <c r="L167" s="91">
        <v>2521</v>
      </c>
      <c r="M167" s="92">
        <v>2639</v>
      </c>
      <c r="N167" s="227"/>
      <c r="O167" s="17"/>
      <c r="P167" s="17"/>
      <c r="Q167" s="17"/>
      <c r="R167" s="17"/>
      <c r="S167" s="17"/>
      <c r="T167" s="17"/>
      <c r="U167" s="18"/>
      <c r="V167" s="18"/>
      <c r="W167" s="18"/>
      <c r="X167" s="18"/>
      <c r="Y167" s="18"/>
      <c r="Z167" s="18"/>
      <c r="AA167" s="18"/>
      <c r="AB167" s="18"/>
      <c r="AC167" s="18"/>
      <c r="AD167" s="18"/>
      <c r="AE167" s="18" t="str">
        <f t="shared" si="63"/>
        <v>Cash From Operations</v>
      </c>
      <c r="AF167" s="85">
        <f t="shared" si="64"/>
        <v>0</v>
      </c>
      <c r="AG167" s="85">
        <f t="shared" si="65"/>
        <v>0</v>
      </c>
      <c r="AH167" s="85">
        <f t="shared" si="66"/>
        <v>0</v>
      </c>
      <c r="AI167" s="85">
        <f t="shared" si="67"/>
        <v>0</v>
      </c>
      <c r="AJ167" s="85">
        <f t="shared" si="68"/>
        <v>0</v>
      </c>
      <c r="AK167" s="85">
        <f t="shared" si="69"/>
        <v>0</v>
      </c>
      <c r="AL167" s="85">
        <f t="shared" si="70"/>
        <v>0</v>
      </c>
      <c r="AM167" s="85">
        <f t="shared" si="71"/>
        <v>0</v>
      </c>
      <c r="AN167" s="18"/>
      <c r="AO167" s="18"/>
      <c r="AP167" s="102" t="s">
        <v>453</v>
      </c>
      <c r="AQ167" s="86">
        <f>_xll.BDH($B$10,"CF_CASH_FROM_OPER","-10FY","","Per=fy","Days=W","Fill=E","Curr=","DtFmt=P","Sort=D","Dts=H","Dir=H","FILING_STATUS,EQY_CONSOLIDATED","MR,","cols=11;rows=1")</f>
        <v>2018</v>
      </c>
      <c r="AR167" s="86">
        <v>2572</v>
      </c>
      <c r="AS167" s="86">
        <v>189</v>
      </c>
      <c r="AT167" s="86">
        <v>3499</v>
      </c>
      <c r="AU167" s="86">
        <v>2780</v>
      </c>
      <c r="AV167" s="86">
        <v>2829</v>
      </c>
      <c r="AW167" s="86">
        <v>3849</v>
      </c>
      <c r="AX167" s="86">
        <v>3416</v>
      </c>
      <c r="AY167" s="86">
        <v>3129</v>
      </c>
      <c r="AZ167" s="86">
        <v>2521</v>
      </c>
      <c r="BA167" s="87">
        <v>2639</v>
      </c>
      <c r="BB167" s="18"/>
      <c r="BC167" s="18"/>
      <c r="BD167" s="18"/>
      <c r="BE167" s="18"/>
      <c r="BF167" s="18"/>
      <c r="BG167" s="18"/>
      <c r="BH167" s="18"/>
      <c r="BI167" s="18"/>
      <c r="BJ167" s="18"/>
      <c r="BK167" s="18"/>
      <c r="BL167" s="18"/>
      <c r="BM167" s="18"/>
      <c r="BN167" s="18"/>
      <c r="BO167" s="18"/>
      <c r="BP167" s="18"/>
      <c r="BQ167" s="37"/>
      <c r="BR167" s="38"/>
      <c r="BS167" s="17"/>
      <c r="BT167" s="37"/>
      <c r="BU167" s="38"/>
      <c r="BV167" s="18"/>
      <c r="BW167" s="37"/>
      <c r="BX167" s="38"/>
      <c r="BY167" s="18"/>
      <c r="BZ167" s="39" t="str">
        <f t="shared" si="58"/>
        <v>-</v>
      </c>
      <c r="CA167" s="40" t="str">
        <f t="shared" si="59"/>
        <v>-</v>
      </c>
      <c r="CB167" s="17"/>
      <c r="CC167" s="39" t="str">
        <f t="shared" si="60"/>
        <v>-</v>
      </c>
      <c r="CD167" s="40" t="str">
        <f t="shared" si="61"/>
        <v>-</v>
      </c>
      <c r="CE167" s="18"/>
      <c r="CF167" s="18"/>
      <c r="CG167" s="18"/>
      <c r="CH167" s="18"/>
      <c r="CI167" s="18"/>
      <c r="CJ167" s="18"/>
      <c r="CK167" s="18"/>
      <c r="CL167" s="18"/>
      <c r="CM167" s="18"/>
      <c r="CN167" s="18"/>
      <c r="CO167" s="18"/>
      <c r="CP167" s="18"/>
      <c r="CQ167" s="18"/>
      <c r="CR167" s="18"/>
      <c r="CS167" s="18"/>
      <c r="CT167" s="18"/>
      <c r="CU167" s="18"/>
      <c r="CV167" s="18"/>
      <c r="CW167" s="18"/>
      <c r="CX167" s="18"/>
      <c r="CY167" s="37"/>
      <c r="CZ167" s="38"/>
      <c r="DA167" s="18"/>
      <c r="DB167" s="37"/>
      <c r="DC167" s="38"/>
      <c r="DD167" s="18"/>
      <c r="DE167" s="37"/>
      <c r="DF167" s="38"/>
      <c r="DG167" s="18"/>
      <c r="DH167" s="37"/>
      <c r="DI167" s="38"/>
      <c r="DJ167" s="18"/>
      <c r="DK167" s="37"/>
      <c r="DL167" s="38"/>
      <c r="DM167" s="18"/>
      <c r="DN167" s="18"/>
      <c r="DO167" s="18"/>
      <c r="DP167" s="18"/>
      <c r="DQ167" s="18"/>
      <c r="DR167" s="18"/>
      <c r="DS167" s="18"/>
      <c r="DT167" s="18"/>
      <c r="DU167" s="18"/>
      <c r="DV167" s="18"/>
      <c r="DW167" s="18"/>
      <c r="DX167" s="18"/>
      <c r="DY167" s="18"/>
      <c r="DZ167" s="18"/>
    </row>
    <row r="168" spans="1:130" ht="15" customHeight="1" x14ac:dyDescent="0.3">
      <c r="A168" s="30" t="s">
        <v>393</v>
      </c>
      <c r="B168" s="90" t="s">
        <v>247</v>
      </c>
      <c r="C168" s="91">
        <v>35</v>
      </c>
      <c r="D168" s="91">
        <v>36</v>
      </c>
      <c r="E168" s="91">
        <v>38</v>
      </c>
      <c r="F168" s="91">
        <v>193</v>
      </c>
      <c r="G168" s="91">
        <v>44</v>
      </c>
      <c r="H168" s="91">
        <v>338</v>
      </c>
      <c r="I168" s="91">
        <v>60</v>
      </c>
      <c r="J168" s="91">
        <v>68</v>
      </c>
      <c r="K168" s="91">
        <v>80</v>
      </c>
      <c r="L168" s="91">
        <v>15</v>
      </c>
      <c r="M168" s="92">
        <v>52</v>
      </c>
      <c r="N168" s="227"/>
      <c r="O168" s="17"/>
      <c r="P168" s="17"/>
      <c r="Q168" s="17"/>
      <c r="R168" s="17"/>
      <c r="S168" s="17"/>
      <c r="T168" s="17"/>
      <c r="U168" s="18"/>
      <c r="V168" s="18"/>
      <c r="W168" s="18"/>
      <c r="X168" s="18"/>
      <c r="Y168" s="18"/>
      <c r="Z168" s="18"/>
      <c r="AA168" s="18"/>
      <c r="AB168" s="18"/>
      <c r="AC168" s="18"/>
      <c r="AD168" s="18"/>
      <c r="AE168" s="18" t="str">
        <f t="shared" si="63"/>
        <v>Disposal of Fixed Assets</v>
      </c>
      <c r="AF168" s="85">
        <f t="shared" si="64"/>
        <v>0</v>
      </c>
      <c r="AG168" s="85">
        <f t="shared" si="65"/>
        <v>0</v>
      </c>
      <c r="AH168" s="85">
        <f t="shared" si="66"/>
        <v>0</v>
      </c>
      <c r="AI168" s="85">
        <f t="shared" si="67"/>
        <v>0</v>
      </c>
      <c r="AJ168" s="85">
        <f t="shared" si="68"/>
        <v>0</v>
      </c>
      <c r="AK168" s="85">
        <f t="shared" si="69"/>
        <v>0</v>
      </c>
      <c r="AL168" s="85">
        <f t="shared" si="70"/>
        <v>0</v>
      </c>
      <c r="AM168" s="85">
        <f t="shared" si="71"/>
        <v>0</v>
      </c>
      <c r="AN168" s="18"/>
      <c r="AO168" s="18"/>
      <c r="AP168" s="77" t="s">
        <v>247</v>
      </c>
      <c r="AQ168" s="18">
        <f>_xll.BDH($B$10,"CF_DISP_FIX_ASSET","-10FY","","Per=fy","Days=W","Fill=E","Curr=","DtFmt=P","Sort=D","Dts=H","Dir=H","FILING_STATUS,EQY_CONSOLIDATED","MR,","cols=11;rows=1")</f>
        <v>35</v>
      </c>
      <c r="AR168" s="18">
        <v>36</v>
      </c>
      <c r="AS168" s="18">
        <v>38</v>
      </c>
      <c r="AT168" s="18">
        <v>193</v>
      </c>
      <c r="AU168" s="18">
        <v>44</v>
      </c>
      <c r="AV168" s="18">
        <v>338</v>
      </c>
      <c r="AW168" s="18">
        <v>60</v>
      </c>
      <c r="AX168" s="18">
        <v>68</v>
      </c>
      <c r="AY168" s="18">
        <v>80</v>
      </c>
      <c r="AZ168" s="18">
        <v>15</v>
      </c>
      <c r="BA168" s="78">
        <v>52</v>
      </c>
      <c r="BB168" s="18"/>
      <c r="BC168" s="18"/>
      <c r="BD168" s="18"/>
      <c r="BE168" s="18"/>
      <c r="BF168" s="18"/>
      <c r="BG168" s="18"/>
      <c r="BH168" s="18"/>
      <c r="BI168" s="18"/>
      <c r="BJ168" s="18"/>
      <c r="BK168" s="18"/>
      <c r="BL168" s="18"/>
      <c r="BM168" s="18"/>
      <c r="BN168" s="18"/>
      <c r="BO168" s="18"/>
      <c r="BP168" s="18"/>
      <c r="BQ168" s="37"/>
      <c r="BR168" s="38"/>
      <c r="BS168" s="17"/>
      <c r="BT168" s="37"/>
      <c r="BU168" s="38"/>
      <c r="BV168" s="18"/>
      <c r="BW168" s="37"/>
      <c r="BX168" s="38"/>
      <c r="BY168" s="18"/>
      <c r="BZ168" s="39" t="str">
        <f t="shared" si="58"/>
        <v>-</v>
      </c>
      <c r="CA168" s="40" t="str">
        <f t="shared" si="59"/>
        <v>-</v>
      </c>
      <c r="CB168" s="17"/>
      <c r="CC168" s="39" t="str">
        <f t="shared" si="60"/>
        <v>-</v>
      </c>
      <c r="CD168" s="40" t="str">
        <f t="shared" si="61"/>
        <v>-</v>
      </c>
      <c r="CE168" s="18"/>
      <c r="CF168" s="18"/>
      <c r="CG168" s="18"/>
      <c r="CH168" s="18"/>
      <c r="CI168" s="18"/>
      <c r="CJ168" s="18"/>
      <c r="CK168" s="18"/>
      <c r="CL168" s="18"/>
      <c r="CM168" s="18"/>
      <c r="CN168" s="18"/>
      <c r="CO168" s="18"/>
      <c r="CP168" s="18"/>
      <c r="CQ168" s="18"/>
      <c r="CR168" s="18"/>
      <c r="CS168" s="18"/>
      <c r="CT168" s="18"/>
      <c r="CU168" s="18"/>
      <c r="CV168" s="18"/>
      <c r="CW168" s="18"/>
      <c r="CX168" s="18"/>
      <c r="CY168" s="37"/>
      <c r="CZ168" s="38"/>
      <c r="DA168" s="18"/>
      <c r="DB168" s="37"/>
      <c r="DC168" s="38"/>
      <c r="DD168" s="18"/>
      <c r="DE168" s="37"/>
      <c r="DF168" s="38"/>
      <c r="DG168" s="18"/>
      <c r="DH168" s="37"/>
      <c r="DI168" s="38"/>
      <c r="DJ168" s="18"/>
      <c r="DK168" s="37"/>
      <c r="DL168" s="38"/>
      <c r="DM168" s="18"/>
      <c r="DN168" s="18"/>
      <c r="DO168" s="18"/>
      <c r="DP168" s="18"/>
      <c r="DQ168" s="18"/>
      <c r="DR168" s="18"/>
      <c r="DS168" s="18"/>
      <c r="DT168" s="18"/>
      <c r="DU168" s="18"/>
      <c r="DV168" s="18"/>
      <c r="DW168" s="18"/>
      <c r="DX168" s="18"/>
      <c r="DY168" s="18"/>
      <c r="DZ168" s="18"/>
    </row>
    <row r="169" spans="1:130" ht="15" customHeight="1" x14ac:dyDescent="0.3">
      <c r="A169" s="30" t="s">
        <v>181</v>
      </c>
      <c r="B169" s="73" t="s">
        <v>54</v>
      </c>
      <c r="C169" s="74">
        <v>-1382</v>
      </c>
      <c r="D169" s="74">
        <v>-1132</v>
      </c>
      <c r="E169" s="74">
        <v>-961</v>
      </c>
      <c r="F169" s="74">
        <v>-1378</v>
      </c>
      <c r="G169" s="74">
        <v>-1512</v>
      </c>
      <c r="H169" s="74">
        <v>-2419</v>
      </c>
      <c r="I169" s="74">
        <v>-2789</v>
      </c>
      <c r="J169" s="74">
        <v>-2641</v>
      </c>
      <c r="K169" s="74">
        <v>-1902</v>
      </c>
      <c r="L169" s="74">
        <v>-1350</v>
      </c>
      <c r="M169" s="75">
        <v>-1365</v>
      </c>
      <c r="N169" s="227"/>
      <c r="O169" s="17"/>
      <c r="P169" s="17"/>
      <c r="Q169" s="17"/>
      <c r="R169" s="17"/>
      <c r="S169" s="17"/>
      <c r="T169" s="17"/>
      <c r="U169" s="18"/>
      <c r="V169" s="18"/>
      <c r="W169" s="18"/>
      <c r="X169" s="18"/>
      <c r="Y169" s="18"/>
      <c r="Z169" s="18"/>
      <c r="AA169" s="18"/>
      <c r="AB169" s="18"/>
      <c r="AC169" s="18"/>
      <c r="AD169" s="18"/>
      <c r="AE169" s="18" t="str">
        <f t="shared" si="63"/>
        <v>Cash Flow : Grassroots Expansion of Capital Assets</v>
      </c>
      <c r="AF169" s="85">
        <f t="shared" si="64"/>
        <v>0</v>
      </c>
      <c r="AG169" s="85">
        <f t="shared" si="65"/>
        <v>0</v>
      </c>
      <c r="AH169" s="85">
        <f t="shared" si="66"/>
        <v>0</v>
      </c>
      <c r="AI169" s="85">
        <f t="shared" si="67"/>
        <v>0</v>
      </c>
      <c r="AJ169" s="85">
        <f t="shared" si="68"/>
        <v>0</v>
      </c>
      <c r="AK169" s="85">
        <f t="shared" si="69"/>
        <v>0</v>
      </c>
      <c r="AL169" s="85">
        <f t="shared" si="70"/>
        <v>0</v>
      </c>
      <c r="AM169" s="85">
        <f t="shared" si="71"/>
        <v>0</v>
      </c>
      <c r="AN169" s="18"/>
      <c r="AO169" s="18"/>
      <c r="AP169" s="77" t="s">
        <v>454</v>
      </c>
      <c r="AQ169" s="18">
        <f>_xll.BDH($B$10,"CF_CAP_EXPEND_PRPTY_ADD","-10FY","","Per=fy","Days=W","Fill=E","Curr=","DtFmt=P","Sort=D","Dts=H","Dir=H","FILING_STATUS,EQY_CONSOLIDATED","MR,","cols=11;rows=1")</f>
        <v>-1382</v>
      </c>
      <c r="AR169" s="18">
        <v>-1132</v>
      </c>
      <c r="AS169" s="18">
        <v>-961</v>
      </c>
      <c r="AT169" s="18">
        <v>-1378</v>
      </c>
      <c r="AU169" s="18">
        <v>-1512</v>
      </c>
      <c r="AV169" s="18">
        <v>-2419</v>
      </c>
      <c r="AW169" s="18">
        <v>-2789</v>
      </c>
      <c r="AX169" s="18">
        <v>-2641</v>
      </c>
      <c r="AY169" s="18">
        <v>-1902</v>
      </c>
      <c r="AZ169" s="18">
        <v>-1350</v>
      </c>
      <c r="BA169" s="78">
        <v>-1365</v>
      </c>
      <c r="BB169" s="18"/>
      <c r="BC169" s="18"/>
      <c r="BD169" s="18"/>
      <c r="BE169" s="18"/>
      <c r="BF169" s="18"/>
      <c r="BG169" s="18"/>
      <c r="BH169" s="18"/>
      <c r="BI169" s="18"/>
      <c r="BJ169" s="18"/>
      <c r="BK169" s="18"/>
      <c r="BL169" s="18"/>
      <c r="BM169" s="18"/>
      <c r="BN169" s="18"/>
      <c r="BO169" s="18"/>
      <c r="BP169" s="18"/>
      <c r="BQ169" s="37"/>
      <c r="BR169" s="38"/>
      <c r="BS169" s="17"/>
      <c r="BT169" s="37"/>
      <c r="BU169" s="38"/>
      <c r="BV169" s="18"/>
      <c r="BW169" s="37"/>
      <c r="BX169" s="38"/>
      <c r="BY169" s="18"/>
      <c r="BZ169" s="39" t="str">
        <f t="shared" si="58"/>
        <v>-</v>
      </c>
      <c r="CA169" s="40" t="str">
        <f t="shared" si="59"/>
        <v>-</v>
      </c>
      <c r="CB169" s="17"/>
      <c r="CC169" s="39" t="str">
        <f t="shared" si="60"/>
        <v>-</v>
      </c>
      <c r="CD169" s="40" t="str">
        <f t="shared" si="61"/>
        <v>-</v>
      </c>
      <c r="CE169" s="18"/>
      <c r="CF169" s="18"/>
      <c r="CG169" s="18"/>
      <c r="CH169" s="18"/>
      <c r="CI169" s="18"/>
      <c r="CJ169" s="18"/>
      <c r="CK169" s="18"/>
      <c r="CL169" s="18"/>
      <c r="CM169" s="18"/>
      <c r="CN169" s="18"/>
      <c r="CO169" s="18"/>
      <c r="CP169" s="18"/>
      <c r="CQ169" s="18"/>
      <c r="CR169" s="18"/>
      <c r="CS169" s="18"/>
      <c r="CT169" s="18"/>
      <c r="CU169" s="18"/>
      <c r="CV169" s="18"/>
      <c r="CW169" s="18"/>
      <c r="CX169" s="18"/>
      <c r="CY169" s="37"/>
      <c r="CZ169" s="38"/>
      <c r="DA169" s="18"/>
      <c r="DB169" s="37"/>
      <c r="DC169" s="38"/>
      <c r="DD169" s="18"/>
      <c r="DE169" s="37"/>
      <c r="DF169" s="38"/>
      <c r="DG169" s="18"/>
      <c r="DH169" s="37"/>
      <c r="DI169" s="38"/>
      <c r="DJ169" s="18"/>
      <c r="DK169" s="37"/>
      <c r="DL169" s="38"/>
      <c r="DM169" s="18"/>
      <c r="DN169" s="18"/>
      <c r="DO169" s="18"/>
      <c r="DP169" s="18"/>
      <c r="DQ169" s="18"/>
      <c r="DR169" s="18"/>
      <c r="DS169" s="18"/>
      <c r="DT169" s="18"/>
      <c r="DU169" s="18"/>
      <c r="DV169" s="18"/>
      <c r="DW169" s="18"/>
      <c r="DX169" s="18"/>
      <c r="DY169" s="18"/>
      <c r="DZ169" s="18"/>
    </row>
    <row r="170" spans="1:130" ht="15" customHeight="1" x14ac:dyDescent="0.3">
      <c r="A170" s="30" t="s">
        <v>394</v>
      </c>
      <c r="B170" s="73" t="s">
        <v>248</v>
      </c>
      <c r="C170" s="74" t="s">
        <v>615</v>
      </c>
      <c r="D170" s="74" t="s">
        <v>615</v>
      </c>
      <c r="E170" s="74" t="s">
        <v>615</v>
      </c>
      <c r="F170" s="74" t="s">
        <v>615</v>
      </c>
      <c r="G170" s="74" t="s">
        <v>615</v>
      </c>
      <c r="H170" s="74" t="s">
        <v>615</v>
      </c>
      <c r="I170" s="74" t="s">
        <v>615</v>
      </c>
      <c r="J170" s="74" t="s">
        <v>615</v>
      </c>
      <c r="K170" s="74" t="s">
        <v>615</v>
      </c>
      <c r="L170" s="74" t="s">
        <v>615</v>
      </c>
      <c r="M170" s="75" t="s">
        <v>615</v>
      </c>
      <c r="N170" s="227"/>
      <c r="O170" s="17"/>
      <c r="P170" s="17"/>
      <c r="Q170" s="17"/>
      <c r="R170" s="17"/>
      <c r="S170" s="17"/>
      <c r="T170" s="17"/>
      <c r="U170" s="18"/>
      <c r="V170" s="18"/>
      <c r="W170" s="18"/>
      <c r="X170" s="18"/>
      <c r="Y170" s="18"/>
      <c r="Z170" s="18"/>
      <c r="AA170" s="18"/>
      <c r="AB170" s="18"/>
      <c r="AC170" s="18"/>
      <c r="AD170" s="18"/>
      <c r="AE170" s="18" t="str">
        <f t="shared" si="63"/>
        <v>Increase in Investments</v>
      </c>
      <c r="AF170" s="85" t="e">
        <f t="shared" si="64"/>
        <v>#VALUE!</v>
      </c>
      <c r="AG170" s="85" t="e">
        <f t="shared" si="65"/>
        <v>#VALUE!</v>
      </c>
      <c r="AH170" s="85" t="e">
        <f t="shared" si="66"/>
        <v>#VALUE!</v>
      </c>
      <c r="AI170" s="85" t="e">
        <f t="shared" si="67"/>
        <v>#VALUE!</v>
      </c>
      <c r="AJ170" s="85" t="e">
        <f t="shared" si="68"/>
        <v>#VALUE!</v>
      </c>
      <c r="AK170" s="85" t="e">
        <f t="shared" si="69"/>
        <v>#VALUE!</v>
      </c>
      <c r="AL170" s="85" t="e">
        <f t="shared" si="70"/>
        <v>#VALUE!</v>
      </c>
      <c r="AM170" s="85" t="e">
        <f t="shared" si="71"/>
        <v>#VALUE!</v>
      </c>
      <c r="AN170" s="18"/>
      <c r="AO170" s="18"/>
      <c r="AP170" s="77" t="s">
        <v>248</v>
      </c>
      <c r="AQ170" s="18">
        <f>_xll.BDH($B$10,"CF_INCR_INVEST","-10FY","","Per=fy","Days=W","Fill=E","Curr=","DtFmt=P","Sort=D","Dts=H","Dir=H","FILING_STATUS,EQY_CONSOLIDATED","MR,","cols=11;rows=1")</f>
        <v>0</v>
      </c>
      <c r="AR170" s="18">
        <v>0</v>
      </c>
      <c r="AS170" s="18">
        <v>0</v>
      </c>
      <c r="AT170" s="18">
        <v>0</v>
      </c>
      <c r="AU170" s="18">
        <v>0</v>
      </c>
      <c r="AV170" s="18">
        <v>0</v>
      </c>
      <c r="AW170" s="18">
        <v>0</v>
      </c>
      <c r="AX170" s="18">
        <v>0</v>
      </c>
      <c r="AY170" s="18">
        <v>0</v>
      </c>
      <c r="AZ170" s="18">
        <v>0</v>
      </c>
      <c r="BA170" s="78">
        <v>0</v>
      </c>
      <c r="BB170" s="18"/>
      <c r="BC170" s="18"/>
      <c r="BD170" s="18"/>
      <c r="BE170" s="18"/>
      <c r="BF170" s="18"/>
      <c r="BG170" s="18"/>
      <c r="BH170" s="18"/>
      <c r="BI170" s="18"/>
      <c r="BJ170" s="18"/>
      <c r="BK170" s="18"/>
      <c r="BL170" s="18"/>
      <c r="BM170" s="18"/>
      <c r="BN170" s="18"/>
      <c r="BO170" s="18"/>
      <c r="BP170" s="18"/>
      <c r="BQ170" s="37"/>
      <c r="BR170" s="38"/>
      <c r="BS170" s="17"/>
      <c r="BT170" s="37"/>
      <c r="BU170" s="38"/>
      <c r="BV170" s="18"/>
      <c r="BW170" s="37"/>
      <c r="BX170" s="38"/>
      <c r="BY170" s="18"/>
      <c r="BZ170" s="39" t="str">
        <f t="shared" si="58"/>
        <v>-</v>
      </c>
      <c r="CA170" s="40" t="str">
        <f t="shared" si="59"/>
        <v>-</v>
      </c>
      <c r="CB170" s="17"/>
      <c r="CC170" s="39" t="str">
        <f t="shared" si="60"/>
        <v>-</v>
      </c>
      <c r="CD170" s="40" t="str">
        <f t="shared" si="61"/>
        <v>-</v>
      </c>
      <c r="CE170" s="18"/>
      <c r="CF170" s="18"/>
      <c r="CG170" s="18"/>
      <c r="CH170" s="18"/>
      <c r="CI170" s="18"/>
      <c r="CJ170" s="18"/>
      <c r="CK170" s="18"/>
      <c r="CL170" s="18"/>
      <c r="CM170" s="18"/>
      <c r="CN170" s="18"/>
      <c r="CO170" s="18"/>
      <c r="CP170" s="18"/>
      <c r="CQ170" s="18"/>
      <c r="CR170" s="18"/>
      <c r="CS170" s="18"/>
      <c r="CT170" s="18"/>
      <c r="CU170" s="18"/>
      <c r="CV170" s="18"/>
      <c r="CW170" s="18"/>
      <c r="CX170" s="18"/>
      <c r="CY170" s="37"/>
      <c r="CZ170" s="38"/>
      <c r="DA170" s="18"/>
      <c r="DB170" s="37"/>
      <c r="DC170" s="38"/>
      <c r="DD170" s="18"/>
      <c r="DE170" s="37"/>
      <c r="DF170" s="38"/>
      <c r="DG170" s="18"/>
      <c r="DH170" s="37"/>
      <c r="DI170" s="38"/>
      <c r="DJ170" s="18"/>
      <c r="DK170" s="37"/>
      <c r="DL170" s="38"/>
      <c r="DM170" s="18"/>
      <c r="DN170" s="18"/>
      <c r="DO170" s="18"/>
      <c r="DP170" s="18"/>
      <c r="DQ170" s="18"/>
      <c r="DR170" s="18"/>
      <c r="DS170" s="18"/>
      <c r="DT170" s="18"/>
      <c r="DU170" s="18"/>
      <c r="DV170" s="18"/>
      <c r="DW170" s="18"/>
      <c r="DX170" s="18"/>
      <c r="DY170" s="18"/>
      <c r="DZ170" s="18"/>
    </row>
    <row r="171" spans="1:130" ht="15" customHeight="1" x14ac:dyDescent="0.3">
      <c r="A171" s="30" t="s">
        <v>395</v>
      </c>
      <c r="B171" s="73" t="s">
        <v>249</v>
      </c>
      <c r="C171" s="74" t="s">
        <v>615</v>
      </c>
      <c r="D171" s="74" t="s">
        <v>615</v>
      </c>
      <c r="E171" s="74" t="s">
        <v>615</v>
      </c>
      <c r="F171" s="74" t="s">
        <v>615</v>
      </c>
      <c r="G171" s="74" t="s">
        <v>615</v>
      </c>
      <c r="H171" s="74" t="s">
        <v>615</v>
      </c>
      <c r="I171" s="74" t="s">
        <v>615</v>
      </c>
      <c r="J171" s="74" t="s">
        <v>615</v>
      </c>
      <c r="K171" s="74" t="s">
        <v>615</v>
      </c>
      <c r="L171" s="74">
        <v>5</v>
      </c>
      <c r="M171" s="75" t="s">
        <v>615</v>
      </c>
      <c r="N171" s="227"/>
      <c r="O171" s="17"/>
      <c r="P171" s="17"/>
      <c r="Q171" s="17"/>
      <c r="R171" s="17"/>
      <c r="S171" s="17"/>
      <c r="T171" s="17"/>
      <c r="U171" s="18"/>
      <c r="V171" s="18"/>
      <c r="W171" s="18"/>
      <c r="X171" s="18"/>
      <c r="Y171" s="18"/>
      <c r="Z171" s="18"/>
      <c r="AA171" s="18"/>
      <c r="AB171" s="18"/>
      <c r="AC171" s="18"/>
      <c r="AD171" s="18"/>
      <c r="AE171" s="18" t="str">
        <f t="shared" si="63"/>
        <v>Decrease in Investments</v>
      </c>
      <c r="AF171" s="85" t="e">
        <f t="shared" si="64"/>
        <v>#VALUE!</v>
      </c>
      <c r="AG171" s="85" t="e">
        <f t="shared" si="65"/>
        <v>#VALUE!</v>
      </c>
      <c r="AH171" s="85" t="e">
        <f t="shared" si="66"/>
        <v>#VALUE!</v>
      </c>
      <c r="AI171" s="85" t="e">
        <f t="shared" si="67"/>
        <v>#VALUE!</v>
      </c>
      <c r="AJ171" s="85" t="e">
        <f t="shared" si="68"/>
        <v>#VALUE!</v>
      </c>
      <c r="AK171" s="85" t="e">
        <f t="shared" si="69"/>
        <v>#VALUE!</v>
      </c>
      <c r="AL171" s="85" t="e">
        <f t="shared" si="70"/>
        <v>#VALUE!</v>
      </c>
      <c r="AM171" s="85" t="e">
        <f t="shared" si="71"/>
        <v>#VALUE!</v>
      </c>
      <c r="AN171" s="18"/>
      <c r="AO171" s="18"/>
      <c r="AP171" s="77" t="s">
        <v>249</v>
      </c>
      <c r="AQ171" s="18">
        <f>_xll.BDH($B$10,"CF_DECR_INVEST","-10FY","","Per=fy","Days=W","Fill=E","Curr=","DtFmt=P","Sort=D","Dts=H","Dir=H","FILING_STATUS,EQY_CONSOLIDATED","MR,","cols=11;rows=1")</f>
        <v>0</v>
      </c>
      <c r="AR171" s="18">
        <v>0</v>
      </c>
      <c r="AS171" s="18">
        <v>0</v>
      </c>
      <c r="AT171" s="18">
        <v>0</v>
      </c>
      <c r="AU171" s="18">
        <v>0</v>
      </c>
      <c r="AV171" s="18">
        <v>0</v>
      </c>
      <c r="AW171" s="18">
        <v>0</v>
      </c>
      <c r="AX171" s="18">
        <v>0</v>
      </c>
      <c r="AY171" s="18">
        <v>0</v>
      </c>
      <c r="AZ171" s="18">
        <v>5</v>
      </c>
      <c r="BA171" s="78">
        <v>0</v>
      </c>
      <c r="BB171" s="18"/>
      <c r="BC171" s="18"/>
      <c r="BD171" s="18"/>
      <c r="BE171" s="18"/>
      <c r="BF171" s="18"/>
      <c r="BG171" s="18"/>
      <c r="BH171" s="18"/>
      <c r="BI171" s="18"/>
      <c r="BJ171" s="18"/>
      <c r="BK171" s="18"/>
      <c r="BL171" s="18"/>
      <c r="BM171" s="18"/>
      <c r="BN171" s="18"/>
      <c r="BO171" s="18"/>
      <c r="BP171" s="18"/>
      <c r="BQ171" s="37"/>
      <c r="BR171" s="38"/>
      <c r="BS171" s="17"/>
      <c r="BT171" s="37"/>
      <c r="BU171" s="38"/>
      <c r="BV171" s="18"/>
      <c r="BW171" s="37"/>
      <c r="BX171" s="38"/>
      <c r="BY171" s="18"/>
      <c r="BZ171" s="39" t="str">
        <f t="shared" si="58"/>
        <v>-</v>
      </c>
      <c r="CA171" s="40" t="str">
        <f t="shared" si="59"/>
        <v>-</v>
      </c>
      <c r="CB171" s="17"/>
      <c r="CC171" s="39" t="str">
        <f t="shared" si="60"/>
        <v>-</v>
      </c>
      <c r="CD171" s="40" t="str">
        <f t="shared" si="61"/>
        <v>-</v>
      </c>
      <c r="CE171" s="18"/>
      <c r="CF171" s="18"/>
      <c r="CG171" s="18"/>
      <c r="CH171" s="18"/>
      <c r="CI171" s="18"/>
      <c r="CJ171" s="18"/>
      <c r="CK171" s="18"/>
      <c r="CL171" s="18"/>
      <c r="CM171" s="18"/>
      <c r="CN171" s="18"/>
      <c r="CO171" s="18"/>
      <c r="CP171" s="18"/>
      <c r="CQ171" s="18"/>
      <c r="CR171" s="18"/>
      <c r="CS171" s="18"/>
      <c r="CT171" s="18"/>
      <c r="CU171" s="18"/>
      <c r="CV171" s="18"/>
      <c r="CW171" s="18"/>
      <c r="CX171" s="18"/>
      <c r="CY171" s="37"/>
      <c r="CZ171" s="38"/>
      <c r="DA171" s="18"/>
      <c r="DB171" s="37"/>
      <c r="DC171" s="38"/>
      <c r="DD171" s="18"/>
      <c r="DE171" s="37"/>
      <c r="DF171" s="38"/>
      <c r="DG171" s="18"/>
      <c r="DH171" s="37"/>
      <c r="DI171" s="38"/>
      <c r="DJ171" s="18"/>
      <c r="DK171" s="37"/>
      <c r="DL171" s="38"/>
      <c r="DM171" s="18"/>
      <c r="DN171" s="18"/>
      <c r="DO171" s="18"/>
      <c r="DP171" s="18"/>
      <c r="DQ171" s="18"/>
      <c r="DR171" s="18"/>
      <c r="DS171" s="18"/>
      <c r="DT171" s="18"/>
      <c r="DU171" s="18"/>
      <c r="DV171" s="18"/>
      <c r="DW171" s="18"/>
      <c r="DX171" s="18"/>
      <c r="DY171" s="18"/>
      <c r="DZ171" s="18"/>
    </row>
    <row r="172" spans="1:130" ht="15" customHeight="1" x14ac:dyDescent="0.3">
      <c r="A172" s="30" t="s">
        <v>396</v>
      </c>
      <c r="B172" s="73" t="s">
        <v>250</v>
      </c>
      <c r="C172" s="74">
        <v>-35</v>
      </c>
      <c r="D172" s="74">
        <v>-138</v>
      </c>
      <c r="E172" s="74">
        <v>736</v>
      </c>
      <c r="F172" s="74">
        <v>-120</v>
      </c>
      <c r="G172" s="74">
        <v>-2055</v>
      </c>
      <c r="H172" s="74">
        <v>-114</v>
      </c>
      <c r="I172" s="74">
        <v>21</v>
      </c>
      <c r="J172" s="74">
        <v>-238</v>
      </c>
      <c r="K172" s="74">
        <v>-119</v>
      </c>
      <c r="L172" s="74">
        <v>107</v>
      </c>
      <c r="M172" s="75">
        <v>-275</v>
      </c>
      <c r="N172" s="227"/>
      <c r="O172" s="17"/>
      <c r="P172" s="17"/>
      <c r="Q172" s="17"/>
      <c r="R172" s="17"/>
      <c r="S172" s="17"/>
      <c r="T172" s="17"/>
      <c r="U172" s="18"/>
      <c r="V172" s="18"/>
      <c r="W172" s="18"/>
      <c r="X172" s="18"/>
      <c r="Y172" s="18"/>
      <c r="Z172" s="18"/>
      <c r="AA172" s="18"/>
      <c r="AB172" s="18"/>
      <c r="AC172" s="18"/>
      <c r="AD172" s="18"/>
      <c r="AE172" s="18" t="str">
        <f t="shared" si="63"/>
        <v>Other Investing Activities</v>
      </c>
      <c r="AF172" s="85">
        <f t="shared" si="64"/>
        <v>0</v>
      </c>
      <c r="AG172" s="85">
        <f t="shared" si="65"/>
        <v>0</v>
      </c>
      <c r="AH172" s="85">
        <f t="shared" si="66"/>
        <v>0</v>
      </c>
      <c r="AI172" s="85">
        <f t="shared" si="67"/>
        <v>0</v>
      </c>
      <c r="AJ172" s="85">
        <f t="shared" si="68"/>
        <v>0</v>
      </c>
      <c r="AK172" s="85">
        <f t="shared" si="69"/>
        <v>0</v>
      </c>
      <c r="AL172" s="85">
        <f t="shared" si="70"/>
        <v>0</v>
      </c>
      <c r="AM172" s="85">
        <f t="shared" si="71"/>
        <v>0</v>
      </c>
      <c r="AN172" s="18"/>
      <c r="AO172" s="18"/>
      <c r="AP172" s="77" t="s">
        <v>250</v>
      </c>
      <c r="AQ172" s="86">
        <f>_xll.BDH($B$10,"CF_OTHER_INV_ACT","-10FY","","Per=fy","Days=W","Fill=E","Curr=","DtFmt=P","Sort=D","Dts=H","Dir=H","FILING_STATUS,EQY_CONSOLIDATED","MR,","cols=11;rows=1")</f>
        <v>-35</v>
      </c>
      <c r="AR172" s="86">
        <v>-138</v>
      </c>
      <c r="AS172" s="86">
        <v>736</v>
      </c>
      <c r="AT172" s="86">
        <v>-120</v>
      </c>
      <c r="AU172" s="86">
        <v>-2055</v>
      </c>
      <c r="AV172" s="86">
        <v>-114</v>
      </c>
      <c r="AW172" s="86">
        <v>21</v>
      </c>
      <c r="AX172" s="86">
        <v>-238</v>
      </c>
      <c r="AY172" s="86">
        <v>-119</v>
      </c>
      <c r="AZ172" s="86">
        <v>107</v>
      </c>
      <c r="BA172" s="87">
        <v>-275</v>
      </c>
      <c r="BB172" s="18"/>
      <c r="BC172" s="18"/>
      <c r="BD172" s="18"/>
      <c r="BE172" s="18"/>
      <c r="BF172" s="18"/>
      <c r="BG172" s="18"/>
      <c r="BH172" s="18"/>
      <c r="BI172" s="18"/>
      <c r="BJ172" s="18"/>
      <c r="BK172" s="18"/>
      <c r="BL172" s="18"/>
      <c r="BM172" s="18"/>
      <c r="BN172" s="18"/>
      <c r="BO172" s="18"/>
      <c r="BP172" s="18"/>
      <c r="BQ172" s="37"/>
      <c r="BR172" s="38"/>
      <c r="BS172" s="17"/>
      <c r="BT172" s="37"/>
      <c r="BU172" s="38"/>
      <c r="BV172" s="18"/>
      <c r="BW172" s="37"/>
      <c r="BX172" s="38"/>
      <c r="BY172" s="18"/>
      <c r="BZ172" s="39" t="str">
        <f t="shared" si="58"/>
        <v>-</v>
      </c>
      <c r="CA172" s="40" t="str">
        <f t="shared" si="59"/>
        <v>-</v>
      </c>
      <c r="CB172" s="17"/>
      <c r="CC172" s="39" t="str">
        <f t="shared" si="60"/>
        <v>-</v>
      </c>
      <c r="CD172" s="40" t="str">
        <f t="shared" si="61"/>
        <v>-</v>
      </c>
      <c r="CE172" s="18"/>
      <c r="CF172" s="18"/>
      <c r="CG172" s="18"/>
      <c r="CH172" s="18"/>
      <c r="CI172" s="18"/>
      <c r="CJ172" s="18"/>
      <c r="CK172" s="18"/>
      <c r="CL172" s="18"/>
      <c r="CM172" s="18"/>
      <c r="CN172" s="18"/>
      <c r="CO172" s="18"/>
      <c r="CP172" s="18"/>
      <c r="CQ172" s="18"/>
      <c r="CR172" s="18"/>
      <c r="CS172" s="18"/>
      <c r="CT172" s="18"/>
      <c r="CU172" s="18"/>
      <c r="CV172" s="18"/>
      <c r="CW172" s="18"/>
      <c r="CX172" s="18"/>
      <c r="CY172" s="37"/>
      <c r="CZ172" s="38"/>
      <c r="DA172" s="18"/>
      <c r="DB172" s="37"/>
      <c r="DC172" s="38"/>
      <c r="DD172" s="18"/>
      <c r="DE172" s="37"/>
      <c r="DF172" s="38"/>
      <c r="DG172" s="18"/>
      <c r="DH172" s="37"/>
      <c r="DI172" s="38"/>
      <c r="DJ172" s="18"/>
      <c r="DK172" s="37"/>
      <c r="DL172" s="38"/>
      <c r="DM172" s="18"/>
      <c r="DN172" s="18"/>
      <c r="DO172" s="18"/>
      <c r="DP172" s="18"/>
      <c r="DQ172" s="18"/>
      <c r="DR172" s="18"/>
      <c r="DS172" s="18"/>
      <c r="DT172" s="18"/>
      <c r="DU172" s="18"/>
      <c r="DV172" s="18"/>
      <c r="DW172" s="18"/>
      <c r="DX172" s="18"/>
      <c r="DY172" s="18"/>
      <c r="DZ172" s="18"/>
    </row>
    <row r="173" spans="1:130" ht="15" customHeight="1" x14ac:dyDescent="0.3">
      <c r="A173" s="30" t="s">
        <v>182</v>
      </c>
      <c r="B173" s="90" t="s">
        <v>455</v>
      </c>
      <c r="C173" s="91">
        <v>-1382</v>
      </c>
      <c r="D173" s="91">
        <v>-1234</v>
      </c>
      <c r="E173" s="91">
        <v>-187</v>
      </c>
      <c r="F173" s="91">
        <v>-1305</v>
      </c>
      <c r="G173" s="91">
        <v>-3523</v>
      </c>
      <c r="H173" s="91">
        <v>-2195</v>
      </c>
      <c r="I173" s="91">
        <v>-2708</v>
      </c>
      <c r="J173" s="91">
        <v>-2811</v>
      </c>
      <c r="K173" s="91">
        <v>-1941</v>
      </c>
      <c r="L173" s="91">
        <v>-1223</v>
      </c>
      <c r="M173" s="92">
        <v>-1588</v>
      </c>
      <c r="N173" s="227"/>
      <c r="O173" s="17"/>
      <c r="P173" s="17"/>
      <c r="Q173" s="17"/>
      <c r="R173" s="17"/>
      <c r="S173" s="17"/>
      <c r="T173" s="17"/>
      <c r="U173" s="18"/>
      <c r="V173" s="18"/>
      <c r="W173" s="18"/>
      <c r="X173" s="18"/>
      <c r="Y173" s="18"/>
      <c r="Z173" s="18"/>
      <c r="AA173" s="18"/>
      <c r="AB173" s="18"/>
      <c r="AC173" s="18"/>
      <c r="AD173" s="18"/>
      <c r="AE173" s="18" t="str">
        <f t="shared" si="63"/>
        <v>Cash From Investing Activities</v>
      </c>
      <c r="AF173" s="85">
        <f t="shared" si="64"/>
        <v>0</v>
      </c>
      <c r="AG173" s="85">
        <f t="shared" si="65"/>
        <v>0</v>
      </c>
      <c r="AH173" s="85">
        <f t="shared" si="66"/>
        <v>0</v>
      </c>
      <c r="AI173" s="85">
        <f t="shared" si="67"/>
        <v>0</v>
      </c>
      <c r="AJ173" s="85">
        <f t="shared" si="68"/>
        <v>0</v>
      </c>
      <c r="AK173" s="85">
        <f t="shared" si="69"/>
        <v>0</v>
      </c>
      <c r="AL173" s="85">
        <f t="shared" si="70"/>
        <v>0</v>
      </c>
      <c r="AM173" s="85">
        <f t="shared" si="71"/>
        <v>0</v>
      </c>
      <c r="AN173" s="18"/>
      <c r="AO173" s="18"/>
      <c r="AP173" s="102" t="s">
        <v>455</v>
      </c>
      <c r="AQ173" s="86">
        <f>_xll.BDH($B$10,"CF_CASH_FROM_INV_ACT","-10FY","","Per=fy","Days=W","Fill=E","Curr=","DtFmt=P","Sort=D","Dts=H","Dir=H","FILING_STATUS,EQY_CONSOLIDATED","MR,","cols=11;rows=1")</f>
        <v>-1382</v>
      </c>
      <c r="AR173" s="86">
        <v>-1234</v>
      </c>
      <c r="AS173" s="86">
        <v>-187</v>
      </c>
      <c r="AT173" s="86">
        <v>-1305</v>
      </c>
      <c r="AU173" s="86">
        <v>-3523</v>
      </c>
      <c r="AV173" s="86">
        <v>-2195</v>
      </c>
      <c r="AW173" s="86">
        <v>-2708</v>
      </c>
      <c r="AX173" s="86">
        <v>-2811</v>
      </c>
      <c r="AY173" s="86">
        <v>-1941</v>
      </c>
      <c r="AZ173" s="86">
        <v>-1223</v>
      </c>
      <c r="BA173" s="87">
        <v>-1588</v>
      </c>
      <c r="BB173" s="18"/>
      <c r="BC173" s="18"/>
      <c r="BD173" s="18"/>
      <c r="BE173" s="18"/>
      <c r="BF173" s="18"/>
      <c r="BG173" s="18"/>
      <c r="BH173" s="18"/>
      <c r="BI173" s="18"/>
      <c r="BJ173" s="18"/>
      <c r="BK173" s="18"/>
      <c r="BL173" s="18"/>
      <c r="BM173" s="18"/>
      <c r="BN173" s="18"/>
      <c r="BO173" s="18"/>
      <c r="BP173" s="18"/>
      <c r="BQ173" s="37"/>
      <c r="BR173" s="38"/>
      <c r="BS173" s="17"/>
      <c r="BT173" s="37"/>
      <c r="BU173" s="38"/>
      <c r="BV173" s="18"/>
      <c r="BW173" s="37"/>
      <c r="BX173" s="38"/>
      <c r="BY173" s="18"/>
      <c r="BZ173" s="39" t="str">
        <f t="shared" si="58"/>
        <v>-</v>
      </c>
      <c r="CA173" s="40" t="str">
        <f t="shared" si="59"/>
        <v>-</v>
      </c>
      <c r="CB173" s="17"/>
      <c r="CC173" s="39" t="str">
        <f t="shared" si="60"/>
        <v>-</v>
      </c>
      <c r="CD173" s="40" t="str">
        <f t="shared" si="61"/>
        <v>-</v>
      </c>
      <c r="CE173" s="18"/>
      <c r="CF173" s="18"/>
      <c r="CG173" s="18"/>
      <c r="CH173" s="18"/>
      <c r="CI173" s="18"/>
      <c r="CJ173" s="18"/>
      <c r="CK173" s="18"/>
      <c r="CL173" s="18"/>
      <c r="CM173" s="18"/>
      <c r="CN173" s="18"/>
      <c r="CO173" s="18"/>
      <c r="CP173" s="18"/>
      <c r="CQ173" s="18"/>
      <c r="CR173" s="18"/>
      <c r="CS173" s="18"/>
      <c r="CT173" s="18"/>
      <c r="CU173" s="18"/>
      <c r="CV173" s="18"/>
      <c r="CW173" s="18"/>
      <c r="CX173" s="18"/>
      <c r="CY173" s="37"/>
      <c r="CZ173" s="38"/>
      <c r="DA173" s="18"/>
      <c r="DB173" s="37"/>
      <c r="DC173" s="38"/>
      <c r="DD173" s="18"/>
      <c r="DE173" s="37"/>
      <c r="DF173" s="38"/>
      <c r="DG173" s="18"/>
      <c r="DH173" s="37"/>
      <c r="DI173" s="38"/>
      <c r="DJ173" s="18"/>
      <c r="DK173" s="37"/>
      <c r="DL173" s="38"/>
      <c r="DM173" s="18"/>
      <c r="DN173" s="18"/>
      <c r="DO173" s="18"/>
      <c r="DP173" s="18"/>
      <c r="DQ173" s="18"/>
      <c r="DR173" s="18"/>
      <c r="DS173" s="18"/>
      <c r="DT173" s="18"/>
      <c r="DU173" s="18"/>
      <c r="DV173" s="18"/>
      <c r="DW173" s="18"/>
      <c r="DX173" s="18"/>
      <c r="DY173" s="18"/>
      <c r="DZ173" s="18"/>
    </row>
    <row r="174" spans="1:130" ht="15" customHeight="1" x14ac:dyDescent="0.3">
      <c r="A174" s="30" t="s">
        <v>178</v>
      </c>
      <c r="B174" s="90" t="s">
        <v>456</v>
      </c>
      <c r="C174" s="91" t="s">
        <v>615</v>
      </c>
      <c r="D174" s="91">
        <v>-58</v>
      </c>
      <c r="E174" s="91">
        <v>-925</v>
      </c>
      <c r="F174" s="91">
        <v>-2071</v>
      </c>
      <c r="G174" s="91">
        <v>-1466</v>
      </c>
      <c r="H174" s="91">
        <v>-1389</v>
      </c>
      <c r="I174" s="91">
        <v>-1311</v>
      </c>
      <c r="J174" s="91">
        <v>-1224</v>
      </c>
      <c r="K174" s="91">
        <v>-1022</v>
      </c>
      <c r="L174" s="91">
        <v>-838</v>
      </c>
      <c r="M174" s="92">
        <v>-740</v>
      </c>
      <c r="N174" s="227"/>
      <c r="O174" s="17"/>
      <c r="P174" s="17"/>
      <c r="Q174" s="17"/>
      <c r="R174" s="17"/>
      <c r="S174" s="17"/>
      <c r="T174" s="17"/>
      <c r="U174" s="18"/>
      <c r="V174" s="18"/>
      <c r="W174" s="18"/>
      <c r="X174" s="18"/>
      <c r="Y174" s="18"/>
      <c r="Z174" s="18"/>
      <c r="AA174" s="18"/>
      <c r="AB174" s="18"/>
      <c r="AC174" s="18"/>
      <c r="AD174" s="18"/>
      <c r="AE174" s="18" t="str">
        <f t="shared" si="63"/>
        <v>Dividends Paid</v>
      </c>
      <c r="AF174" s="85" t="e">
        <f t="shared" si="64"/>
        <v>#VALUE!</v>
      </c>
      <c r="AG174" s="85">
        <f t="shared" si="65"/>
        <v>0</v>
      </c>
      <c r="AH174" s="85">
        <f t="shared" si="66"/>
        <v>0</v>
      </c>
      <c r="AI174" s="85">
        <f t="shared" si="67"/>
        <v>0</v>
      </c>
      <c r="AJ174" s="85">
        <f t="shared" si="68"/>
        <v>0</v>
      </c>
      <c r="AK174" s="85">
        <f t="shared" si="69"/>
        <v>0</v>
      </c>
      <c r="AL174" s="85">
        <f t="shared" si="70"/>
        <v>0</v>
      </c>
      <c r="AM174" s="85">
        <f t="shared" si="71"/>
        <v>0</v>
      </c>
      <c r="AN174" s="18"/>
      <c r="AO174" s="18"/>
      <c r="AP174" s="77" t="s">
        <v>456</v>
      </c>
      <c r="AQ174" s="18">
        <f>_xll.BDH($B$10,"CF_DVD_PAID","-10FY","","Per=fy","Days=W","Fill=E","Curr=","DtFmt=P","Sort=D","Dts=H","Dir=H","FILING_STATUS,EQY_CONSOLIDATED","MR,","cols=11;rows=1")</f>
        <v>0</v>
      </c>
      <c r="AR174" s="18">
        <v>-58</v>
      </c>
      <c r="AS174" s="18">
        <v>-925</v>
      </c>
      <c r="AT174" s="18">
        <v>-2071</v>
      </c>
      <c r="AU174" s="18">
        <v>-1466</v>
      </c>
      <c r="AV174" s="18">
        <v>-1389</v>
      </c>
      <c r="AW174" s="18">
        <v>-1311</v>
      </c>
      <c r="AX174" s="18">
        <v>-1224</v>
      </c>
      <c r="AY174" s="18">
        <v>-1022</v>
      </c>
      <c r="AZ174" s="18">
        <v>-838</v>
      </c>
      <c r="BA174" s="78">
        <v>-740</v>
      </c>
      <c r="BB174" s="18"/>
      <c r="BC174" s="18"/>
      <c r="BD174" s="18"/>
      <c r="BE174" s="18"/>
      <c r="BF174" s="18"/>
      <c r="BG174" s="18"/>
      <c r="BH174" s="18"/>
      <c r="BI174" s="18"/>
      <c r="BJ174" s="18"/>
      <c r="BK174" s="18"/>
      <c r="BL174" s="18"/>
      <c r="BM174" s="18"/>
      <c r="BN174" s="18"/>
      <c r="BO174" s="18"/>
      <c r="BP174" s="18"/>
      <c r="BQ174" s="37"/>
      <c r="BR174" s="38"/>
      <c r="BS174" s="17"/>
      <c r="BT174" s="37"/>
      <c r="BU174" s="38"/>
      <c r="BV174" s="18"/>
      <c r="BW174" s="37"/>
      <c r="BX174" s="38"/>
      <c r="BY174" s="18"/>
      <c r="BZ174" s="39" t="str">
        <f t="shared" si="58"/>
        <v>-</v>
      </c>
      <c r="CA174" s="40" t="str">
        <f t="shared" si="59"/>
        <v>-</v>
      </c>
      <c r="CB174" s="17"/>
      <c r="CC174" s="39" t="str">
        <f t="shared" si="60"/>
        <v>-</v>
      </c>
      <c r="CD174" s="40" t="str">
        <f t="shared" si="61"/>
        <v>-</v>
      </c>
      <c r="CE174" s="18"/>
      <c r="CF174" s="18"/>
      <c r="CG174" s="18"/>
      <c r="CH174" s="18"/>
      <c r="CI174" s="18"/>
      <c r="CJ174" s="18"/>
      <c r="CK174" s="18"/>
      <c r="CL174" s="18"/>
      <c r="CM174" s="18"/>
      <c r="CN174" s="18"/>
      <c r="CO174" s="18"/>
      <c r="CP174" s="18"/>
      <c r="CQ174" s="18"/>
      <c r="CR174" s="18"/>
      <c r="CS174" s="18"/>
      <c r="CT174" s="18"/>
      <c r="CU174" s="18"/>
      <c r="CV174" s="18"/>
      <c r="CW174" s="18"/>
      <c r="CX174" s="18"/>
      <c r="CY174" s="37"/>
      <c r="CZ174" s="38"/>
      <c r="DA174" s="18"/>
      <c r="DB174" s="37"/>
      <c r="DC174" s="38"/>
      <c r="DD174" s="18"/>
      <c r="DE174" s="37"/>
      <c r="DF174" s="38"/>
      <c r="DG174" s="18"/>
      <c r="DH174" s="37"/>
      <c r="DI174" s="38"/>
      <c r="DJ174" s="18"/>
      <c r="DK174" s="37"/>
      <c r="DL174" s="38"/>
      <c r="DM174" s="18"/>
      <c r="DN174" s="18"/>
      <c r="DO174" s="18"/>
      <c r="DP174" s="18"/>
      <c r="DQ174" s="18"/>
      <c r="DR174" s="18"/>
      <c r="DS174" s="18"/>
      <c r="DT174" s="18"/>
      <c r="DU174" s="18"/>
      <c r="DV174" s="18"/>
      <c r="DW174" s="18"/>
      <c r="DX174" s="18"/>
      <c r="DY174" s="18"/>
      <c r="DZ174" s="18"/>
    </row>
    <row r="175" spans="1:130" ht="15" customHeight="1" x14ac:dyDescent="0.3">
      <c r="A175" s="30" t="s">
        <v>397</v>
      </c>
      <c r="B175" s="73" t="s">
        <v>251</v>
      </c>
      <c r="C175" s="74" t="s">
        <v>615</v>
      </c>
      <c r="D175" s="74" t="s">
        <v>615</v>
      </c>
      <c r="E175" s="74">
        <v>-2575</v>
      </c>
      <c r="F175" s="74">
        <v>-2050</v>
      </c>
      <c r="G175" s="74">
        <v>-1228</v>
      </c>
      <c r="H175" s="74">
        <v>287</v>
      </c>
      <c r="I175" s="74">
        <v>-572</v>
      </c>
      <c r="J175" s="74">
        <v>278</v>
      </c>
      <c r="K175" s="74">
        <v>535</v>
      </c>
      <c r="L175" s="74">
        <v>-1065</v>
      </c>
      <c r="M175" s="75">
        <v>-503</v>
      </c>
      <c r="N175" s="227"/>
      <c r="O175" s="17"/>
      <c r="P175" s="17"/>
      <c r="Q175" s="17"/>
      <c r="R175" s="17"/>
      <c r="S175" s="17"/>
      <c r="T175" s="17"/>
      <c r="U175" s="18"/>
      <c r="V175" s="18"/>
      <c r="W175" s="18"/>
      <c r="X175" s="18"/>
      <c r="Y175" s="18"/>
      <c r="Z175" s="18"/>
      <c r="AA175" s="18"/>
      <c r="AB175" s="18"/>
      <c r="AC175" s="18"/>
      <c r="AD175" s="18"/>
      <c r="AE175" s="18" t="str">
        <f t="shared" si="63"/>
        <v>Change in Short-Term Borrowings</v>
      </c>
      <c r="AF175" s="85" t="e">
        <f t="shared" si="64"/>
        <v>#VALUE!</v>
      </c>
      <c r="AG175" s="85" t="e">
        <f t="shared" si="65"/>
        <v>#VALUE!</v>
      </c>
      <c r="AH175" s="85">
        <f t="shared" si="66"/>
        <v>0</v>
      </c>
      <c r="AI175" s="85">
        <f t="shared" si="67"/>
        <v>0</v>
      </c>
      <c r="AJ175" s="85">
        <f t="shared" si="68"/>
        <v>0</v>
      </c>
      <c r="AK175" s="85">
        <f t="shared" si="69"/>
        <v>0</v>
      </c>
      <c r="AL175" s="85">
        <f t="shared" si="70"/>
        <v>0</v>
      </c>
      <c r="AM175" s="85">
        <f t="shared" si="71"/>
        <v>0</v>
      </c>
      <c r="AN175" s="18"/>
      <c r="AO175" s="18"/>
      <c r="AP175" s="77" t="s">
        <v>251</v>
      </c>
      <c r="AQ175" s="18" t="str">
        <f>_xll.BDH($B$10,"CF_INCR_ST_BORROW","-10FY","","Per=fy","Days=W","Fill=E","Curr=","DtFmt=P","Sort=D","Dts=H","Dir=H","FILING_STATUS,EQY_CONSOLIDATED","MR,","cols=11;rows=1")</f>
        <v>#N/A N/A</v>
      </c>
      <c r="AR175" s="18" t="s">
        <v>1811</v>
      </c>
      <c r="AS175" s="18">
        <v>-2575</v>
      </c>
      <c r="AT175" s="18">
        <v>-2050</v>
      </c>
      <c r="AU175" s="18">
        <v>-1228</v>
      </c>
      <c r="AV175" s="18">
        <v>287</v>
      </c>
      <c r="AW175" s="18">
        <v>-572</v>
      </c>
      <c r="AX175" s="18">
        <v>278</v>
      </c>
      <c r="AY175" s="18">
        <v>535</v>
      </c>
      <c r="AZ175" s="18">
        <v>-1065</v>
      </c>
      <c r="BA175" s="78">
        <v>-503</v>
      </c>
      <c r="BB175" s="18"/>
      <c r="BC175" s="18"/>
      <c r="BD175" s="18"/>
      <c r="BE175" s="18"/>
      <c r="BF175" s="18"/>
      <c r="BG175" s="18"/>
      <c r="BH175" s="18"/>
      <c r="BI175" s="18"/>
      <c r="BJ175" s="18"/>
      <c r="BK175" s="18"/>
      <c r="BL175" s="18"/>
      <c r="BM175" s="18"/>
      <c r="BN175" s="18"/>
      <c r="BO175" s="18"/>
      <c r="BP175" s="18"/>
      <c r="BQ175" s="37"/>
      <c r="BR175" s="38"/>
      <c r="BS175" s="17"/>
      <c r="BT175" s="37"/>
      <c r="BU175" s="38"/>
      <c r="BV175" s="18"/>
      <c r="BW175" s="37"/>
      <c r="BX175" s="38"/>
      <c r="BY175" s="18"/>
      <c r="BZ175" s="39" t="str">
        <f t="shared" si="58"/>
        <v>-</v>
      </c>
      <c r="CA175" s="40" t="str">
        <f t="shared" si="59"/>
        <v>-</v>
      </c>
      <c r="CB175" s="17"/>
      <c r="CC175" s="39" t="str">
        <f t="shared" si="60"/>
        <v>-</v>
      </c>
      <c r="CD175" s="40" t="str">
        <f t="shared" si="61"/>
        <v>-</v>
      </c>
      <c r="CE175" s="18"/>
      <c r="CF175" s="18"/>
      <c r="CG175" s="18"/>
      <c r="CH175" s="18"/>
      <c r="CI175" s="18"/>
      <c r="CJ175" s="18"/>
      <c r="CK175" s="18"/>
      <c r="CL175" s="18"/>
      <c r="CM175" s="18"/>
      <c r="CN175" s="18"/>
      <c r="CO175" s="18"/>
      <c r="CP175" s="18"/>
      <c r="CQ175" s="18"/>
      <c r="CR175" s="18"/>
      <c r="CS175" s="18"/>
      <c r="CT175" s="18"/>
      <c r="CU175" s="18"/>
      <c r="CV175" s="18"/>
      <c r="CW175" s="18"/>
      <c r="CX175" s="18"/>
      <c r="CY175" s="37"/>
      <c r="CZ175" s="38"/>
      <c r="DA175" s="18"/>
      <c r="DB175" s="37"/>
      <c r="DC175" s="38"/>
      <c r="DD175" s="18"/>
      <c r="DE175" s="37"/>
      <c r="DF175" s="38"/>
      <c r="DG175" s="18"/>
      <c r="DH175" s="37"/>
      <c r="DI175" s="38"/>
      <c r="DJ175" s="18"/>
      <c r="DK175" s="37"/>
      <c r="DL175" s="38"/>
      <c r="DM175" s="18"/>
      <c r="DN175" s="18"/>
      <c r="DO175" s="18"/>
      <c r="DP175" s="18"/>
      <c r="DQ175" s="18"/>
      <c r="DR175" s="18"/>
      <c r="DS175" s="18"/>
      <c r="DT175" s="18"/>
      <c r="DU175" s="18"/>
      <c r="DV175" s="18"/>
      <c r="DW175" s="18"/>
      <c r="DX175" s="18"/>
      <c r="DY175" s="18"/>
      <c r="DZ175" s="18"/>
    </row>
    <row r="176" spans="1:130" ht="15" customHeight="1" x14ac:dyDescent="0.3">
      <c r="A176" s="30" t="s">
        <v>183</v>
      </c>
      <c r="B176" s="73" t="s">
        <v>457</v>
      </c>
      <c r="C176" s="74">
        <v>1903</v>
      </c>
      <c r="D176" s="74">
        <v>1000</v>
      </c>
      <c r="E176" s="74">
        <v>3621</v>
      </c>
      <c r="F176" s="74">
        <v>2748</v>
      </c>
      <c r="G176" s="74">
        <v>2293</v>
      </c>
      <c r="H176" s="74">
        <v>1018</v>
      </c>
      <c r="I176" s="74">
        <v>356</v>
      </c>
      <c r="J176" s="74">
        <v>828</v>
      </c>
      <c r="K176" s="74" t="s">
        <v>615</v>
      </c>
      <c r="L176" s="74" t="s">
        <v>615</v>
      </c>
      <c r="M176" s="75">
        <v>565</v>
      </c>
      <c r="N176" s="227"/>
      <c r="O176" s="17"/>
      <c r="P176" s="17"/>
      <c r="Q176" s="17"/>
      <c r="R176" s="17"/>
      <c r="S176" s="17"/>
      <c r="T176" s="17"/>
      <c r="U176" s="18"/>
      <c r="V176" s="18"/>
      <c r="W176" s="18"/>
      <c r="X176" s="18"/>
      <c r="Y176" s="18"/>
      <c r="Z176" s="18"/>
      <c r="AA176" s="18"/>
      <c r="AB176" s="18"/>
      <c r="AC176" s="18"/>
      <c r="AD176" s="18"/>
      <c r="AE176" s="18" t="str">
        <f t="shared" si="63"/>
        <v>Increase in Long-Term Borrowings</v>
      </c>
      <c r="AF176" s="85">
        <f t="shared" si="64"/>
        <v>0</v>
      </c>
      <c r="AG176" s="85">
        <f t="shared" si="65"/>
        <v>0</v>
      </c>
      <c r="AH176" s="85">
        <f t="shared" si="66"/>
        <v>0</v>
      </c>
      <c r="AI176" s="85">
        <f t="shared" si="67"/>
        <v>0</v>
      </c>
      <c r="AJ176" s="85">
        <f t="shared" si="68"/>
        <v>0</v>
      </c>
      <c r="AK176" s="85">
        <f t="shared" si="69"/>
        <v>0</v>
      </c>
      <c r="AL176" s="85">
        <f t="shared" si="70"/>
        <v>0</v>
      </c>
      <c r="AM176" s="85">
        <f t="shared" si="71"/>
        <v>0</v>
      </c>
      <c r="AN176" s="18"/>
      <c r="AO176" s="18"/>
      <c r="AP176" s="77" t="s">
        <v>457</v>
      </c>
      <c r="AQ176" s="18">
        <f>_xll.BDH($B$10,"CF_INCR_LT_BORROW","-10FY","","Per=fy","Days=W","Fill=E","Curr=","DtFmt=P","Sort=D","Dts=H","Dir=H","FILING_STATUS,EQY_CONSOLIDATED","MR,","cols=11;rows=1")</f>
        <v>1903</v>
      </c>
      <c r="AR176" s="18">
        <v>1000</v>
      </c>
      <c r="AS176" s="18">
        <v>3621</v>
      </c>
      <c r="AT176" s="18">
        <v>2748</v>
      </c>
      <c r="AU176" s="18">
        <v>2293</v>
      </c>
      <c r="AV176" s="18">
        <v>1018</v>
      </c>
      <c r="AW176" s="18">
        <v>356</v>
      </c>
      <c r="AX176" s="18">
        <v>828</v>
      </c>
      <c r="AY176" s="18">
        <v>0</v>
      </c>
      <c r="AZ176" s="18">
        <v>0</v>
      </c>
      <c r="BA176" s="78">
        <v>565</v>
      </c>
      <c r="BB176" s="18"/>
      <c r="BC176" s="18"/>
      <c r="BD176" s="18"/>
      <c r="BE176" s="18"/>
      <c r="BF176" s="18"/>
      <c r="BG176" s="18"/>
      <c r="BH176" s="18"/>
      <c r="BI176" s="18"/>
      <c r="BJ176" s="18"/>
      <c r="BK176" s="18"/>
      <c r="BL176" s="18"/>
      <c r="BM176" s="18"/>
      <c r="BN176" s="18"/>
      <c r="BO176" s="18"/>
      <c r="BP176" s="18"/>
      <c r="BQ176" s="37"/>
      <c r="BR176" s="38"/>
      <c r="BS176" s="17"/>
      <c r="BT176" s="37"/>
      <c r="BU176" s="38"/>
      <c r="BV176" s="18"/>
      <c r="BW176" s="37"/>
      <c r="BX176" s="38"/>
      <c r="BY176" s="18"/>
      <c r="BZ176" s="39" t="str">
        <f t="shared" si="58"/>
        <v>-</v>
      </c>
      <c r="CA176" s="40" t="str">
        <f t="shared" si="59"/>
        <v>-</v>
      </c>
      <c r="CB176" s="17"/>
      <c r="CC176" s="39" t="str">
        <f t="shared" si="60"/>
        <v>-</v>
      </c>
      <c r="CD176" s="40" t="str">
        <f t="shared" si="61"/>
        <v>-</v>
      </c>
      <c r="CE176" s="18"/>
      <c r="CF176" s="18"/>
      <c r="CG176" s="18"/>
      <c r="CH176" s="18"/>
      <c r="CI176" s="18"/>
      <c r="CJ176" s="18"/>
      <c r="CK176" s="18"/>
      <c r="CL176" s="18"/>
      <c r="CM176" s="18"/>
      <c r="CN176" s="18"/>
      <c r="CO176" s="18"/>
      <c r="CP176" s="18"/>
      <c r="CQ176" s="18"/>
      <c r="CR176" s="18"/>
      <c r="CS176" s="18"/>
      <c r="CT176" s="18"/>
      <c r="CU176" s="18"/>
      <c r="CV176" s="18"/>
      <c r="CW176" s="18"/>
      <c r="CX176" s="18"/>
      <c r="CY176" s="37"/>
      <c r="CZ176" s="38"/>
      <c r="DA176" s="18"/>
      <c r="DB176" s="37"/>
      <c r="DC176" s="38"/>
      <c r="DD176" s="18"/>
      <c r="DE176" s="37"/>
      <c r="DF176" s="38"/>
      <c r="DG176" s="18"/>
      <c r="DH176" s="37"/>
      <c r="DI176" s="38"/>
      <c r="DJ176" s="18"/>
      <c r="DK176" s="37"/>
      <c r="DL176" s="38"/>
      <c r="DM176" s="18"/>
      <c r="DN176" s="18"/>
      <c r="DO176" s="18"/>
      <c r="DP176" s="18"/>
      <c r="DQ176" s="18"/>
      <c r="DR176" s="18"/>
      <c r="DS176" s="18"/>
      <c r="DT176" s="18"/>
      <c r="DU176" s="18"/>
      <c r="DV176" s="18"/>
      <c r="DW176" s="18"/>
      <c r="DX176" s="18"/>
      <c r="DY176" s="18"/>
      <c r="DZ176" s="18"/>
    </row>
    <row r="177" spans="1:130" ht="15" customHeight="1" x14ac:dyDescent="0.3">
      <c r="A177" s="30" t="s">
        <v>398</v>
      </c>
      <c r="B177" s="73" t="s">
        <v>252</v>
      </c>
      <c r="C177" s="74">
        <v>-2502</v>
      </c>
      <c r="D177" s="74">
        <v>-2278</v>
      </c>
      <c r="E177" s="74">
        <v>-142</v>
      </c>
      <c r="F177" s="74" t="s">
        <v>615</v>
      </c>
      <c r="G177" s="74" t="s">
        <v>615</v>
      </c>
      <c r="H177" s="74" t="s">
        <v>615</v>
      </c>
      <c r="I177" s="74" t="s">
        <v>615</v>
      </c>
      <c r="J177" s="74" t="s">
        <v>615</v>
      </c>
      <c r="K177" s="74">
        <v>-614</v>
      </c>
      <c r="L177" s="74">
        <v>-297</v>
      </c>
      <c r="M177" s="75" t="s">
        <v>615</v>
      </c>
      <c r="N177" s="227"/>
      <c r="O177" s="17"/>
      <c r="P177" s="17"/>
      <c r="Q177" s="17"/>
      <c r="R177" s="17"/>
      <c r="S177" s="17"/>
      <c r="T177" s="17"/>
      <c r="U177" s="18"/>
      <c r="V177" s="18"/>
      <c r="W177" s="18"/>
      <c r="X177" s="18"/>
      <c r="Y177" s="18"/>
      <c r="Z177" s="18"/>
      <c r="AA177" s="18"/>
      <c r="AB177" s="18"/>
      <c r="AC177" s="18"/>
      <c r="AD177" s="18"/>
      <c r="AE177" s="18" t="str">
        <f t="shared" si="63"/>
        <v>Decrease in Long-term Borrowings</v>
      </c>
      <c r="AF177" s="85">
        <f t="shared" si="64"/>
        <v>0</v>
      </c>
      <c r="AG177" s="85">
        <f t="shared" si="65"/>
        <v>0</v>
      </c>
      <c r="AH177" s="85">
        <f t="shared" si="66"/>
        <v>0</v>
      </c>
      <c r="AI177" s="85" t="e">
        <f t="shared" si="67"/>
        <v>#VALUE!</v>
      </c>
      <c r="AJ177" s="85" t="e">
        <f t="shared" si="68"/>
        <v>#VALUE!</v>
      </c>
      <c r="AK177" s="85" t="e">
        <f t="shared" si="69"/>
        <v>#VALUE!</v>
      </c>
      <c r="AL177" s="85" t="e">
        <f t="shared" si="70"/>
        <v>#VALUE!</v>
      </c>
      <c r="AM177" s="85" t="e">
        <f t="shared" si="71"/>
        <v>#VALUE!</v>
      </c>
      <c r="AN177" s="18"/>
      <c r="AO177" s="18"/>
      <c r="AP177" s="77" t="s">
        <v>252</v>
      </c>
      <c r="AQ177" s="18">
        <f>_xll.BDH($B$10,"CF_REIMB_LT_BORROW","-10FY","","Per=fy","Days=W","Fill=E","Curr=","DtFmt=P","Sort=D","Dts=H","Dir=H","FILING_STATUS,EQY_CONSOLIDATED","MR,","cols=11;rows=1")</f>
        <v>-2502</v>
      </c>
      <c r="AR177" s="18">
        <v>-2278</v>
      </c>
      <c r="AS177" s="18">
        <v>-142</v>
      </c>
      <c r="AT177" s="18">
        <v>0</v>
      </c>
      <c r="AU177" s="18">
        <v>0</v>
      </c>
      <c r="AV177" s="18">
        <v>0</v>
      </c>
      <c r="AW177" s="18">
        <v>0</v>
      </c>
      <c r="AX177" s="18">
        <v>0</v>
      </c>
      <c r="AY177" s="18">
        <v>-614</v>
      </c>
      <c r="AZ177" s="18">
        <v>-297</v>
      </c>
      <c r="BA177" s="78">
        <v>0</v>
      </c>
      <c r="BB177" s="18"/>
      <c r="BC177" s="18"/>
      <c r="BD177" s="18"/>
      <c r="BE177" s="18"/>
      <c r="BF177" s="18"/>
      <c r="BG177" s="18"/>
      <c r="BH177" s="18"/>
      <c r="BI177" s="18"/>
      <c r="BJ177" s="18"/>
      <c r="BK177" s="18"/>
      <c r="BL177" s="18"/>
      <c r="BM177" s="18"/>
      <c r="BN177" s="18"/>
      <c r="BO177" s="18"/>
      <c r="BP177" s="18"/>
      <c r="BQ177" s="37"/>
      <c r="BR177" s="38"/>
      <c r="BS177" s="17"/>
      <c r="BT177" s="37"/>
      <c r="BU177" s="38"/>
      <c r="BV177" s="18"/>
      <c r="BW177" s="37"/>
      <c r="BX177" s="38"/>
      <c r="BY177" s="18"/>
      <c r="BZ177" s="39" t="str">
        <f t="shared" si="58"/>
        <v>-</v>
      </c>
      <c r="CA177" s="40" t="str">
        <f t="shared" si="59"/>
        <v>-</v>
      </c>
      <c r="CB177" s="17"/>
      <c r="CC177" s="39" t="str">
        <f t="shared" si="60"/>
        <v>-</v>
      </c>
      <c r="CD177" s="40" t="str">
        <f t="shared" si="61"/>
        <v>-</v>
      </c>
      <c r="CE177" s="18"/>
      <c r="CF177" s="18"/>
      <c r="CG177" s="18"/>
      <c r="CH177" s="18"/>
      <c r="CI177" s="18"/>
      <c r="CJ177" s="18"/>
      <c r="CK177" s="18"/>
      <c r="CL177" s="18"/>
      <c r="CM177" s="18"/>
      <c r="CN177" s="18"/>
      <c r="CO177" s="18"/>
      <c r="CP177" s="18"/>
      <c r="CQ177" s="18"/>
      <c r="CR177" s="18"/>
      <c r="CS177" s="18"/>
      <c r="CT177" s="18"/>
      <c r="CU177" s="18"/>
      <c r="CV177" s="18"/>
      <c r="CW177" s="18"/>
      <c r="CX177" s="18"/>
      <c r="CY177" s="37"/>
      <c r="CZ177" s="38"/>
      <c r="DA177" s="18"/>
      <c r="DB177" s="37"/>
      <c r="DC177" s="38"/>
      <c r="DD177" s="18"/>
      <c r="DE177" s="37"/>
      <c r="DF177" s="38"/>
      <c r="DG177" s="18"/>
      <c r="DH177" s="37"/>
      <c r="DI177" s="38"/>
      <c r="DJ177" s="18"/>
      <c r="DK177" s="37"/>
      <c r="DL177" s="38"/>
      <c r="DM177" s="18"/>
      <c r="DN177" s="18"/>
      <c r="DO177" s="18"/>
      <c r="DP177" s="18"/>
      <c r="DQ177" s="18"/>
      <c r="DR177" s="18"/>
      <c r="DS177" s="18"/>
      <c r="DT177" s="18"/>
      <c r="DU177" s="18"/>
      <c r="DV177" s="18"/>
      <c r="DW177" s="18"/>
      <c r="DX177" s="18"/>
      <c r="DY177" s="18"/>
      <c r="DZ177" s="18"/>
    </row>
    <row r="178" spans="1:130" ht="15" customHeight="1" x14ac:dyDescent="0.3">
      <c r="A178" s="30" t="s">
        <v>179</v>
      </c>
      <c r="B178" s="73" t="s">
        <v>458</v>
      </c>
      <c r="C178" s="74">
        <v>29</v>
      </c>
      <c r="D178" s="74">
        <v>1</v>
      </c>
      <c r="E178" s="74">
        <v>2</v>
      </c>
      <c r="F178" s="74">
        <v>22</v>
      </c>
      <c r="G178" s="74">
        <v>51</v>
      </c>
      <c r="H178" s="74">
        <v>56</v>
      </c>
      <c r="I178" s="74">
        <v>124</v>
      </c>
      <c r="J178" s="74">
        <v>337</v>
      </c>
      <c r="K178" s="74">
        <v>149</v>
      </c>
      <c r="L178" s="74">
        <v>130</v>
      </c>
      <c r="M178" s="75">
        <v>234</v>
      </c>
      <c r="N178" s="227"/>
      <c r="O178" s="17"/>
      <c r="P178" s="17"/>
      <c r="Q178" s="17"/>
      <c r="R178" s="17"/>
      <c r="S178" s="17"/>
      <c r="T178" s="17"/>
      <c r="U178" s="18"/>
      <c r="V178" s="18"/>
      <c r="W178" s="18"/>
      <c r="X178" s="18"/>
      <c r="Y178" s="18"/>
      <c r="Z178" s="18"/>
      <c r="AA178" s="18"/>
      <c r="AB178" s="18"/>
      <c r="AC178" s="18"/>
      <c r="AD178" s="18"/>
      <c r="AE178" s="18" t="str">
        <f t="shared" si="63"/>
        <v>Increase in Capital Stocks</v>
      </c>
      <c r="AF178" s="85">
        <f t="shared" si="64"/>
        <v>0</v>
      </c>
      <c r="AG178" s="85">
        <f t="shared" si="65"/>
        <v>0</v>
      </c>
      <c r="AH178" s="85">
        <f t="shared" si="66"/>
        <v>0</v>
      </c>
      <c r="AI178" s="85">
        <f t="shared" si="67"/>
        <v>0</v>
      </c>
      <c r="AJ178" s="85">
        <f t="shared" si="68"/>
        <v>0</v>
      </c>
      <c r="AK178" s="85">
        <f t="shared" si="69"/>
        <v>0</v>
      </c>
      <c r="AL178" s="85">
        <f t="shared" si="70"/>
        <v>0</v>
      </c>
      <c r="AM178" s="85">
        <f t="shared" si="71"/>
        <v>0</v>
      </c>
      <c r="AN178" s="18"/>
      <c r="AO178" s="18"/>
      <c r="AP178" s="77" t="s">
        <v>458</v>
      </c>
      <c r="AQ178" s="18">
        <f>_xll.BDH($B$10,"CF_INCR_CAP_STOCK","-10FY","","Per=fy","Days=W","Fill=E","Curr=","DtFmt=P","Sort=D","Dts=H","Dir=H","FILING_STATUS,EQY_CONSOLIDATED","MR,","cols=11;rows=1")</f>
        <v>29</v>
      </c>
      <c r="AR178" s="18">
        <v>1</v>
      </c>
      <c r="AS178" s="18">
        <v>2</v>
      </c>
      <c r="AT178" s="18">
        <v>22</v>
      </c>
      <c r="AU178" s="18">
        <v>51</v>
      </c>
      <c r="AV178" s="18">
        <v>56</v>
      </c>
      <c r="AW178" s="18">
        <v>124</v>
      </c>
      <c r="AX178" s="18">
        <v>337</v>
      </c>
      <c r="AY178" s="18">
        <v>149</v>
      </c>
      <c r="AZ178" s="18">
        <v>130</v>
      </c>
      <c r="BA178" s="78">
        <v>234</v>
      </c>
      <c r="BB178" s="18"/>
      <c r="BC178" s="18"/>
      <c r="BD178" s="18"/>
      <c r="BE178" s="18"/>
      <c r="BF178" s="18"/>
      <c r="BG178" s="18"/>
      <c r="BH178" s="18"/>
      <c r="BI178" s="18"/>
      <c r="BJ178" s="18"/>
      <c r="BK178" s="18"/>
      <c r="BL178" s="18"/>
      <c r="BM178" s="18"/>
      <c r="BN178" s="18"/>
      <c r="BO178" s="18"/>
      <c r="BP178" s="18"/>
      <c r="BQ178" s="37"/>
      <c r="BR178" s="38"/>
      <c r="BS178" s="17"/>
      <c r="BT178" s="37"/>
      <c r="BU178" s="38"/>
      <c r="BV178" s="18"/>
      <c r="BW178" s="37"/>
      <c r="BX178" s="38"/>
      <c r="BY178" s="18"/>
      <c r="BZ178" s="39" t="str">
        <f t="shared" si="58"/>
        <v>-</v>
      </c>
      <c r="CA178" s="40" t="str">
        <f t="shared" si="59"/>
        <v>-</v>
      </c>
      <c r="CB178" s="17"/>
      <c r="CC178" s="39" t="str">
        <f t="shared" si="60"/>
        <v>-</v>
      </c>
      <c r="CD178" s="40" t="str">
        <f t="shared" si="61"/>
        <v>-</v>
      </c>
      <c r="CE178" s="18"/>
      <c r="CF178" s="18"/>
      <c r="CG178" s="18"/>
      <c r="CH178" s="18"/>
      <c r="CI178" s="18"/>
      <c r="CJ178" s="18"/>
      <c r="CK178" s="18"/>
      <c r="CL178" s="18"/>
      <c r="CM178" s="18"/>
      <c r="CN178" s="18"/>
      <c r="CO178" s="18"/>
      <c r="CP178" s="18"/>
      <c r="CQ178" s="18"/>
      <c r="CR178" s="18"/>
      <c r="CS178" s="18"/>
      <c r="CT178" s="18"/>
      <c r="CU178" s="18"/>
      <c r="CV178" s="18"/>
      <c r="CW178" s="18"/>
      <c r="CX178" s="18"/>
      <c r="CY178" s="37"/>
      <c r="CZ178" s="38"/>
      <c r="DA178" s="18"/>
      <c r="DB178" s="37"/>
      <c r="DC178" s="38"/>
      <c r="DD178" s="18"/>
      <c r="DE178" s="37"/>
      <c r="DF178" s="38"/>
      <c r="DG178" s="18"/>
      <c r="DH178" s="37"/>
      <c r="DI178" s="38"/>
      <c r="DJ178" s="18"/>
      <c r="DK178" s="37"/>
      <c r="DL178" s="38"/>
      <c r="DM178" s="18"/>
      <c r="DN178" s="18"/>
      <c r="DO178" s="18"/>
      <c r="DP178" s="18"/>
      <c r="DQ178" s="18"/>
      <c r="DR178" s="18"/>
      <c r="DS178" s="18"/>
      <c r="DT178" s="18"/>
      <c r="DU178" s="18"/>
      <c r="DV178" s="18"/>
      <c r="DW178" s="18"/>
      <c r="DX178" s="18"/>
      <c r="DY178" s="18"/>
      <c r="DZ178" s="18"/>
    </row>
    <row r="179" spans="1:130" ht="15" customHeight="1" x14ac:dyDescent="0.3">
      <c r="A179" s="30" t="s">
        <v>180</v>
      </c>
      <c r="B179" s="73" t="s">
        <v>459</v>
      </c>
      <c r="C179" s="74" t="s">
        <v>615</v>
      </c>
      <c r="D179" s="74" t="s">
        <v>615</v>
      </c>
      <c r="E179" s="74">
        <v>-251</v>
      </c>
      <c r="F179" s="74">
        <v>-458</v>
      </c>
      <c r="G179" s="74" t="s">
        <v>615</v>
      </c>
      <c r="H179" s="74" t="s">
        <v>615</v>
      </c>
      <c r="I179" s="74" t="s">
        <v>615</v>
      </c>
      <c r="J179" s="74" t="s">
        <v>615</v>
      </c>
      <c r="K179" s="74" t="s">
        <v>615</v>
      </c>
      <c r="L179" s="74" t="s">
        <v>615</v>
      </c>
      <c r="M179" s="75" t="s">
        <v>615</v>
      </c>
      <c r="N179" s="227"/>
      <c r="O179" s="17"/>
      <c r="P179" s="17"/>
      <c r="Q179" s="17"/>
      <c r="R179" s="17"/>
      <c r="S179" s="17"/>
      <c r="T179" s="17"/>
      <c r="U179" s="18"/>
      <c r="V179" s="18"/>
      <c r="W179" s="18"/>
      <c r="X179" s="18"/>
      <c r="Y179" s="18"/>
      <c r="Z179" s="18"/>
      <c r="AA179" s="18"/>
      <c r="AB179" s="18"/>
      <c r="AC179" s="18"/>
      <c r="AD179" s="18"/>
      <c r="AE179" s="18" t="str">
        <f t="shared" si="63"/>
        <v>Decrease in Capital Stocks</v>
      </c>
      <c r="AF179" s="85" t="e">
        <f t="shared" si="64"/>
        <v>#VALUE!</v>
      </c>
      <c r="AG179" s="85" t="e">
        <f t="shared" si="65"/>
        <v>#VALUE!</v>
      </c>
      <c r="AH179" s="85">
        <f t="shared" si="66"/>
        <v>0</v>
      </c>
      <c r="AI179" s="85">
        <f t="shared" si="67"/>
        <v>0</v>
      </c>
      <c r="AJ179" s="85" t="e">
        <f t="shared" si="68"/>
        <v>#VALUE!</v>
      </c>
      <c r="AK179" s="85" t="e">
        <f t="shared" si="69"/>
        <v>#VALUE!</v>
      </c>
      <c r="AL179" s="85" t="e">
        <f t="shared" si="70"/>
        <v>#VALUE!</v>
      </c>
      <c r="AM179" s="85" t="e">
        <f t="shared" si="71"/>
        <v>#VALUE!</v>
      </c>
      <c r="AN179" s="18"/>
      <c r="AO179" s="18"/>
      <c r="AP179" s="77" t="s">
        <v>459</v>
      </c>
      <c r="AQ179" s="18">
        <f>_xll.BDH($B$10,"CF_DECR_CAP_STOCK","-10FY","","Per=fy","Days=W","Fill=E","Curr=","DtFmt=P","Sort=D","Dts=H","Dir=H","FILING_STATUS,EQY_CONSOLIDATED","MR,","cols=11;rows=1")</f>
        <v>0</v>
      </c>
      <c r="AR179" s="18">
        <v>0</v>
      </c>
      <c r="AS179" s="18">
        <v>-251</v>
      </c>
      <c r="AT179" s="18">
        <v>-458</v>
      </c>
      <c r="AU179" s="18">
        <v>0</v>
      </c>
      <c r="AV179" s="18">
        <v>0</v>
      </c>
      <c r="AW179" s="18">
        <v>0</v>
      </c>
      <c r="AX179" s="18">
        <v>0</v>
      </c>
      <c r="AY179" s="18">
        <v>0</v>
      </c>
      <c r="AZ179" s="18">
        <v>0</v>
      </c>
      <c r="BA179" s="78">
        <v>0</v>
      </c>
      <c r="BB179" s="18"/>
      <c r="BC179" s="18"/>
      <c r="BD179" s="18"/>
      <c r="BE179" s="18"/>
      <c r="BF179" s="18"/>
      <c r="BG179" s="18"/>
      <c r="BH179" s="18"/>
      <c r="BI179" s="18"/>
      <c r="BJ179" s="18"/>
      <c r="BK179" s="18"/>
      <c r="BL179" s="18"/>
      <c r="BM179" s="18"/>
      <c r="BN179" s="18"/>
      <c r="BO179" s="18"/>
      <c r="BP179" s="18"/>
      <c r="BQ179" s="37"/>
      <c r="BR179" s="38"/>
      <c r="BS179" s="17"/>
      <c r="BT179" s="37"/>
      <c r="BU179" s="38"/>
      <c r="BV179" s="18"/>
      <c r="BW179" s="37"/>
      <c r="BX179" s="38"/>
      <c r="BY179" s="18"/>
      <c r="BZ179" s="39" t="str">
        <f t="shared" si="58"/>
        <v>-</v>
      </c>
      <c r="CA179" s="40" t="str">
        <f t="shared" si="59"/>
        <v>-</v>
      </c>
      <c r="CB179" s="17"/>
      <c r="CC179" s="39" t="str">
        <f t="shared" si="60"/>
        <v>-</v>
      </c>
      <c r="CD179" s="40" t="str">
        <f t="shared" si="61"/>
        <v>-</v>
      </c>
      <c r="CE179" s="18"/>
      <c r="CF179" s="18"/>
      <c r="CG179" s="18"/>
      <c r="CH179" s="18"/>
      <c r="CI179" s="18"/>
      <c r="CJ179" s="18"/>
      <c r="CK179" s="18"/>
      <c r="CL179" s="18"/>
      <c r="CM179" s="18"/>
      <c r="CN179" s="18"/>
      <c r="CO179" s="18"/>
      <c r="CP179" s="18"/>
      <c r="CQ179" s="18"/>
      <c r="CR179" s="18"/>
      <c r="CS179" s="18"/>
      <c r="CT179" s="18"/>
      <c r="CU179" s="18"/>
      <c r="CV179" s="18"/>
      <c r="CW179" s="18"/>
      <c r="CX179" s="18"/>
      <c r="CY179" s="37"/>
      <c r="CZ179" s="38"/>
      <c r="DA179" s="18"/>
      <c r="DB179" s="37"/>
      <c r="DC179" s="38"/>
      <c r="DD179" s="18"/>
      <c r="DE179" s="37"/>
      <c r="DF179" s="38"/>
      <c r="DG179" s="18"/>
      <c r="DH179" s="37"/>
      <c r="DI179" s="38"/>
      <c r="DJ179" s="18"/>
      <c r="DK179" s="37"/>
      <c r="DL179" s="38"/>
      <c r="DM179" s="18"/>
      <c r="DN179" s="18"/>
      <c r="DO179" s="18"/>
      <c r="DP179" s="18"/>
      <c r="DQ179" s="18"/>
      <c r="DR179" s="18"/>
      <c r="DS179" s="18"/>
      <c r="DT179" s="18"/>
      <c r="DU179" s="18"/>
      <c r="DV179" s="18"/>
      <c r="DW179" s="18"/>
      <c r="DX179" s="18"/>
      <c r="DY179" s="18"/>
      <c r="DZ179" s="18"/>
    </row>
    <row r="180" spans="1:130" ht="15" customHeight="1" x14ac:dyDescent="0.3">
      <c r="A180" s="30" t="s">
        <v>399</v>
      </c>
      <c r="B180" s="73" t="s">
        <v>253</v>
      </c>
      <c r="C180" s="74">
        <v>-27</v>
      </c>
      <c r="D180" s="74">
        <v>8</v>
      </c>
      <c r="E180" s="74">
        <v>-13</v>
      </c>
      <c r="F180" s="74">
        <v>-23</v>
      </c>
      <c r="G180" s="74">
        <v>-96</v>
      </c>
      <c r="H180" s="74">
        <v>-29</v>
      </c>
      <c r="I180" s="74">
        <v>-235</v>
      </c>
      <c r="J180" s="74">
        <v>-54</v>
      </c>
      <c r="K180" s="74">
        <v>-33</v>
      </c>
      <c r="L180" s="74">
        <v>-136</v>
      </c>
      <c r="M180" s="75">
        <v>84</v>
      </c>
      <c r="N180" s="227"/>
      <c r="O180" s="17"/>
      <c r="P180" s="17"/>
      <c r="Q180" s="17"/>
      <c r="R180" s="17"/>
      <c r="S180" s="17"/>
      <c r="T180" s="17"/>
      <c r="U180" s="18"/>
      <c r="V180" s="18"/>
      <c r="W180" s="18"/>
      <c r="X180" s="18"/>
      <c r="Y180" s="18"/>
      <c r="Z180" s="18"/>
      <c r="AA180" s="18"/>
      <c r="AB180" s="18"/>
      <c r="AC180" s="18"/>
      <c r="AD180" s="18"/>
      <c r="AE180" s="18" t="str">
        <f t="shared" si="63"/>
        <v>Other Financing Activities</v>
      </c>
      <c r="AF180" s="85">
        <f t="shared" si="64"/>
        <v>0</v>
      </c>
      <c r="AG180" s="85">
        <f t="shared" si="65"/>
        <v>0</v>
      </c>
      <c r="AH180" s="85">
        <f t="shared" si="66"/>
        <v>0</v>
      </c>
      <c r="AI180" s="85">
        <f t="shared" si="67"/>
        <v>0</v>
      </c>
      <c r="AJ180" s="85">
        <f t="shared" si="68"/>
        <v>0</v>
      </c>
      <c r="AK180" s="85">
        <f t="shared" si="69"/>
        <v>0</v>
      </c>
      <c r="AL180" s="85">
        <f t="shared" si="70"/>
        <v>0</v>
      </c>
      <c r="AM180" s="85">
        <f t="shared" si="71"/>
        <v>0</v>
      </c>
      <c r="AN180" s="18"/>
      <c r="AO180" s="18"/>
      <c r="AP180" s="77" t="s">
        <v>253</v>
      </c>
      <c r="AQ180" s="86">
        <f>_xll.BDH($B$10,"CF_OTHER_FNC_ACT","-10FY","","Per=fy","Days=W","Fill=E","Curr=","DtFmt=P","Sort=D","Dts=H","Dir=H","FILING_STATUS,EQY_CONSOLIDATED","MR,","cols=11;rows=1")</f>
        <v>-27</v>
      </c>
      <c r="AR180" s="86">
        <v>8</v>
      </c>
      <c r="AS180" s="86">
        <v>-13</v>
      </c>
      <c r="AT180" s="86">
        <v>-23</v>
      </c>
      <c r="AU180" s="86">
        <v>-96</v>
      </c>
      <c r="AV180" s="86">
        <v>-29</v>
      </c>
      <c r="AW180" s="86">
        <v>-235</v>
      </c>
      <c r="AX180" s="86">
        <v>-54</v>
      </c>
      <c r="AY180" s="86">
        <v>-33</v>
      </c>
      <c r="AZ180" s="86">
        <v>-136</v>
      </c>
      <c r="BA180" s="87">
        <v>84</v>
      </c>
      <c r="BB180" s="18"/>
      <c r="BC180" s="18"/>
      <c r="BD180" s="18"/>
      <c r="BE180" s="18"/>
      <c r="BF180" s="18"/>
      <c r="BG180" s="18"/>
      <c r="BH180" s="18"/>
      <c r="BI180" s="18"/>
      <c r="BJ180" s="18"/>
      <c r="BK180" s="18"/>
      <c r="BL180" s="18"/>
      <c r="BM180" s="18"/>
      <c r="BN180" s="18"/>
      <c r="BO180" s="18"/>
      <c r="BP180" s="18"/>
      <c r="BQ180" s="37"/>
      <c r="BR180" s="38"/>
      <c r="BS180" s="17"/>
      <c r="BT180" s="37"/>
      <c r="BU180" s="38"/>
      <c r="BV180" s="18"/>
      <c r="BW180" s="37"/>
      <c r="BX180" s="38"/>
      <c r="BY180" s="18"/>
      <c r="BZ180" s="39" t="str">
        <f t="shared" si="58"/>
        <v>-</v>
      </c>
      <c r="CA180" s="40" t="str">
        <f t="shared" si="59"/>
        <v>-</v>
      </c>
      <c r="CB180" s="17"/>
      <c r="CC180" s="39" t="str">
        <f t="shared" si="60"/>
        <v>-</v>
      </c>
      <c r="CD180" s="40" t="str">
        <f t="shared" si="61"/>
        <v>-</v>
      </c>
      <c r="CE180" s="18"/>
      <c r="CF180" s="18"/>
      <c r="CG180" s="18"/>
      <c r="CH180" s="18"/>
      <c r="CI180" s="18"/>
      <c r="CJ180" s="18"/>
      <c r="CK180" s="18"/>
      <c r="CL180" s="18"/>
      <c r="CM180" s="18"/>
      <c r="CN180" s="18"/>
      <c r="CO180" s="18"/>
      <c r="CP180" s="18"/>
      <c r="CQ180" s="18"/>
      <c r="CR180" s="18"/>
      <c r="CS180" s="18"/>
      <c r="CT180" s="18"/>
      <c r="CU180" s="18"/>
      <c r="CV180" s="18"/>
      <c r="CW180" s="18"/>
      <c r="CX180" s="18"/>
      <c r="CY180" s="37"/>
      <c r="CZ180" s="38"/>
      <c r="DA180" s="18"/>
      <c r="DB180" s="37"/>
      <c r="DC180" s="38"/>
      <c r="DD180" s="18"/>
      <c r="DE180" s="37"/>
      <c r="DF180" s="38"/>
      <c r="DG180" s="18"/>
      <c r="DH180" s="37"/>
      <c r="DI180" s="38"/>
      <c r="DJ180" s="18"/>
      <c r="DK180" s="37"/>
      <c r="DL180" s="38"/>
      <c r="DM180" s="18"/>
      <c r="DN180" s="18"/>
      <c r="DO180" s="18"/>
      <c r="DP180" s="18"/>
      <c r="DQ180" s="18"/>
      <c r="DR180" s="18"/>
      <c r="DS180" s="18"/>
      <c r="DT180" s="18"/>
      <c r="DU180" s="18"/>
      <c r="DV180" s="18"/>
      <c r="DW180" s="18"/>
      <c r="DX180" s="18"/>
      <c r="DY180" s="18"/>
      <c r="DZ180" s="18"/>
    </row>
    <row r="181" spans="1:130" ht="15" customHeight="1" x14ac:dyDescent="0.3">
      <c r="A181" s="30" t="s">
        <v>400</v>
      </c>
      <c r="B181" s="90" t="s">
        <v>254</v>
      </c>
      <c r="C181" s="91">
        <v>-597</v>
      </c>
      <c r="D181" s="91">
        <v>-1327</v>
      </c>
      <c r="E181" s="91">
        <v>-283</v>
      </c>
      <c r="F181" s="91">
        <v>-1832</v>
      </c>
      <c r="G181" s="91">
        <v>-446</v>
      </c>
      <c r="H181" s="91">
        <v>-57</v>
      </c>
      <c r="I181" s="91">
        <v>-1638</v>
      </c>
      <c r="J181" s="91">
        <v>165</v>
      </c>
      <c r="K181" s="91">
        <v>-985</v>
      </c>
      <c r="L181" s="91">
        <v>-2206</v>
      </c>
      <c r="M181" s="92">
        <v>-360</v>
      </c>
      <c r="N181" s="227"/>
      <c r="O181" s="17"/>
      <c r="P181" s="17"/>
      <c r="Q181" s="17"/>
      <c r="R181" s="17"/>
      <c r="S181" s="17"/>
      <c r="T181" s="17"/>
      <c r="U181" s="18"/>
      <c r="V181" s="18"/>
      <c r="W181" s="18"/>
      <c r="X181" s="18"/>
      <c r="Y181" s="18"/>
      <c r="Z181" s="18"/>
      <c r="AA181" s="18"/>
      <c r="AB181" s="18"/>
      <c r="AC181" s="18"/>
      <c r="AD181" s="18"/>
      <c r="AE181" s="18" t="str">
        <f t="shared" si="63"/>
        <v>Cash from Financing Activities</v>
      </c>
      <c r="AF181" s="85">
        <f t="shared" si="64"/>
        <v>0</v>
      </c>
      <c r="AG181" s="85">
        <f t="shared" si="65"/>
        <v>0</v>
      </c>
      <c r="AH181" s="85">
        <f t="shared" si="66"/>
        <v>0</v>
      </c>
      <c r="AI181" s="85">
        <f t="shared" si="67"/>
        <v>0</v>
      </c>
      <c r="AJ181" s="85">
        <f t="shared" si="68"/>
        <v>0</v>
      </c>
      <c r="AK181" s="85">
        <f t="shared" si="69"/>
        <v>0</v>
      </c>
      <c r="AL181" s="85">
        <f t="shared" si="70"/>
        <v>0</v>
      </c>
      <c r="AM181" s="85">
        <f t="shared" si="71"/>
        <v>0</v>
      </c>
      <c r="AN181" s="18"/>
      <c r="AO181" s="18"/>
      <c r="AP181" s="102" t="s">
        <v>254</v>
      </c>
      <c r="AQ181" s="86">
        <f>_xll.BDH($B$10,"CF_CASH_FROM_FNC_ACT","-10FY","","Per=fy","Days=W","Fill=E","Curr=","DtFmt=P","Sort=D","Dts=H","Dir=H","FILING_STATUS,EQY_CONSOLIDATED","MR,","cols=11;rows=1")</f>
        <v>-597</v>
      </c>
      <c r="AR181" s="86">
        <v>-1327</v>
      </c>
      <c r="AS181" s="86">
        <v>-283</v>
      </c>
      <c r="AT181" s="86">
        <v>-1832</v>
      </c>
      <c r="AU181" s="86">
        <v>-446</v>
      </c>
      <c r="AV181" s="86">
        <v>-57</v>
      </c>
      <c r="AW181" s="86">
        <v>-1638</v>
      </c>
      <c r="AX181" s="86">
        <v>165</v>
      </c>
      <c r="AY181" s="86">
        <v>-985</v>
      </c>
      <c r="AZ181" s="86">
        <v>-2206</v>
      </c>
      <c r="BA181" s="87">
        <v>-360</v>
      </c>
      <c r="BB181" s="18"/>
      <c r="BC181" s="18"/>
      <c r="BD181" s="18"/>
      <c r="BE181" s="18"/>
      <c r="BF181" s="18"/>
      <c r="BG181" s="18"/>
      <c r="BH181" s="18"/>
      <c r="BI181" s="18"/>
      <c r="BJ181" s="18"/>
      <c r="BK181" s="18"/>
      <c r="BL181" s="18"/>
      <c r="BM181" s="18"/>
      <c r="BN181" s="18"/>
      <c r="BO181" s="18"/>
      <c r="BP181" s="18"/>
      <c r="BQ181" s="37"/>
      <c r="BR181" s="38"/>
      <c r="BS181" s="17"/>
      <c r="BT181" s="37"/>
      <c r="BU181" s="38"/>
      <c r="BV181" s="18"/>
      <c r="BW181" s="37"/>
      <c r="BX181" s="38"/>
      <c r="BY181" s="18"/>
      <c r="BZ181" s="39" t="str">
        <f t="shared" si="58"/>
        <v>-</v>
      </c>
      <c r="CA181" s="40" t="str">
        <f t="shared" si="59"/>
        <v>-</v>
      </c>
      <c r="CB181" s="17"/>
      <c r="CC181" s="39" t="str">
        <f t="shared" si="60"/>
        <v>-</v>
      </c>
      <c r="CD181" s="40" t="str">
        <f t="shared" si="61"/>
        <v>-</v>
      </c>
      <c r="CE181" s="18"/>
      <c r="CF181" s="18"/>
      <c r="CG181" s="18"/>
      <c r="CH181" s="18"/>
      <c r="CI181" s="18"/>
      <c r="CJ181" s="18"/>
      <c r="CK181" s="18"/>
      <c r="CL181" s="18"/>
      <c r="CM181" s="18"/>
      <c r="CN181" s="18"/>
      <c r="CO181" s="18"/>
      <c r="CP181" s="18"/>
      <c r="CQ181" s="18"/>
      <c r="CR181" s="18"/>
      <c r="CS181" s="18"/>
      <c r="CT181" s="18"/>
      <c r="CU181" s="18"/>
      <c r="CV181" s="18"/>
      <c r="CW181" s="18"/>
      <c r="CX181" s="18"/>
      <c r="CY181" s="37"/>
      <c r="CZ181" s="38"/>
      <c r="DA181" s="18"/>
      <c r="DB181" s="37"/>
      <c r="DC181" s="38"/>
      <c r="DD181" s="18"/>
      <c r="DE181" s="37"/>
      <c r="DF181" s="38"/>
      <c r="DG181" s="18"/>
      <c r="DH181" s="37"/>
      <c r="DI181" s="38"/>
      <c r="DJ181" s="18"/>
      <c r="DK181" s="37"/>
      <c r="DL181" s="38"/>
      <c r="DM181" s="18"/>
      <c r="DN181" s="18"/>
      <c r="DO181" s="18"/>
      <c r="DP181" s="18"/>
      <c r="DQ181" s="18"/>
      <c r="DR181" s="18"/>
      <c r="DS181" s="18"/>
      <c r="DT181" s="18"/>
      <c r="DU181" s="18"/>
      <c r="DV181" s="18"/>
      <c r="DW181" s="18"/>
      <c r="DX181" s="18"/>
      <c r="DY181" s="18"/>
      <c r="DZ181" s="18"/>
    </row>
    <row r="182" spans="1:130" ht="15" customHeight="1" x14ac:dyDescent="0.3">
      <c r="A182" s="30" t="s">
        <v>184</v>
      </c>
      <c r="B182" s="90" t="s">
        <v>460</v>
      </c>
      <c r="C182" s="91">
        <v>39</v>
      </c>
      <c r="D182" s="91">
        <v>11</v>
      </c>
      <c r="E182" s="91">
        <v>-281</v>
      </c>
      <c r="F182" s="91">
        <v>362</v>
      </c>
      <c r="G182" s="91">
        <v>-1189</v>
      </c>
      <c r="H182" s="91">
        <v>577</v>
      </c>
      <c r="I182" s="91">
        <v>-497</v>
      </c>
      <c r="J182" s="91">
        <v>770</v>
      </c>
      <c r="K182" s="91">
        <v>203</v>
      </c>
      <c r="L182" s="91">
        <v>-908</v>
      </c>
      <c r="M182" s="92">
        <v>691</v>
      </c>
      <c r="N182" s="227"/>
      <c r="O182" s="17"/>
      <c r="P182" s="17"/>
      <c r="Q182" s="17"/>
      <c r="R182" s="17"/>
      <c r="S182" s="17"/>
      <c r="T182" s="17"/>
      <c r="U182" s="18"/>
      <c r="V182" s="18"/>
      <c r="W182" s="18"/>
      <c r="X182" s="18"/>
      <c r="Y182" s="18"/>
      <c r="Z182" s="18"/>
      <c r="AA182" s="18"/>
      <c r="AB182" s="18"/>
      <c r="AC182" s="18"/>
      <c r="AD182" s="18"/>
      <c r="AE182" s="18" t="str">
        <f t="shared" si="63"/>
        <v>Net Changes in Cash</v>
      </c>
      <c r="AF182" s="85">
        <f t="shared" si="64"/>
        <v>0</v>
      </c>
      <c r="AG182" s="85">
        <f t="shared" si="65"/>
        <v>0</v>
      </c>
      <c r="AH182" s="85">
        <f t="shared" si="66"/>
        <v>0</v>
      </c>
      <c r="AI182" s="85">
        <f t="shared" si="67"/>
        <v>0</v>
      </c>
      <c r="AJ182" s="85">
        <f t="shared" si="68"/>
        <v>0</v>
      </c>
      <c r="AK182" s="85">
        <f t="shared" si="69"/>
        <v>0</v>
      </c>
      <c r="AL182" s="85">
        <f t="shared" si="70"/>
        <v>0</v>
      </c>
      <c r="AM182" s="85">
        <f t="shared" si="71"/>
        <v>0</v>
      </c>
      <c r="AN182" s="18"/>
      <c r="AO182" s="18"/>
      <c r="AP182" s="77" t="s">
        <v>460</v>
      </c>
      <c r="AQ182" s="18">
        <f>_xll.BDH($B$10,"CF_NET_CHNG_CASH","-10FY","","Per=fy","Days=W","Fill=E","Curr=","DtFmt=P","Sort=D","Dts=H","Dir=H","FILING_STATUS,EQY_CONSOLIDATED","MR,","cols=11;rows=1")</f>
        <v>39</v>
      </c>
      <c r="AR182" s="18">
        <v>11</v>
      </c>
      <c r="AS182" s="18">
        <v>-281</v>
      </c>
      <c r="AT182" s="18">
        <v>362</v>
      </c>
      <c r="AU182" s="18">
        <v>-1189</v>
      </c>
      <c r="AV182" s="18">
        <v>577</v>
      </c>
      <c r="AW182" s="18">
        <v>-497</v>
      </c>
      <c r="AX182" s="18">
        <v>770</v>
      </c>
      <c r="AY182" s="18">
        <v>203</v>
      </c>
      <c r="AZ182" s="18">
        <v>-908</v>
      </c>
      <c r="BA182" s="78">
        <v>691</v>
      </c>
      <c r="BB182" s="18"/>
      <c r="BC182" s="18"/>
      <c r="BD182" s="18"/>
      <c r="BE182" s="18"/>
      <c r="BF182" s="18"/>
      <c r="BG182" s="18"/>
      <c r="BH182" s="18"/>
      <c r="BI182" s="18"/>
      <c r="BJ182" s="18"/>
      <c r="BK182" s="18"/>
      <c r="BL182" s="18"/>
      <c r="BM182" s="18"/>
      <c r="BN182" s="18"/>
      <c r="BO182" s="18"/>
      <c r="BP182" s="18"/>
      <c r="BQ182" s="37"/>
      <c r="BR182" s="38"/>
      <c r="BS182" s="17"/>
      <c r="BT182" s="37"/>
      <c r="BU182" s="38"/>
      <c r="BV182" s="18"/>
      <c r="BW182" s="37"/>
      <c r="BX182" s="38"/>
      <c r="BY182" s="18"/>
      <c r="BZ182" s="39" t="str">
        <f t="shared" si="58"/>
        <v>-</v>
      </c>
      <c r="CA182" s="40" t="str">
        <f t="shared" si="59"/>
        <v>-</v>
      </c>
      <c r="CB182" s="17"/>
      <c r="CC182" s="39" t="str">
        <f t="shared" si="60"/>
        <v>-</v>
      </c>
      <c r="CD182" s="40" t="str">
        <f t="shared" si="61"/>
        <v>-</v>
      </c>
      <c r="CE182" s="18"/>
      <c r="CF182" s="18"/>
      <c r="CG182" s="18"/>
      <c r="CH182" s="18"/>
      <c r="CI182" s="18"/>
      <c r="CJ182" s="18"/>
      <c r="CK182" s="18"/>
      <c r="CL182" s="18"/>
      <c r="CM182" s="18"/>
      <c r="CN182" s="18"/>
      <c r="CO182" s="18"/>
      <c r="CP182" s="18"/>
      <c r="CQ182" s="18"/>
      <c r="CR182" s="18"/>
      <c r="CS182" s="18"/>
      <c r="CT182" s="18"/>
      <c r="CU182" s="18"/>
      <c r="CV182" s="18"/>
      <c r="CW182" s="18"/>
      <c r="CX182" s="18"/>
      <c r="CY182" s="37"/>
      <c r="CZ182" s="38"/>
      <c r="DA182" s="18"/>
      <c r="DB182" s="37"/>
      <c r="DC182" s="38"/>
      <c r="DD182" s="18"/>
      <c r="DE182" s="37"/>
      <c r="DF182" s="38"/>
      <c r="DG182" s="18"/>
      <c r="DH182" s="37"/>
      <c r="DI182" s="38"/>
      <c r="DJ182" s="18"/>
      <c r="DK182" s="37"/>
      <c r="DL182" s="38"/>
      <c r="DM182" s="18"/>
      <c r="DN182" s="18"/>
      <c r="DO182" s="18"/>
      <c r="DP182" s="18"/>
      <c r="DQ182" s="18"/>
      <c r="DR182" s="18"/>
      <c r="DS182" s="18"/>
      <c r="DT182" s="18"/>
      <c r="DU182" s="18"/>
      <c r="DV182" s="18"/>
      <c r="DW182" s="18"/>
      <c r="DX182" s="18"/>
      <c r="DY182" s="18"/>
      <c r="DZ182" s="18"/>
    </row>
    <row r="183" spans="1:130" ht="15" customHeight="1" x14ac:dyDescent="0.3">
      <c r="A183" s="30" t="s">
        <v>97</v>
      </c>
      <c r="B183" s="73" t="s">
        <v>97</v>
      </c>
      <c r="C183" s="74">
        <v>3485</v>
      </c>
      <c r="D183" s="74">
        <v>3244</v>
      </c>
      <c r="E183" s="74">
        <v>2732</v>
      </c>
      <c r="F183" s="74">
        <v>4388</v>
      </c>
      <c r="G183" s="74">
        <v>2904</v>
      </c>
      <c r="H183" s="74">
        <v>4833</v>
      </c>
      <c r="I183" s="74">
        <v>5539</v>
      </c>
      <c r="J183" s="74">
        <v>4981</v>
      </c>
      <c r="K183" s="74">
        <v>4404</v>
      </c>
      <c r="L183" s="74">
        <v>7343</v>
      </c>
      <c r="M183" s="75">
        <v>-5615</v>
      </c>
      <c r="N183" s="227"/>
      <c r="O183" s="17"/>
      <c r="P183" s="17"/>
      <c r="Q183" s="17"/>
      <c r="R183" s="17"/>
      <c r="S183" s="17"/>
      <c r="T183" s="17"/>
      <c r="U183" s="18"/>
      <c r="V183" s="18"/>
      <c r="W183" s="18"/>
      <c r="X183" s="18"/>
      <c r="Y183" s="18"/>
      <c r="Z183" s="18"/>
      <c r="AA183" s="18"/>
      <c r="AB183" s="18"/>
      <c r="AC183" s="18"/>
      <c r="AD183" s="18"/>
      <c r="AE183" s="18" t="str">
        <f t="shared" si="63"/>
        <v>EBITDA</v>
      </c>
      <c r="AF183" s="85" t="s">
        <v>97</v>
      </c>
      <c r="AG183" s="85">
        <v>3485</v>
      </c>
      <c r="AH183" s="85">
        <v>3244</v>
      </c>
      <c r="AI183" s="85">
        <v>2732</v>
      </c>
      <c r="AJ183" s="85">
        <v>4388</v>
      </c>
      <c r="AK183" s="85">
        <v>2904</v>
      </c>
      <c r="AL183" s="85">
        <v>4833</v>
      </c>
      <c r="AM183" s="85">
        <v>5539</v>
      </c>
      <c r="AN183" s="18">
        <v>4981</v>
      </c>
      <c r="AO183" s="18">
        <v>4404</v>
      </c>
      <c r="AP183" s="77">
        <v>7343</v>
      </c>
      <c r="AQ183" s="18">
        <v>-5615</v>
      </c>
      <c r="AR183" s="18">
        <v>-5615</v>
      </c>
      <c r="AS183" s="18">
        <v>1416.6</v>
      </c>
      <c r="AT183" s="18"/>
      <c r="AU183" s="18"/>
      <c r="AV183" s="18"/>
      <c r="AW183" s="18"/>
      <c r="AX183" s="18"/>
      <c r="AY183" s="18"/>
      <c r="AZ183" s="18"/>
      <c r="BA183" s="78"/>
      <c r="BB183" s="18"/>
      <c r="BC183" s="18"/>
      <c r="BD183" s="18"/>
      <c r="BE183" s="18"/>
      <c r="BF183" s="18"/>
      <c r="BG183" s="18"/>
      <c r="BH183" s="18"/>
      <c r="BI183" s="18"/>
      <c r="BJ183" s="18"/>
      <c r="BK183" s="18"/>
      <c r="BL183" s="18"/>
      <c r="BM183" s="18"/>
      <c r="BN183" s="18"/>
      <c r="BO183" s="18"/>
      <c r="BP183" s="18"/>
      <c r="BQ183" s="37"/>
      <c r="BR183" s="38"/>
      <c r="BS183" s="17"/>
      <c r="BT183" s="37"/>
      <c r="BU183" s="38"/>
      <c r="BV183" s="18"/>
      <c r="BW183" s="37"/>
      <c r="BX183" s="38"/>
      <c r="BY183" s="18"/>
      <c r="BZ183" s="39" t="str">
        <f t="shared" si="58"/>
        <v>-</v>
      </c>
      <c r="CA183" s="40" t="str">
        <f t="shared" si="59"/>
        <v>-</v>
      </c>
      <c r="CB183" s="17"/>
      <c r="CC183" s="39" t="str">
        <f t="shared" si="60"/>
        <v>-</v>
      </c>
      <c r="CD183" s="40" t="str">
        <f t="shared" si="61"/>
        <v>-</v>
      </c>
      <c r="CE183" s="18"/>
      <c r="CF183" s="18"/>
      <c r="CG183" s="18"/>
      <c r="CH183" s="18"/>
      <c r="CI183" s="18"/>
      <c r="CJ183" s="18"/>
      <c r="CK183" s="18"/>
      <c r="CL183" s="18"/>
      <c r="CM183" s="18"/>
      <c r="CN183" s="18"/>
      <c r="CO183" s="18"/>
      <c r="CP183" s="18"/>
      <c r="CQ183" s="18"/>
      <c r="CR183" s="18"/>
      <c r="CS183" s="18"/>
      <c r="CT183" s="18"/>
      <c r="CU183" s="18"/>
      <c r="CV183" s="18"/>
      <c r="CW183" s="18"/>
      <c r="CX183" s="18"/>
      <c r="CY183" s="37"/>
      <c r="CZ183" s="38"/>
      <c r="DA183" s="18"/>
      <c r="DB183" s="37"/>
      <c r="DC183" s="38"/>
      <c r="DD183" s="18"/>
      <c r="DE183" s="37"/>
      <c r="DF183" s="38"/>
      <c r="DG183" s="18"/>
      <c r="DH183" s="37"/>
      <c r="DI183" s="38"/>
      <c r="DJ183" s="18"/>
      <c r="DK183" s="37"/>
      <c r="DL183" s="38"/>
      <c r="DM183" s="18"/>
      <c r="DN183" s="18"/>
      <c r="DO183" s="18"/>
      <c r="DP183" s="18"/>
      <c r="DQ183" s="18"/>
      <c r="DR183" s="18"/>
      <c r="DS183" s="18"/>
      <c r="DT183" s="18"/>
      <c r="DU183" s="18"/>
      <c r="DV183" s="18"/>
      <c r="DW183" s="18"/>
      <c r="DX183" s="18"/>
      <c r="DY183" s="18"/>
      <c r="DZ183" s="18"/>
    </row>
    <row r="184" spans="1:130" ht="15" customHeight="1" x14ac:dyDescent="0.3">
      <c r="A184" s="30" t="s">
        <v>176</v>
      </c>
      <c r="B184" s="73" t="s">
        <v>461</v>
      </c>
      <c r="C184" s="74">
        <v>439</v>
      </c>
      <c r="D184" s="74">
        <v>618</v>
      </c>
      <c r="E184" s="74">
        <v>601</v>
      </c>
      <c r="F184" s="74">
        <v>967</v>
      </c>
      <c r="G184" s="74">
        <v>916</v>
      </c>
      <c r="H184" s="74">
        <v>874</v>
      </c>
      <c r="I184" s="74">
        <v>950</v>
      </c>
      <c r="J184" s="74">
        <v>1104</v>
      </c>
      <c r="K184" s="74">
        <v>822</v>
      </c>
      <c r="L184" s="74">
        <v>725</v>
      </c>
      <c r="M184" s="75">
        <v>740</v>
      </c>
      <c r="N184" s="227"/>
      <c r="O184" s="17"/>
      <c r="P184" s="17"/>
      <c r="Q184" s="17"/>
      <c r="R184" s="17"/>
      <c r="S184" s="17"/>
      <c r="T184" s="17"/>
      <c r="U184" s="18"/>
      <c r="V184" s="18"/>
      <c r="W184" s="18"/>
      <c r="X184" s="18"/>
      <c r="Y184" s="18"/>
      <c r="Z184" s="18"/>
      <c r="AA184" s="18"/>
      <c r="AB184" s="18"/>
      <c r="AC184" s="18"/>
      <c r="AD184" s="18"/>
      <c r="AE184" s="18" t="str">
        <f t="shared" si="63"/>
        <v>Cash Paid for Taxes</v>
      </c>
      <c r="AF184" s="85">
        <f t="shared" ref="AF184:AF192" si="72">C184-AQ184</f>
        <v>0</v>
      </c>
      <c r="AG184" s="85">
        <f t="shared" ref="AG184:AG192" si="73">D184-AR184</f>
        <v>0</v>
      </c>
      <c r="AH184" s="85">
        <f t="shared" ref="AH184:AH192" si="74">E184-AS184</f>
        <v>0</v>
      </c>
      <c r="AI184" s="85">
        <f t="shared" ref="AI184:AI192" si="75">F184-AT184</f>
        <v>0</v>
      </c>
      <c r="AJ184" s="85">
        <f t="shared" ref="AJ184:AJ192" si="76">G184-AU184</f>
        <v>0</v>
      </c>
      <c r="AK184" s="85">
        <f t="shared" ref="AK184:AK192" si="77">H184-AV184</f>
        <v>0</v>
      </c>
      <c r="AL184" s="85">
        <f t="shared" ref="AL184:AL192" si="78">I184-AW184</f>
        <v>0</v>
      </c>
      <c r="AM184" s="85">
        <f t="shared" ref="AM184:AM192" si="79">J184-AX184</f>
        <v>0</v>
      </c>
      <c r="AN184" s="18"/>
      <c r="AO184" s="18"/>
      <c r="AP184" s="77" t="s">
        <v>461</v>
      </c>
      <c r="AQ184" s="18">
        <f>_xll.BDH($B$10,"CF_CASH_PAID_FOR_TAX","-10FY","","Per=fy","Days=W","Fill=E","Curr=","DtFmt=P","Sort=D","Dts=H","Dir=H","FILING_STATUS,EQY_CONSOLIDATED","MR,","cols=11;rows=1")</f>
        <v>439</v>
      </c>
      <c r="AR184" s="18">
        <v>618</v>
      </c>
      <c r="AS184" s="18">
        <v>601</v>
      </c>
      <c r="AT184" s="18">
        <v>967</v>
      </c>
      <c r="AU184" s="18">
        <v>916</v>
      </c>
      <c r="AV184" s="18">
        <v>874</v>
      </c>
      <c r="AW184" s="18">
        <v>950</v>
      </c>
      <c r="AX184" s="18">
        <v>1104</v>
      </c>
      <c r="AY184" s="18">
        <v>822</v>
      </c>
      <c r="AZ184" s="18">
        <v>725</v>
      </c>
      <c r="BA184" s="78">
        <v>740</v>
      </c>
      <c r="BB184" s="18"/>
      <c r="BC184" s="18"/>
      <c r="BD184" s="18"/>
      <c r="BE184" s="18"/>
      <c r="BF184" s="18"/>
      <c r="BG184" s="18"/>
      <c r="BH184" s="18"/>
      <c r="BI184" s="18"/>
      <c r="BJ184" s="18"/>
      <c r="BK184" s="18"/>
      <c r="BL184" s="18"/>
      <c r="BM184" s="18"/>
      <c r="BN184" s="18"/>
      <c r="BO184" s="18"/>
      <c r="BP184" s="18"/>
      <c r="BQ184" s="37"/>
      <c r="BR184" s="38"/>
      <c r="BS184" s="17"/>
      <c r="BT184" s="37"/>
      <c r="BU184" s="38"/>
      <c r="BV184" s="18"/>
      <c r="BW184" s="37"/>
      <c r="BX184" s="38"/>
      <c r="BY184" s="18"/>
      <c r="BZ184" s="39" t="str">
        <f t="shared" si="58"/>
        <v>-</v>
      </c>
      <c r="CA184" s="40" t="str">
        <f t="shared" si="59"/>
        <v>-</v>
      </c>
      <c r="CB184" s="17"/>
      <c r="CC184" s="39" t="str">
        <f t="shared" si="60"/>
        <v>-</v>
      </c>
      <c r="CD184" s="40" t="str">
        <f t="shared" si="61"/>
        <v>-</v>
      </c>
      <c r="CE184" s="18"/>
      <c r="CF184" s="18"/>
      <c r="CG184" s="18"/>
      <c r="CH184" s="18"/>
      <c r="CI184" s="18"/>
      <c r="CJ184" s="18"/>
      <c r="CK184" s="18"/>
      <c r="CL184" s="18"/>
      <c r="CM184" s="18"/>
      <c r="CN184" s="18"/>
      <c r="CO184" s="18"/>
      <c r="CP184" s="18"/>
      <c r="CQ184" s="18"/>
      <c r="CR184" s="18"/>
      <c r="CS184" s="18"/>
      <c r="CT184" s="18"/>
      <c r="CU184" s="18"/>
      <c r="CV184" s="18"/>
      <c r="CW184" s="18"/>
      <c r="CX184" s="18"/>
      <c r="CY184" s="37"/>
      <c r="CZ184" s="38"/>
      <c r="DA184" s="18"/>
      <c r="DB184" s="37"/>
      <c r="DC184" s="38"/>
      <c r="DD184" s="18"/>
      <c r="DE184" s="37"/>
      <c r="DF184" s="38"/>
      <c r="DG184" s="18"/>
      <c r="DH184" s="37"/>
      <c r="DI184" s="38"/>
      <c r="DJ184" s="18"/>
      <c r="DK184" s="37"/>
      <c r="DL184" s="38"/>
      <c r="DM184" s="18"/>
      <c r="DN184" s="18"/>
      <c r="DO184" s="18"/>
      <c r="DP184" s="18"/>
      <c r="DQ184" s="18"/>
      <c r="DR184" s="18"/>
      <c r="DS184" s="18"/>
      <c r="DT184" s="18"/>
      <c r="DU184" s="18"/>
      <c r="DV184" s="18"/>
      <c r="DW184" s="18"/>
      <c r="DX184" s="18"/>
      <c r="DY184" s="18"/>
      <c r="DZ184" s="18"/>
    </row>
    <row r="185" spans="1:130" ht="15" customHeight="1" x14ac:dyDescent="0.3">
      <c r="A185" s="30" t="s">
        <v>401</v>
      </c>
      <c r="B185" s="73" t="s">
        <v>255</v>
      </c>
      <c r="C185" s="74">
        <v>828</v>
      </c>
      <c r="D185" s="74">
        <v>812</v>
      </c>
      <c r="E185" s="74">
        <v>947</v>
      </c>
      <c r="F185" s="74">
        <v>602</v>
      </c>
      <c r="G185" s="74">
        <v>729</v>
      </c>
      <c r="H185" s="74">
        <v>732</v>
      </c>
      <c r="I185" s="74">
        <v>678</v>
      </c>
      <c r="J185" s="74">
        <v>600</v>
      </c>
      <c r="K185" s="74">
        <v>545</v>
      </c>
      <c r="L185" s="74">
        <v>812</v>
      </c>
      <c r="M185" s="75">
        <v>1976</v>
      </c>
      <c r="N185" s="227"/>
      <c r="O185" s="17"/>
      <c r="P185" s="17"/>
      <c r="Q185" s="17"/>
      <c r="R185" s="17"/>
      <c r="S185" s="17"/>
      <c r="T185" s="17"/>
      <c r="U185" s="18"/>
      <c r="V185" s="18"/>
      <c r="W185" s="18"/>
      <c r="X185" s="18"/>
      <c r="Y185" s="18"/>
      <c r="Z185" s="18"/>
      <c r="AA185" s="18"/>
      <c r="AB185" s="18"/>
      <c r="AC185" s="18"/>
      <c r="AD185" s="18"/>
      <c r="AE185" s="18" t="str">
        <f t="shared" si="63"/>
        <v>Cash Paid for Interest</v>
      </c>
      <c r="AF185" s="85">
        <f t="shared" si="72"/>
        <v>0</v>
      </c>
      <c r="AG185" s="85">
        <f t="shared" si="73"/>
        <v>0</v>
      </c>
      <c r="AH185" s="85">
        <f t="shared" si="74"/>
        <v>0</v>
      </c>
      <c r="AI185" s="85">
        <f t="shared" si="75"/>
        <v>0</v>
      </c>
      <c r="AJ185" s="85">
        <f t="shared" si="76"/>
        <v>0</v>
      </c>
      <c r="AK185" s="85">
        <f t="shared" si="77"/>
        <v>0</v>
      </c>
      <c r="AL185" s="85">
        <f t="shared" si="78"/>
        <v>0</v>
      </c>
      <c r="AM185" s="85">
        <f t="shared" si="79"/>
        <v>0</v>
      </c>
      <c r="AN185" s="18"/>
      <c r="AO185" s="18"/>
      <c r="AP185" s="77" t="s">
        <v>255</v>
      </c>
      <c r="AQ185" s="18">
        <f>_xll.BDH($B$10,"CF_ACT_CASH_PAID_FOR_INT_DEBT","-10FY","","Per=fy","Days=W","Fill=E","Curr=","DtFmt=P","Sort=D","Dts=H","Dir=H","FILING_STATUS,EQY_CONSOLIDATED","MR,","cols=11;rows=1")</f>
        <v>828</v>
      </c>
      <c r="AR185" s="18">
        <v>812</v>
      </c>
      <c r="AS185" s="18">
        <v>947</v>
      </c>
      <c r="AT185" s="18">
        <v>602</v>
      </c>
      <c r="AU185" s="18">
        <v>729</v>
      </c>
      <c r="AV185" s="18">
        <v>732</v>
      </c>
      <c r="AW185" s="18">
        <v>678</v>
      </c>
      <c r="AX185" s="18">
        <v>600</v>
      </c>
      <c r="AY185" s="18">
        <v>545</v>
      </c>
      <c r="AZ185" s="18">
        <v>812</v>
      </c>
      <c r="BA185" s="78">
        <v>1976</v>
      </c>
      <c r="BB185" s="18"/>
      <c r="BC185" s="18"/>
      <c r="BD185" s="18"/>
      <c r="BE185" s="18"/>
      <c r="BF185" s="18"/>
      <c r="BG185" s="18"/>
      <c r="BH185" s="18"/>
      <c r="BI185" s="18"/>
      <c r="BJ185" s="18"/>
      <c r="BK185" s="18"/>
      <c r="BL185" s="18"/>
      <c r="BM185" s="18"/>
      <c r="BN185" s="18"/>
      <c r="BO185" s="18"/>
      <c r="BP185" s="18"/>
      <c r="BQ185" s="37"/>
      <c r="BR185" s="38"/>
      <c r="BS185" s="17"/>
      <c r="BT185" s="37"/>
      <c r="BU185" s="38"/>
      <c r="BV185" s="18"/>
      <c r="BW185" s="37"/>
      <c r="BX185" s="38"/>
      <c r="BY185" s="18"/>
      <c r="BZ185" s="39" t="str">
        <f t="shared" si="58"/>
        <v>-</v>
      </c>
      <c r="CA185" s="40" t="str">
        <f t="shared" si="59"/>
        <v>-</v>
      </c>
      <c r="CB185" s="17"/>
      <c r="CC185" s="39" t="str">
        <f t="shared" si="60"/>
        <v>-</v>
      </c>
      <c r="CD185" s="40" t="str">
        <f t="shared" si="61"/>
        <v>-</v>
      </c>
      <c r="CE185" s="18"/>
      <c r="CF185" s="18"/>
      <c r="CG185" s="18"/>
      <c r="CH185" s="18"/>
      <c r="CI185" s="18"/>
      <c r="CJ185" s="18"/>
      <c r="CK185" s="18"/>
      <c r="CL185" s="18"/>
      <c r="CM185" s="18"/>
      <c r="CN185" s="18"/>
      <c r="CO185" s="18"/>
      <c r="CP185" s="18"/>
      <c r="CQ185" s="18"/>
      <c r="CR185" s="18"/>
      <c r="CS185" s="18"/>
      <c r="CT185" s="18"/>
      <c r="CU185" s="18"/>
      <c r="CV185" s="18"/>
      <c r="CW185" s="18"/>
      <c r="CX185" s="18"/>
      <c r="CY185" s="37"/>
      <c r="CZ185" s="38"/>
      <c r="DA185" s="18"/>
      <c r="DB185" s="37"/>
      <c r="DC185" s="38"/>
      <c r="DD185" s="18"/>
      <c r="DE185" s="37"/>
      <c r="DF185" s="38"/>
      <c r="DG185" s="18"/>
      <c r="DH185" s="37"/>
      <c r="DI185" s="38"/>
      <c r="DJ185" s="18"/>
      <c r="DK185" s="37"/>
      <c r="DL185" s="38"/>
      <c r="DM185" s="18"/>
      <c r="DN185" s="18"/>
      <c r="DO185" s="18"/>
      <c r="DP185" s="18"/>
      <c r="DQ185" s="18"/>
      <c r="DR185" s="18"/>
      <c r="DS185" s="18"/>
      <c r="DT185" s="18"/>
      <c r="DU185" s="18"/>
      <c r="DV185" s="18"/>
      <c r="DW185" s="18"/>
      <c r="DX185" s="18"/>
      <c r="DY185" s="18"/>
      <c r="DZ185" s="18"/>
    </row>
    <row r="186" spans="1:130" ht="15" customHeight="1" x14ac:dyDescent="0.3">
      <c r="A186" s="30" t="s">
        <v>402</v>
      </c>
      <c r="B186" s="73" t="s">
        <v>256</v>
      </c>
      <c r="C186" s="74" t="s">
        <v>615</v>
      </c>
      <c r="D186" s="74" t="s">
        <v>615</v>
      </c>
      <c r="E186" s="74" t="s">
        <v>615</v>
      </c>
      <c r="F186" s="74" t="s">
        <v>615</v>
      </c>
      <c r="G186" s="74">
        <v>1234</v>
      </c>
      <c r="H186" s="74">
        <v>142</v>
      </c>
      <c r="I186" s="74">
        <v>80</v>
      </c>
      <c r="J186" s="74">
        <v>87</v>
      </c>
      <c r="K186" s="74">
        <v>65</v>
      </c>
      <c r="L186" s="74">
        <v>172</v>
      </c>
      <c r="M186" s="75">
        <v>32</v>
      </c>
      <c r="N186" s="227"/>
      <c r="O186" s="17"/>
      <c r="P186" s="17"/>
      <c r="Q186" s="17"/>
      <c r="R186" s="17"/>
      <c r="S186" s="17"/>
      <c r="T186" s="17"/>
      <c r="U186" s="18"/>
      <c r="V186" s="18"/>
      <c r="W186" s="18"/>
      <c r="X186" s="18"/>
      <c r="Y186" s="18"/>
      <c r="Z186" s="18"/>
      <c r="AA186" s="18"/>
      <c r="AB186" s="18"/>
      <c r="AC186" s="18"/>
      <c r="AD186" s="18"/>
      <c r="AE186" s="18" t="str">
        <f t="shared" si="63"/>
        <v>Net Cash Paid for Acquisitions</v>
      </c>
      <c r="AF186" s="85" t="e">
        <f t="shared" si="72"/>
        <v>#VALUE!</v>
      </c>
      <c r="AG186" s="85" t="e">
        <f t="shared" si="73"/>
        <v>#VALUE!</v>
      </c>
      <c r="AH186" s="85" t="e">
        <f t="shared" si="74"/>
        <v>#VALUE!</v>
      </c>
      <c r="AI186" s="85" t="e">
        <f t="shared" si="75"/>
        <v>#VALUE!</v>
      </c>
      <c r="AJ186" s="85">
        <f t="shared" si="76"/>
        <v>0</v>
      </c>
      <c r="AK186" s="85">
        <f t="shared" si="77"/>
        <v>0</v>
      </c>
      <c r="AL186" s="85">
        <f t="shared" si="78"/>
        <v>0</v>
      </c>
      <c r="AM186" s="85">
        <f t="shared" si="79"/>
        <v>0</v>
      </c>
      <c r="AN186" s="18"/>
      <c r="AO186" s="18"/>
      <c r="AP186" s="77" t="s">
        <v>256</v>
      </c>
      <c r="AQ186" s="18" t="str">
        <f>_xll.BDH($B$10,"CF_NET_CASH_PAID_FOR_AQUIS","-10FY","","Per=fy","Days=W","Fill=E","Curr=","DtFmt=P","Sort=D","Dts=H","Dir=H","FILING_STATUS,EQY_CONSOLIDATED","MR,","cols=11;rows=1")</f>
        <v>#N/A N/A</v>
      </c>
      <c r="AR186" s="18" t="s">
        <v>1811</v>
      </c>
      <c r="AS186" s="18" t="s">
        <v>1811</v>
      </c>
      <c r="AT186" s="18">
        <v>0</v>
      </c>
      <c r="AU186" s="18">
        <v>1234</v>
      </c>
      <c r="AV186" s="18">
        <v>142</v>
      </c>
      <c r="AW186" s="18">
        <v>80</v>
      </c>
      <c r="AX186" s="18">
        <v>87</v>
      </c>
      <c r="AY186" s="18">
        <v>65</v>
      </c>
      <c r="AZ186" s="18">
        <v>172</v>
      </c>
      <c r="BA186" s="78">
        <v>32</v>
      </c>
      <c r="BB186" s="18"/>
      <c r="BC186" s="18"/>
      <c r="BD186" s="18"/>
      <c r="BE186" s="18"/>
      <c r="BF186" s="18"/>
      <c r="BG186" s="18"/>
      <c r="BH186" s="18"/>
      <c r="BI186" s="18"/>
      <c r="BJ186" s="18"/>
      <c r="BK186" s="18"/>
      <c r="BL186" s="18"/>
      <c r="BM186" s="18"/>
      <c r="BN186" s="18"/>
      <c r="BO186" s="18"/>
      <c r="BP186" s="18"/>
      <c r="BQ186" s="37"/>
      <c r="BR186" s="38"/>
      <c r="BS186" s="17"/>
      <c r="BT186" s="37"/>
      <c r="BU186" s="38"/>
      <c r="BV186" s="18"/>
      <c r="BW186" s="37"/>
      <c r="BX186" s="38"/>
      <c r="BY186" s="18"/>
      <c r="BZ186" s="39" t="str">
        <f t="shared" si="58"/>
        <v>-</v>
      </c>
      <c r="CA186" s="40" t="str">
        <f t="shared" si="59"/>
        <v>-</v>
      </c>
      <c r="CB186" s="17"/>
      <c r="CC186" s="39" t="str">
        <f t="shared" si="60"/>
        <v>-</v>
      </c>
      <c r="CD186" s="40" t="str">
        <f t="shared" si="61"/>
        <v>-</v>
      </c>
      <c r="CE186" s="18"/>
      <c r="CF186" s="18"/>
      <c r="CG186" s="18"/>
      <c r="CH186" s="18"/>
      <c r="CI186" s="18"/>
      <c r="CJ186" s="18"/>
      <c r="CK186" s="18"/>
      <c r="CL186" s="18"/>
      <c r="CM186" s="18"/>
      <c r="CN186" s="18"/>
      <c r="CO186" s="18"/>
      <c r="CP186" s="18"/>
      <c r="CQ186" s="18"/>
      <c r="CR186" s="18"/>
      <c r="CS186" s="18"/>
      <c r="CT186" s="18"/>
      <c r="CU186" s="18"/>
      <c r="CV186" s="18"/>
      <c r="CW186" s="18"/>
      <c r="CX186" s="18"/>
      <c r="CY186" s="37"/>
      <c r="CZ186" s="38"/>
      <c r="DA186" s="18"/>
      <c r="DB186" s="37"/>
      <c r="DC186" s="38"/>
      <c r="DD186" s="18"/>
      <c r="DE186" s="37"/>
      <c r="DF186" s="38"/>
      <c r="DG186" s="18"/>
      <c r="DH186" s="37"/>
      <c r="DI186" s="38"/>
      <c r="DJ186" s="18"/>
      <c r="DK186" s="37"/>
      <c r="DL186" s="38"/>
      <c r="DM186" s="18"/>
      <c r="DN186" s="18"/>
      <c r="DO186" s="18"/>
      <c r="DP186" s="18"/>
      <c r="DQ186" s="18"/>
      <c r="DR186" s="18"/>
      <c r="DS186" s="18"/>
      <c r="DT186" s="18"/>
      <c r="DU186" s="18"/>
      <c r="DV186" s="18"/>
      <c r="DW186" s="18"/>
      <c r="DX186" s="18"/>
      <c r="DY186" s="18"/>
      <c r="DZ186" s="18"/>
    </row>
    <row r="187" spans="1:130" ht="15" customHeight="1" x14ac:dyDescent="0.3">
      <c r="A187" s="30" t="s">
        <v>403</v>
      </c>
      <c r="B187" s="73" t="s">
        <v>257</v>
      </c>
      <c r="C187" s="74">
        <v>636</v>
      </c>
      <c r="D187" s="74">
        <v>1440</v>
      </c>
      <c r="E187" s="74">
        <v>-772</v>
      </c>
      <c r="F187" s="74">
        <v>2121</v>
      </c>
      <c r="G187" s="74">
        <v>1268</v>
      </c>
      <c r="H187" s="74">
        <v>410</v>
      </c>
      <c r="I187" s="74">
        <v>1060</v>
      </c>
      <c r="J187" s="74">
        <v>775</v>
      </c>
      <c r="K187" s="74">
        <v>1227</v>
      </c>
      <c r="L187" s="74">
        <v>1171</v>
      </c>
      <c r="M187" s="75">
        <v>1274</v>
      </c>
      <c r="N187" s="227"/>
      <c r="O187" s="17"/>
      <c r="P187" s="17"/>
      <c r="Q187" s="17"/>
      <c r="R187" s="17"/>
      <c r="S187" s="17"/>
      <c r="T187" s="17"/>
      <c r="U187" s="18"/>
      <c r="V187" s="18"/>
      <c r="W187" s="18"/>
      <c r="X187" s="18"/>
      <c r="Y187" s="18"/>
      <c r="Z187" s="18"/>
      <c r="AA187" s="18"/>
      <c r="AB187" s="18"/>
      <c r="AC187" s="18"/>
      <c r="AD187" s="18"/>
      <c r="AE187" s="18" t="str">
        <f t="shared" si="63"/>
        <v>Free Cash Flow</v>
      </c>
      <c r="AF187" s="85">
        <f t="shared" si="72"/>
        <v>0</v>
      </c>
      <c r="AG187" s="85">
        <f t="shared" si="73"/>
        <v>0</v>
      </c>
      <c r="AH187" s="85">
        <f t="shared" si="74"/>
        <v>0</v>
      </c>
      <c r="AI187" s="85">
        <f t="shared" si="75"/>
        <v>0</v>
      </c>
      <c r="AJ187" s="85">
        <f t="shared" si="76"/>
        <v>0</v>
      </c>
      <c r="AK187" s="85">
        <f t="shared" si="77"/>
        <v>0</v>
      </c>
      <c r="AL187" s="85">
        <f t="shared" si="78"/>
        <v>0</v>
      </c>
      <c r="AM187" s="85">
        <f t="shared" si="79"/>
        <v>0</v>
      </c>
      <c r="AN187" s="18"/>
      <c r="AO187" s="18"/>
      <c r="AP187" s="77" t="s">
        <v>257</v>
      </c>
      <c r="AQ187" s="18">
        <f>_xll.BDH($B$10,"CF_FREE_CASH_FLOW","-10FY","","Per=fy","Days=W","Fill=E","Curr=","DtFmt=P","Sort=D","Dts=H","Dir=H","FILING_STATUS,EQY_CONSOLIDATED","MR,","cols=11;rows=1")</f>
        <v>636</v>
      </c>
      <c r="AR187" s="18">
        <v>1440</v>
      </c>
      <c r="AS187" s="18">
        <v>-772</v>
      </c>
      <c r="AT187" s="18">
        <v>2121</v>
      </c>
      <c r="AU187" s="18">
        <v>1268</v>
      </c>
      <c r="AV187" s="18">
        <v>410</v>
      </c>
      <c r="AW187" s="18">
        <v>1060</v>
      </c>
      <c r="AX187" s="18">
        <v>775</v>
      </c>
      <c r="AY187" s="18">
        <v>1227</v>
      </c>
      <c r="AZ187" s="18">
        <v>1171</v>
      </c>
      <c r="BA187" s="78">
        <v>1274</v>
      </c>
      <c r="BB187" s="18"/>
      <c r="BC187" s="18"/>
      <c r="BD187" s="18"/>
      <c r="BE187" s="18"/>
      <c r="BF187" s="18"/>
      <c r="BG187" s="18"/>
      <c r="BH187" s="18"/>
      <c r="BI187" s="18"/>
      <c r="BJ187" s="18"/>
      <c r="BK187" s="18"/>
      <c r="BL187" s="18"/>
      <c r="BM187" s="18"/>
      <c r="BN187" s="18"/>
      <c r="BO187" s="18"/>
      <c r="BP187" s="18"/>
      <c r="BQ187" s="37"/>
      <c r="BR187" s="38"/>
      <c r="BS187" s="17"/>
      <c r="BT187" s="37"/>
      <c r="BU187" s="38"/>
      <c r="BV187" s="18"/>
      <c r="BW187" s="37"/>
      <c r="BX187" s="38"/>
      <c r="BY187" s="18"/>
      <c r="BZ187" s="39" t="str">
        <f t="shared" si="58"/>
        <v>-</v>
      </c>
      <c r="CA187" s="40" t="str">
        <f t="shared" si="59"/>
        <v>-</v>
      </c>
      <c r="CB187" s="17"/>
      <c r="CC187" s="39" t="str">
        <f t="shared" si="60"/>
        <v>-</v>
      </c>
      <c r="CD187" s="40" t="str">
        <f t="shared" si="61"/>
        <v>-</v>
      </c>
      <c r="CE187" s="18"/>
      <c r="CF187" s="18"/>
      <c r="CG187" s="18"/>
      <c r="CH187" s="18"/>
      <c r="CI187" s="18"/>
      <c r="CJ187" s="18"/>
      <c r="CK187" s="18"/>
      <c r="CL187" s="18"/>
      <c r="CM187" s="18"/>
      <c r="CN187" s="18"/>
      <c r="CO187" s="18"/>
      <c r="CP187" s="18"/>
      <c r="CQ187" s="18"/>
      <c r="CR187" s="18"/>
      <c r="CS187" s="18"/>
      <c r="CT187" s="18"/>
      <c r="CU187" s="18"/>
      <c r="CV187" s="18"/>
      <c r="CW187" s="18"/>
      <c r="CX187" s="18"/>
      <c r="CY187" s="37"/>
      <c r="CZ187" s="38"/>
      <c r="DA187" s="18"/>
      <c r="DB187" s="37"/>
      <c r="DC187" s="38"/>
      <c r="DD187" s="18"/>
      <c r="DE187" s="37"/>
      <c r="DF187" s="38"/>
      <c r="DG187" s="18"/>
      <c r="DH187" s="37"/>
      <c r="DI187" s="38"/>
      <c r="DJ187" s="18"/>
      <c r="DK187" s="37"/>
      <c r="DL187" s="38"/>
      <c r="DM187" s="18"/>
      <c r="DN187" s="18"/>
      <c r="DO187" s="18"/>
      <c r="DP187" s="18"/>
      <c r="DQ187" s="18"/>
      <c r="DR187" s="18"/>
      <c r="DS187" s="18"/>
      <c r="DT187" s="18"/>
      <c r="DU187" s="18"/>
      <c r="DV187" s="18"/>
      <c r="DW187" s="18"/>
      <c r="DX187" s="18"/>
      <c r="DY187" s="18"/>
      <c r="DZ187" s="18"/>
    </row>
    <row r="188" spans="1:130" ht="15" customHeight="1" x14ac:dyDescent="0.3">
      <c r="A188" s="30" t="s">
        <v>404</v>
      </c>
      <c r="B188" s="73" t="s">
        <v>258</v>
      </c>
      <c r="C188" s="74">
        <v>1202.07</v>
      </c>
      <c r="D188" s="74">
        <v>1985.44</v>
      </c>
      <c r="E188" s="74">
        <v>-183.26</v>
      </c>
      <c r="F188" s="74">
        <v>2565.37</v>
      </c>
      <c r="G188" s="74">
        <v>1594.59</v>
      </c>
      <c r="H188" s="74">
        <v>738.19</v>
      </c>
      <c r="I188" s="74">
        <v>1437.15</v>
      </c>
      <c r="J188" s="74">
        <v>1207.8800000000001</v>
      </c>
      <c r="K188" s="74">
        <v>1635.06</v>
      </c>
      <c r="L188" s="74">
        <v>1840.19</v>
      </c>
      <c r="M188" s="75" t="s">
        <v>615</v>
      </c>
      <c r="N188" s="227"/>
      <c r="O188" s="17"/>
      <c r="P188" s="17"/>
      <c r="Q188" s="17"/>
      <c r="R188" s="17"/>
      <c r="S188" s="17"/>
      <c r="T188" s="17"/>
      <c r="U188" s="18"/>
      <c r="V188" s="18"/>
      <c r="W188" s="18"/>
      <c r="X188" s="18"/>
      <c r="Y188" s="18"/>
      <c r="Z188" s="18"/>
      <c r="AA188" s="18"/>
      <c r="AB188" s="18"/>
      <c r="AC188" s="18"/>
      <c r="AD188" s="18"/>
      <c r="AE188" s="18" t="str">
        <f t="shared" si="63"/>
        <v>Free Cash Flow To Firm</v>
      </c>
      <c r="AF188" s="85">
        <f t="shared" si="72"/>
        <v>9.0000000000145519E-4</v>
      </c>
      <c r="AG188" s="85">
        <f t="shared" si="73"/>
        <v>-2.1999999999025022E-3</v>
      </c>
      <c r="AH188" s="85">
        <f t="shared" si="74"/>
        <v>-1.0999999999796728E-3</v>
      </c>
      <c r="AI188" s="85">
        <f t="shared" si="75"/>
        <v>-1.8000000000029104E-3</v>
      </c>
      <c r="AJ188" s="85">
        <f t="shared" si="76"/>
        <v>-2.4000000000796717E-3</v>
      </c>
      <c r="AK188" s="85">
        <f t="shared" si="77"/>
        <v>3.0000000003838068E-4</v>
      </c>
      <c r="AL188" s="85">
        <f t="shared" si="78"/>
        <v>3.5000000000309228E-3</v>
      </c>
      <c r="AM188" s="85">
        <f t="shared" si="79"/>
        <v>2.7000000000043656E-3</v>
      </c>
      <c r="AN188" s="18"/>
      <c r="AO188" s="18"/>
      <c r="AP188" s="77" t="s">
        <v>258</v>
      </c>
      <c r="AQ188" s="18">
        <f>_xll.BDH($B$10,"CF_FREE_CASH_FLOW_FIRM","-10FY","","Per=fy","Days=W","Fill=E","Curr=","DtFmt=P","Sort=D","Dts=H","Dir=H","FILING_STATUS,EQY_CONSOLIDATED","MR,","cols=11;rows=1")</f>
        <v>1202.0690999999999</v>
      </c>
      <c r="AR188" s="18">
        <v>1985.4422</v>
      </c>
      <c r="AS188" s="18">
        <v>-183.25890000000001</v>
      </c>
      <c r="AT188" s="18">
        <v>2565.3717999999999</v>
      </c>
      <c r="AU188" s="18">
        <v>1594.5924</v>
      </c>
      <c r="AV188" s="18">
        <v>738.18970000000002</v>
      </c>
      <c r="AW188" s="18">
        <v>1437.1465000000001</v>
      </c>
      <c r="AX188" s="18">
        <v>1207.8773000000001</v>
      </c>
      <c r="AY188" s="18">
        <v>1635.058</v>
      </c>
      <c r="AZ188" s="18">
        <v>1840.1916000000001</v>
      </c>
      <c r="BA188" s="78" t="s">
        <v>1811</v>
      </c>
      <c r="BB188" s="18"/>
      <c r="BC188" s="18"/>
      <c r="BD188" s="18"/>
      <c r="BE188" s="18"/>
      <c r="BF188" s="18"/>
      <c r="BG188" s="18"/>
      <c r="BH188" s="18"/>
      <c r="BI188" s="18"/>
      <c r="BJ188" s="18"/>
      <c r="BK188" s="18"/>
      <c r="BL188" s="18"/>
      <c r="BM188" s="18"/>
      <c r="BN188" s="18"/>
      <c r="BO188" s="18"/>
      <c r="BP188" s="18"/>
      <c r="BQ188" s="37"/>
      <c r="BR188" s="38"/>
      <c r="BS188" s="17"/>
      <c r="BT188" s="37"/>
      <c r="BU188" s="38"/>
      <c r="BV188" s="18"/>
      <c r="BW188" s="37"/>
      <c r="BX188" s="38"/>
      <c r="BY188" s="18"/>
      <c r="BZ188" s="39" t="str">
        <f t="shared" si="58"/>
        <v>-</v>
      </c>
      <c r="CA188" s="40" t="str">
        <f t="shared" si="59"/>
        <v>-</v>
      </c>
      <c r="CB188" s="17"/>
      <c r="CC188" s="39" t="str">
        <f t="shared" si="60"/>
        <v>-</v>
      </c>
      <c r="CD188" s="40" t="str">
        <f t="shared" si="61"/>
        <v>-</v>
      </c>
      <c r="CE188" s="18"/>
      <c r="CF188" s="18"/>
      <c r="CG188" s="18"/>
      <c r="CH188" s="18"/>
      <c r="CI188" s="18"/>
      <c r="CJ188" s="18"/>
      <c r="CK188" s="18"/>
      <c r="CL188" s="18"/>
      <c r="CM188" s="18"/>
      <c r="CN188" s="18"/>
      <c r="CO188" s="18"/>
      <c r="CP188" s="18"/>
      <c r="CQ188" s="18"/>
      <c r="CR188" s="18"/>
      <c r="CS188" s="18"/>
      <c r="CT188" s="18"/>
      <c r="CU188" s="18"/>
      <c r="CV188" s="18"/>
      <c r="CW188" s="18"/>
      <c r="CX188" s="18"/>
      <c r="CY188" s="37"/>
      <c r="CZ188" s="38"/>
      <c r="DA188" s="18"/>
      <c r="DB188" s="37"/>
      <c r="DC188" s="38"/>
      <c r="DD188" s="18"/>
      <c r="DE188" s="37"/>
      <c r="DF188" s="38"/>
      <c r="DG188" s="18"/>
      <c r="DH188" s="37"/>
      <c r="DI188" s="38"/>
      <c r="DJ188" s="18"/>
      <c r="DK188" s="37"/>
      <c r="DL188" s="38"/>
      <c r="DM188" s="18"/>
      <c r="DN188" s="18"/>
      <c r="DO188" s="18"/>
      <c r="DP188" s="18"/>
      <c r="DQ188" s="18"/>
      <c r="DR188" s="18"/>
      <c r="DS188" s="18"/>
      <c r="DT188" s="18"/>
      <c r="DU188" s="18"/>
      <c r="DV188" s="18"/>
      <c r="DW188" s="18"/>
      <c r="DX188" s="18"/>
      <c r="DY188" s="18"/>
      <c r="DZ188" s="18"/>
    </row>
    <row r="189" spans="1:130" ht="15" customHeight="1" x14ac:dyDescent="0.3">
      <c r="A189" s="100" t="s">
        <v>422</v>
      </c>
      <c r="B189" s="73" t="s">
        <v>259</v>
      </c>
      <c r="C189" s="74">
        <v>34</v>
      </c>
      <c r="D189" s="74">
        <v>159</v>
      </c>
      <c r="E189" s="74">
        <v>116</v>
      </c>
      <c r="F189" s="74">
        <v>2958</v>
      </c>
      <c r="G189" s="74">
        <v>2322</v>
      </c>
      <c r="H189" s="74">
        <v>1997</v>
      </c>
      <c r="I189" s="74">
        <v>852</v>
      </c>
      <c r="J189" s="74">
        <v>1900</v>
      </c>
      <c r="K189" s="74">
        <v>1182</v>
      </c>
      <c r="L189" s="74">
        <v>-223</v>
      </c>
      <c r="M189" s="75">
        <v>1342</v>
      </c>
      <c r="N189" s="227"/>
      <c r="O189" s="17"/>
      <c r="P189" s="17"/>
      <c r="Q189" s="17"/>
      <c r="R189" s="17"/>
      <c r="S189" s="17"/>
      <c r="T189" s="17"/>
      <c r="U189" s="18"/>
      <c r="V189" s="18"/>
      <c r="W189" s="18"/>
      <c r="X189" s="18"/>
      <c r="Y189" s="18"/>
      <c r="Z189" s="18"/>
      <c r="AA189" s="18"/>
      <c r="AB189" s="18"/>
      <c r="AC189" s="18"/>
      <c r="AD189" s="18"/>
      <c r="AE189" s="18" t="str">
        <f t="shared" si="63"/>
        <v>Free Cash Flow to Equity</v>
      </c>
      <c r="AF189" s="85">
        <f t="shared" si="72"/>
        <v>0</v>
      </c>
      <c r="AG189" s="85">
        <f t="shared" si="73"/>
        <v>0</v>
      </c>
      <c r="AH189" s="85">
        <f t="shared" si="74"/>
        <v>0</v>
      </c>
      <c r="AI189" s="85">
        <f t="shared" si="75"/>
        <v>0</v>
      </c>
      <c r="AJ189" s="85">
        <f t="shared" si="76"/>
        <v>0</v>
      </c>
      <c r="AK189" s="85">
        <f t="shared" si="77"/>
        <v>0</v>
      </c>
      <c r="AL189" s="85">
        <f t="shared" si="78"/>
        <v>0</v>
      </c>
      <c r="AM189" s="85">
        <f t="shared" si="79"/>
        <v>0</v>
      </c>
      <c r="AN189" s="18"/>
      <c r="AO189" s="18"/>
      <c r="AP189" s="77" t="s">
        <v>259</v>
      </c>
      <c r="AQ189" s="18">
        <f>_xll.BDH($B$10,"RX243","-10FY","","Per=fy","Days=W","Fill=E","Curr=","DtFmt=P","Sort=D","Dts=H","Dir=H","FILING_STATUS,EQY_CONSOLIDATED","MR,","cols=11;rows=1")</f>
        <v>34</v>
      </c>
      <c r="AR189" s="18">
        <v>159</v>
      </c>
      <c r="AS189" s="18">
        <v>116</v>
      </c>
      <c r="AT189" s="18">
        <v>2958</v>
      </c>
      <c r="AU189" s="18">
        <v>2322</v>
      </c>
      <c r="AV189" s="18">
        <v>1997</v>
      </c>
      <c r="AW189" s="18">
        <v>852</v>
      </c>
      <c r="AX189" s="18">
        <v>1900</v>
      </c>
      <c r="AY189" s="18">
        <v>1182</v>
      </c>
      <c r="AZ189" s="18">
        <v>-223</v>
      </c>
      <c r="BA189" s="78">
        <v>1342</v>
      </c>
      <c r="BB189" s="18"/>
      <c r="BC189" s="18"/>
      <c r="BD189" s="18"/>
      <c r="BE189" s="18"/>
      <c r="BF189" s="18"/>
      <c r="BG189" s="18"/>
      <c r="BH189" s="18"/>
      <c r="BI189" s="18"/>
      <c r="BJ189" s="18"/>
      <c r="BK189" s="18"/>
      <c r="BL189" s="18"/>
      <c r="BM189" s="18"/>
      <c r="BN189" s="18"/>
      <c r="BO189" s="18"/>
      <c r="BP189" s="18"/>
      <c r="BQ189" s="37"/>
      <c r="BR189" s="38"/>
      <c r="BS189" s="17"/>
      <c r="BT189" s="37"/>
      <c r="BU189" s="38"/>
      <c r="BV189" s="18"/>
      <c r="BW189" s="37"/>
      <c r="BX189" s="38"/>
      <c r="BY189" s="18"/>
      <c r="BZ189" s="39" t="str">
        <f t="shared" si="58"/>
        <v>-</v>
      </c>
      <c r="CA189" s="40" t="str">
        <f t="shared" si="59"/>
        <v>-</v>
      </c>
      <c r="CB189" s="17"/>
      <c r="CC189" s="39" t="str">
        <f t="shared" si="60"/>
        <v>-</v>
      </c>
      <c r="CD189" s="40" t="str">
        <f t="shared" si="61"/>
        <v>-</v>
      </c>
      <c r="CE189" s="18"/>
      <c r="CF189" s="18"/>
      <c r="CG189" s="18"/>
      <c r="CH189" s="18"/>
      <c r="CI189" s="18"/>
      <c r="CJ189" s="18"/>
      <c r="CK189" s="18"/>
      <c r="CL189" s="18"/>
      <c r="CM189" s="18"/>
      <c r="CN189" s="18"/>
      <c r="CO189" s="18"/>
      <c r="CP189" s="18"/>
      <c r="CQ189" s="18"/>
      <c r="CR189" s="18"/>
      <c r="CS189" s="18"/>
      <c r="CT189" s="18"/>
      <c r="CU189" s="18"/>
      <c r="CV189" s="18"/>
      <c r="CW189" s="18"/>
      <c r="CX189" s="18"/>
      <c r="CY189" s="37"/>
      <c r="CZ189" s="38"/>
      <c r="DA189" s="18"/>
      <c r="DB189" s="37"/>
      <c r="DC189" s="38"/>
      <c r="DD189" s="18"/>
      <c r="DE189" s="37"/>
      <c r="DF189" s="38"/>
      <c r="DG189" s="18"/>
      <c r="DH189" s="37"/>
      <c r="DI189" s="38"/>
      <c r="DJ189" s="18"/>
      <c r="DK189" s="37"/>
      <c r="DL189" s="38"/>
      <c r="DM189" s="18"/>
      <c r="DN189" s="18"/>
      <c r="DO189" s="18"/>
      <c r="DP189" s="18"/>
      <c r="DQ189" s="18"/>
      <c r="DR189" s="18"/>
      <c r="DS189" s="18"/>
      <c r="DT189" s="18"/>
      <c r="DU189" s="18"/>
      <c r="DV189" s="18"/>
      <c r="DW189" s="18"/>
      <c r="DX189" s="18"/>
      <c r="DY189" s="18"/>
      <c r="DZ189" s="18"/>
    </row>
    <row r="190" spans="1:130" ht="15" customHeight="1" x14ac:dyDescent="0.3">
      <c r="A190" s="30" t="s">
        <v>405</v>
      </c>
      <c r="B190" s="73" t="s">
        <v>260</v>
      </c>
      <c r="C190" s="74">
        <v>0.48</v>
      </c>
      <c r="D190" s="74">
        <v>1.08</v>
      </c>
      <c r="E190" s="74">
        <v>-0.57999999999999996</v>
      </c>
      <c r="F190" s="74">
        <v>1.58</v>
      </c>
      <c r="G190" s="74">
        <v>0.93</v>
      </c>
      <c r="H190" s="74">
        <v>0.3</v>
      </c>
      <c r="I190" s="74">
        <v>0.78</v>
      </c>
      <c r="J190" s="74">
        <v>0.57999999999999996</v>
      </c>
      <c r="K190" s="74">
        <v>0.92</v>
      </c>
      <c r="L190" s="74">
        <v>0.89</v>
      </c>
      <c r="M190" s="75">
        <v>0.97</v>
      </c>
      <c r="N190" s="227"/>
      <c r="O190" s="17"/>
      <c r="P190" s="17"/>
      <c r="Q190" s="17"/>
      <c r="R190" s="17"/>
      <c r="S190" s="17"/>
      <c r="T190" s="17"/>
      <c r="U190" s="18"/>
      <c r="V190" s="18"/>
      <c r="W190" s="18"/>
      <c r="X190" s="18"/>
      <c r="Y190" s="18"/>
      <c r="Z190" s="18"/>
      <c r="AA190" s="18"/>
      <c r="AB190" s="18"/>
      <c r="AC190" s="18"/>
      <c r="AD190" s="18"/>
      <c r="AE190" s="18" t="str">
        <f t="shared" si="63"/>
        <v>Free Cash Flow per Basic Share</v>
      </c>
      <c r="AF190" s="85">
        <f t="shared" si="72"/>
        <v>4.699999999999982E-3</v>
      </c>
      <c r="AG190" s="85">
        <f t="shared" si="73"/>
        <v>3.0000000000001137E-3</v>
      </c>
      <c r="AH190" s="85">
        <f t="shared" si="74"/>
        <v>-2.1999999999999797E-3</v>
      </c>
      <c r="AI190" s="85">
        <f t="shared" si="75"/>
        <v>3.0000000000001137E-3</v>
      </c>
      <c r="AJ190" s="85">
        <f t="shared" si="76"/>
        <v>-1.0000000000000009E-3</v>
      </c>
      <c r="AK190" s="85">
        <f t="shared" si="77"/>
        <v>-1.7000000000000348E-3</v>
      </c>
      <c r="AL190" s="85">
        <f t="shared" si="78"/>
        <v>-2.9000000000000137E-3</v>
      </c>
      <c r="AM190" s="85">
        <f t="shared" si="79"/>
        <v>3.7999999999999146E-3</v>
      </c>
      <c r="AN190" s="18"/>
      <c r="AO190" s="18"/>
      <c r="AP190" s="77" t="s">
        <v>260</v>
      </c>
      <c r="AQ190" s="18">
        <f>_xll.BDH($B$10,"FREE_CASH_FLOW_PER_SH","-10FY","","Per=fy","Days=W","Fill=E","Curr=","DtFmt=P","Sort=D","Dts=H","Dir=H","FILING_STATUS,EQY_CONSOLIDATED","MR,","cols=11;rows=1")</f>
        <v>0.4753</v>
      </c>
      <c r="AR190" s="18">
        <v>1.077</v>
      </c>
      <c r="AS190" s="18">
        <v>-0.57779999999999998</v>
      </c>
      <c r="AT190" s="18">
        <v>1.577</v>
      </c>
      <c r="AU190" s="18">
        <v>0.93100000000000005</v>
      </c>
      <c r="AV190" s="18">
        <v>0.30170000000000002</v>
      </c>
      <c r="AW190" s="18">
        <v>0.78290000000000004</v>
      </c>
      <c r="AX190" s="18">
        <v>0.57620000000000005</v>
      </c>
      <c r="AY190" s="18">
        <v>0.91979999999999995</v>
      </c>
      <c r="AZ190" s="18">
        <v>0.88580000000000003</v>
      </c>
      <c r="BA190" s="78">
        <v>0.97399999999999998</v>
      </c>
      <c r="BB190" s="18"/>
      <c r="BC190" s="18"/>
      <c r="BD190" s="18"/>
      <c r="BE190" s="18"/>
      <c r="BF190" s="18"/>
      <c r="BG190" s="18"/>
      <c r="BH190" s="18"/>
      <c r="BI190" s="18"/>
      <c r="BJ190" s="18"/>
      <c r="BK190" s="18"/>
      <c r="BL190" s="18"/>
      <c r="BM190" s="18"/>
      <c r="BN190" s="18"/>
      <c r="BO190" s="18"/>
      <c r="BP190" s="18"/>
      <c r="BQ190" s="37"/>
      <c r="BR190" s="38"/>
      <c r="BS190" s="17"/>
      <c r="BT190" s="37"/>
      <c r="BU190" s="38"/>
      <c r="BV190" s="18"/>
      <c r="BW190" s="37"/>
      <c r="BX190" s="38"/>
      <c r="BY190" s="18"/>
      <c r="BZ190" s="39" t="str">
        <f t="shared" si="58"/>
        <v>-</v>
      </c>
      <c r="CA190" s="40" t="str">
        <f t="shared" si="59"/>
        <v>-</v>
      </c>
      <c r="CB190" s="17"/>
      <c r="CC190" s="39" t="str">
        <f t="shared" si="60"/>
        <v>-</v>
      </c>
      <c r="CD190" s="40" t="str">
        <f t="shared" si="61"/>
        <v>-</v>
      </c>
      <c r="CE190" s="18"/>
      <c r="CF190" s="18"/>
      <c r="CG190" s="18"/>
      <c r="CH190" s="18"/>
      <c r="CI190" s="18"/>
      <c r="CJ190" s="18"/>
      <c r="CK190" s="18"/>
      <c r="CL190" s="18"/>
      <c r="CM190" s="18"/>
      <c r="CN190" s="18"/>
      <c r="CO190" s="18"/>
      <c r="CP190" s="18"/>
      <c r="CQ190" s="18"/>
      <c r="CR190" s="18"/>
      <c r="CS190" s="18"/>
      <c r="CT190" s="18"/>
      <c r="CU190" s="18"/>
      <c r="CV190" s="18"/>
      <c r="CW190" s="18"/>
      <c r="CX190" s="18"/>
      <c r="CY190" s="37"/>
      <c r="CZ190" s="38"/>
      <c r="DA190" s="18"/>
      <c r="DB190" s="37"/>
      <c r="DC190" s="38"/>
      <c r="DD190" s="18"/>
      <c r="DE190" s="37"/>
      <c r="DF190" s="38"/>
      <c r="DG190" s="18"/>
      <c r="DH190" s="37"/>
      <c r="DI190" s="38"/>
      <c r="DJ190" s="18"/>
      <c r="DK190" s="37"/>
      <c r="DL190" s="38"/>
      <c r="DM190" s="18"/>
      <c r="DN190" s="18"/>
      <c r="DO190" s="18"/>
      <c r="DP190" s="18"/>
      <c r="DQ190" s="18"/>
      <c r="DR190" s="18"/>
      <c r="DS190" s="18"/>
      <c r="DT190" s="18"/>
      <c r="DU190" s="18"/>
      <c r="DV190" s="18"/>
      <c r="DW190" s="18"/>
      <c r="DX190" s="18"/>
      <c r="DY190" s="18"/>
      <c r="DZ190" s="18"/>
    </row>
    <row r="191" spans="1:130" ht="15" customHeight="1" x14ac:dyDescent="0.3">
      <c r="A191" s="30" t="s">
        <v>406</v>
      </c>
      <c r="B191" s="73" t="s">
        <v>261</v>
      </c>
      <c r="C191" s="74">
        <v>28.86</v>
      </c>
      <c r="D191" s="74">
        <v>15.04</v>
      </c>
      <c r="E191" s="74" t="s">
        <v>615</v>
      </c>
      <c r="F191" s="74">
        <v>11.13</v>
      </c>
      <c r="G191" s="74">
        <v>26</v>
      </c>
      <c r="H191" s="74">
        <v>78.89</v>
      </c>
      <c r="I191" s="74">
        <v>42.96</v>
      </c>
      <c r="J191" s="74">
        <v>63</v>
      </c>
      <c r="K191" s="74">
        <v>34.369999999999997</v>
      </c>
      <c r="L191" s="74">
        <v>27.09</v>
      </c>
      <c r="M191" s="75">
        <v>18.38</v>
      </c>
      <c r="N191" s="227"/>
      <c r="O191" s="17"/>
      <c r="P191" s="17"/>
      <c r="Q191" s="17"/>
      <c r="R191" s="17"/>
      <c r="S191" s="17"/>
      <c r="T191" s="17"/>
      <c r="U191" s="18"/>
      <c r="V191" s="18"/>
      <c r="W191" s="18"/>
      <c r="X191" s="18"/>
      <c r="Y191" s="18"/>
      <c r="Z191" s="18"/>
      <c r="AA191" s="18"/>
      <c r="AB191" s="18"/>
      <c r="AC191" s="18"/>
      <c r="AD191" s="18"/>
      <c r="AE191" s="18" t="str">
        <f t="shared" si="63"/>
        <v>Price to Free Cash Flow</v>
      </c>
      <c r="AF191" s="85">
        <f t="shared" si="72"/>
        <v>-3.8000000000018019E-3</v>
      </c>
      <c r="AG191" s="85">
        <f t="shared" si="73"/>
        <v>-1.200000000000756E-3</v>
      </c>
      <c r="AH191" s="85" t="e">
        <f t="shared" si="74"/>
        <v>#VALUE!</v>
      </c>
      <c r="AI191" s="85">
        <f t="shared" si="75"/>
        <v>9.0000000000145519E-4</v>
      </c>
      <c r="AJ191" s="85">
        <f t="shared" si="76"/>
        <v>-4.6999999999997044E-3</v>
      </c>
      <c r="AK191" s="85">
        <f t="shared" si="77"/>
        <v>1.6999999999995907E-3</v>
      </c>
      <c r="AL191" s="85">
        <f t="shared" si="78"/>
        <v>2.400000000001512E-3</v>
      </c>
      <c r="AM191" s="85">
        <f t="shared" si="79"/>
        <v>1.8999999999991246E-3</v>
      </c>
      <c r="AN191" s="18"/>
      <c r="AO191" s="18"/>
      <c r="AP191" s="77" t="s">
        <v>261</v>
      </c>
      <c r="AQ191" s="18">
        <f>_xll.BDH($B$10,"PX_TO_FREE_CASH_FLOW","-10FY","","Per=fy","Days=W","Fill=E","Curr=","DtFmt=P","Sort=D","Dts=H","Dir=H","FILING_STATUS,EQY_CONSOLIDATED","MR,","cols=11;rows=1")</f>
        <v>28.863800000000001</v>
      </c>
      <c r="AR191" s="18">
        <v>15.0412</v>
      </c>
      <c r="AS191" s="18" t="s">
        <v>1811</v>
      </c>
      <c r="AT191" s="18">
        <v>11.129099999999999</v>
      </c>
      <c r="AU191" s="18">
        <v>26.0047</v>
      </c>
      <c r="AV191" s="18">
        <v>78.888300000000001</v>
      </c>
      <c r="AW191" s="18">
        <v>42.957599999999999</v>
      </c>
      <c r="AX191" s="18">
        <v>62.998100000000001</v>
      </c>
      <c r="AY191" s="18">
        <v>34.366500000000002</v>
      </c>
      <c r="AZ191" s="18">
        <v>27.094799999999999</v>
      </c>
      <c r="BA191" s="78">
        <v>18.377700000000001</v>
      </c>
      <c r="BB191" s="18"/>
      <c r="BC191" s="18"/>
      <c r="BD191" s="18"/>
      <c r="BE191" s="18"/>
      <c r="BF191" s="18"/>
      <c r="BG191" s="18"/>
      <c r="BH191" s="18"/>
      <c r="BI191" s="18"/>
      <c r="BJ191" s="18"/>
      <c r="BK191" s="18"/>
      <c r="BL191" s="18"/>
      <c r="BM191" s="18"/>
      <c r="BN191" s="18"/>
      <c r="BO191" s="18"/>
      <c r="BP191" s="18"/>
      <c r="BQ191" s="37"/>
      <c r="BR191" s="38"/>
      <c r="BS191" s="17"/>
      <c r="BT191" s="37"/>
      <c r="BU191" s="38"/>
      <c r="BV191" s="18"/>
      <c r="BW191" s="37"/>
      <c r="BX191" s="38"/>
      <c r="BY191" s="18"/>
      <c r="BZ191" s="39" t="str">
        <f t="shared" si="58"/>
        <v>-</v>
      </c>
      <c r="CA191" s="40" t="str">
        <f t="shared" si="59"/>
        <v>-</v>
      </c>
      <c r="CB191" s="17"/>
      <c r="CC191" s="39" t="str">
        <f t="shared" si="60"/>
        <v>-</v>
      </c>
      <c r="CD191" s="40" t="str">
        <f t="shared" si="61"/>
        <v>-</v>
      </c>
      <c r="CE191" s="18"/>
      <c r="CF191" s="18"/>
      <c r="CG191" s="18"/>
      <c r="CH191" s="18"/>
      <c r="CI191" s="18"/>
      <c r="CJ191" s="18"/>
      <c r="CK191" s="18"/>
      <c r="CL191" s="18"/>
      <c r="CM191" s="18"/>
      <c r="CN191" s="18"/>
      <c r="CO191" s="18"/>
      <c r="CP191" s="18"/>
      <c r="CQ191" s="18"/>
      <c r="CR191" s="18"/>
      <c r="CS191" s="18"/>
      <c r="CT191" s="18"/>
      <c r="CU191" s="18"/>
      <c r="CV191" s="18"/>
      <c r="CW191" s="18"/>
      <c r="CX191" s="18"/>
      <c r="CY191" s="37"/>
      <c r="CZ191" s="38"/>
      <c r="DA191" s="18"/>
      <c r="DB191" s="37"/>
      <c r="DC191" s="38"/>
      <c r="DD191" s="18"/>
      <c r="DE191" s="37"/>
      <c r="DF191" s="38"/>
      <c r="DG191" s="18"/>
      <c r="DH191" s="37"/>
      <c r="DI191" s="38"/>
      <c r="DJ191" s="18"/>
      <c r="DK191" s="37"/>
      <c r="DL191" s="38"/>
      <c r="DM191" s="18"/>
      <c r="DN191" s="18"/>
      <c r="DO191" s="18"/>
      <c r="DP191" s="18"/>
      <c r="DQ191" s="18"/>
      <c r="DR191" s="18"/>
      <c r="DS191" s="18"/>
      <c r="DT191" s="18"/>
      <c r="DU191" s="18"/>
      <c r="DV191" s="18"/>
      <c r="DW191" s="18"/>
      <c r="DX191" s="18"/>
      <c r="DY191" s="18"/>
      <c r="DZ191" s="18"/>
    </row>
    <row r="192" spans="1:130" ht="15" customHeight="1" thickBot="1" x14ac:dyDescent="0.35">
      <c r="A192" s="30" t="s">
        <v>407</v>
      </c>
      <c r="B192" s="73" t="s">
        <v>262</v>
      </c>
      <c r="C192" s="74">
        <v>1.99</v>
      </c>
      <c r="D192" s="74">
        <v>3.34</v>
      </c>
      <c r="E192" s="74">
        <v>0.42</v>
      </c>
      <c r="F192" s="74">
        <v>1.43</v>
      </c>
      <c r="G192" s="74">
        <v>0.56000000000000005</v>
      </c>
      <c r="H192" s="74" t="s">
        <v>615</v>
      </c>
      <c r="I192" s="74">
        <v>2.2400000000000002</v>
      </c>
      <c r="J192" s="74">
        <v>1.39</v>
      </c>
      <c r="K192" s="74">
        <v>1.45</v>
      </c>
      <c r="L192" s="74">
        <v>0.5</v>
      </c>
      <c r="M192" s="75" t="s">
        <v>615</v>
      </c>
      <c r="N192" s="227"/>
      <c r="O192" s="17"/>
      <c r="P192" s="17"/>
      <c r="Q192" s="17"/>
      <c r="R192" s="17"/>
      <c r="S192" s="17"/>
      <c r="T192" s="17"/>
      <c r="U192" s="18"/>
      <c r="V192" s="18"/>
      <c r="W192" s="18"/>
      <c r="X192" s="18"/>
      <c r="Y192" s="18"/>
      <c r="Z192" s="18"/>
      <c r="AA192" s="18"/>
      <c r="AB192" s="18"/>
      <c r="AC192" s="18"/>
      <c r="AD192" s="18"/>
      <c r="AE192" s="18" t="str">
        <f t="shared" si="63"/>
        <v>Cash Flow to Net Income</v>
      </c>
      <c r="AF192" s="85">
        <f t="shared" si="72"/>
        <v>-2.0999999999999908E-3</v>
      </c>
      <c r="AG192" s="85">
        <f t="shared" si="73"/>
        <v>-4.5999999999999375E-3</v>
      </c>
      <c r="AH192" s="85">
        <f t="shared" si="74"/>
        <v>-3.8000000000000256E-3</v>
      </c>
      <c r="AI192" s="85">
        <f t="shared" si="75"/>
        <v>9.9999999999988987E-5</v>
      </c>
      <c r="AJ192" s="85">
        <f t="shared" si="76"/>
        <v>-2.7999999999999137E-3</v>
      </c>
      <c r="AK192" s="85" t="e">
        <f t="shared" si="77"/>
        <v>#VALUE!</v>
      </c>
      <c r="AL192" s="85">
        <f t="shared" si="78"/>
        <v>9.0000000000012292E-4</v>
      </c>
      <c r="AM192" s="85">
        <f t="shared" si="79"/>
        <v>1.9000000000000128E-3</v>
      </c>
      <c r="AN192" s="18"/>
      <c r="AO192" s="18"/>
      <c r="AP192" s="104" t="s">
        <v>262</v>
      </c>
      <c r="AQ192" s="113">
        <f>_xll.BDH($B$10,"CASH_FLOW_TO_NET_INC","-10FY","","Per=fy","Days=W","Fill=E","Curr=","DtFmt=P","Sort=D","Dts=H","Dir=H","FILING_STATUS,EQY_CONSOLIDATED","MR,","cols=11;rows=1")</f>
        <v>1.9921</v>
      </c>
      <c r="AR192" s="113">
        <v>3.3445999999999998</v>
      </c>
      <c r="AS192" s="113">
        <v>0.42380000000000001</v>
      </c>
      <c r="AT192" s="113">
        <v>1.4298999999999999</v>
      </c>
      <c r="AU192" s="113">
        <v>0.56279999999999997</v>
      </c>
      <c r="AV192" s="113" t="s">
        <v>1811</v>
      </c>
      <c r="AW192" s="113">
        <v>2.2391000000000001</v>
      </c>
      <c r="AX192" s="113">
        <v>1.3880999999999999</v>
      </c>
      <c r="AY192" s="113">
        <v>1.4533</v>
      </c>
      <c r="AZ192" s="113">
        <v>0.49519999999999997</v>
      </c>
      <c r="BA192" s="114" t="s">
        <v>1811</v>
      </c>
      <c r="BB192" s="18"/>
      <c r="BC192" s="18"/>
      <c r="BD192" s="18"/>
      <c r="BE192" s="18"/>
      <c r="BF192" s="18"/>
      <c r="BG192" s="18"/>
      <c r="BH192" s="18"/>
      <c r="BI192" s="18"/>
      <c r="BJ192" s="18"/>
      <c r="BK192" s="18"/>
      <c r="BL192" s="18"/>
      <c r="BM192" s="18"/>
      <c r="BN192" s="18"/>
      <c r="BO192" s="18"/>
      <c r="BP192" s="18"/>
      <c r="BQ192" s="37"/>
      <c r="BR192" s="38"/>
      <c r="BS192" s="17"/>
      <c r="BT192" s="37"/>
      <c r="BU192" s="38"/>
      <c r="BV192" s="18"/>
      <c r="BW192" s="37"/>
      <c r="BX192" s="38"/>
      <c r="BY192" s="18"/>
      <c r="BZ192" s="39" t="str">
        <f t="shared" si="58"/>
        <v>-</v>
      </c>
      <c r="CA192" s="40" t="str">
        <f t="shared" si="59"/>
        <v>-</v>
      </c>
      <c r="CB192" s="17"/>
      <c r="CC192" s="39" t="str">
        <f t="shared" si="60"/>
        <v>-</v>
      </c>
      <c r="CD192" s="40" t="str">
        <f t="shared" si="61"/>
        <v>-</v>
      </c>
      <c r="CE192" s="18"/>
      <c r="CF192" s="18"/>
      <c r="CG192" s="18"/>
      <c r="CH192" s="18"/>
      <c r="CI192" s="18"/>
      <c r="CJ192" s="18"/>
      <c r="CK192" s="18"/>
      <c r="CL192" s="18"/>
      <c r="CM192" s="18"/>
      <c r="CN192" s="18"/>
      <c r="CO192" s="18"/>
      <c r="CP192" s="18"/>
      <c r="CQ192" s="18"/>
      <c r="CR192" s="18"/>
      <c r="CS192" s="18"/>
      <c r="CT192" s="18"/>
      <c r="CU192" s="18"/>
      <c r="CV192" s="18"/>
      <c r="CW192" s="18"/>
      <c r="CX192" s="18"/>
      <c r="CY192" s="37"/>
      <c r="CZ192" s="38"/>
      <c r="DA192" s="18"/>
      <c r="DB192" s="37"/>
      <c r="DC192" s="38"/>
      <c r="DD192" s="18"/>
      <c r="DE192" s="37"/>
      <c r="DF192" s="38"/>
      <c r="DG192" s="18"/>
      <c r="DH192" s="37"/>
      <c r="DI192" s="38"/>
      <c r="DJ192" s="18"/>
      <c r="DK192" s="37"/>
      <c r="DL192" s="38"/>
      <c r="DM192" s="18"/>
      <c r="DN192" s="18"/>
      <c r="DO192" s="18"/>
      <c r="DP192" s="18"/>
      <c r="DQ192" s="18"/>
      <c r="DR192" s="18"/>
      <c r="DS192" s="18"/>
      <c r="DT192" s="18"/>
      <c r="DU192" s="18"/>
      <c r="DV192" s="18"/>
      <c r="DW192" s="18"/>
      <c r="DX192" s="18"/>
      <c r="DY192" s="18"/>
      <c r="DZ192" s="18"/>
    </row>
    <row r="193" spans="1:130" ht="15" customHeight="1" x14ac:dyDescent="0.3">
      <c r="A193" s="30"/>
      <c r="B193" s="73"/>
      <c r="C193" s="74"/>
      <c r="D193" s="74"/>
      <c r="E193" s="74"/>
      <c r="F193" s="74"/>
      <c r="G193" s="74"/>
      <c r="H193" s="74"/>
      <c r="I193" s="74"/>
      <c r="J193" s="74"/>
      <c r="K193" s="74"/>
      <c r="L193" s="74"/>
      <c r="M193" s="75"/>
      <c r="N193" s="227"/>
      <c r="O193" s="17"/>
      <c r="P193" s="17"/>
      <c r="Q193" s="17"/>
      <c r="R193" s="17"/>
      <c r="S193" s="17"/>
      <c r="T193" s="17"/>
      <c r="U193" s="18"/>
      <c r="V193" s="18"/>
      <c r="W193" s="18"/>
      <c r="X193" s="18"/>
      <c r="Y193" s="18"/>
      <c r="Z193" s="18"/>
      <c r="AA193" s="18"/>
      <c r="AB193" s="18"/>
      <c r="AC193" s="18"/>
      <c r="AD193" s="18"/>
      <c r="AE193" s="18"/>
      <c r="AF193" s="85"/>
      <c r="AG193" s="85"/>
      <c r="AH193" s="85"/>
      <c r="AI193" s="85"/>
      <c r="AJ193" s="85"/>
      <c r="AK193" s="85"/>
      <c r="AL193" s="85"/>
      <c r="AM193" s="85"/>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37"/>
      <c r="BR193" s="38"/>
      <c r="BS193" s="17"/>
      <c r="BT193" s="37"/>
      <c r="BU193" s="38"/>
      <c r="BV193" s="18"/>
      <c r="BW193" s="37"/>
      <c r="BX193" s="38"/>
      <c r="BY193" s="18"/>
      <c r="BZ193" s="39" t="str">
        <f t="shared" si="58"/>
        <v>-</v>
      </c>
      <c r="CA193" s="40" t="str">
        <f t="shared" si="59"/>
        <v>-</v>
      </c>
      <c r="CB193" s="17"/>
      <c r="CC193" s="39" t="str">
        <f t="shared" si="60"/>
        <v>-</v>
      </c>
      <c r="CD193" s="40" t="str">
        <f t="shared" si="61"/>
        <v>-</v>
      </c>
      <c r="CE193" s="18"/>
      <c r="CF193" s="18"/>
      <c r="CG193" s="18"/>
      <c r="CH193" s="18"/>
      <c r="CI193" s="18"/>
      <c r="CJ193" s="18"/>
      <c r="CK193" s="18"/>
      <c r="CL193" s="18"/>
      <c r="CM193" s="18"/>
      <c r="CN193" s="18"/>
      <c r="CO193" s="18"/>
      <c r="CP193" s="18"/>
      <c r="CQ193" s="18"/>
      <c r="CR193" s="18"/>
      <c r="CS193" s="18"/>
      <c r="CT193" s="18"/>
      <c r="CU193" s="18"/>
      <c r="CV193" s="18"/>
      <c r="CW193" s="18"/>
      <c r="CX193" s="18"/>
      <c r="CY193" s="37"/>
      <c r="CZ193" s="38"/>
      <c r="DA193" s="18"/>
      <c r="DB193" s="37"/>
      <c r="DC193" s="38"/>
      <c r="DD193" s="18"/>
      <c r="DE193" s="37"/>
      <c r="DF193" s="38"/>
      <c r="DG193" s="18"/>
      <c r="DH193" s="37"/>
      <c r="DI193" s="38"/>
      <c r="DJ193" s="18"/>
      <c r="DK193" s="37"/>
      <c r="DL193" s="38"/>
      <c r="DM193" s="18"/>
      <c r="DN193" s="18"/>
      <c r="DO193" s="18"/>
      <c r="DP193" s="18"/>
      <c r="DQ193" s="18"/>
      <c r="DR193" s="18"/>
      <c r="DS193" s="18"/>
      <c r="DT193" s="18"/>
      <c r="DU193" s="18"/>
      <c r="DV193" s="18"/>
      <c r="DW193" s="18"/>
      <c r="DX193" s="18"/>
      <c r="DY193" s="18"/>
      <c r="DZ193" s="18"/>
    </row>
    <row r="194" spans="1:130" ht="15" customHeight="1" x14ac:dyDescent="0.3">
      <c r="A194" s="30"/>
      <c r="B194" s="73"/>
      <c r="C194" s="74"/>
      <c r="D194" s="74"/>
      <c r="E194" s="74"/>
      <c r="F194" s="74"/>
      <c r="G194" s="74"/>
      <c r="H194" s="74"/>
      <c r="I194" s="74"/>
      <c r="J194" s="74"/>
      <c r="K194" s="74"/>
      <c r="L194" s="74"/>
      <c r="M194" s="75"/>
      <c r="N194" s="227"/>
      <c r="O194" s="17"/>
      <c r="P194" s="17"/>
      <c r="Q194" s="17"/>
      <c r="R194" s="17"/>
      <c r="S194" s="17"/>
      <c r="T194" s="17"/>
      <c r="U194" s="18"/>
      <c r="V194" s="18"/>
      <c r="W194" s="18"/>
      <c r="X194" s="18"/>
      <c r="Y194" s="18"/>
      <c r="Z194" s="18"/>
      <c r="AA194" s="18"/>
      <c r="AB194" s="18"/>
      <c r="AC194" s="18"/>
      <c r="AD194" s="18"/>
      <c r="AE194" s="18"/>
      <c r="AF194" s="85"/>
      <c r="AG194" s="85"/>
      <c r="AH194" s="85"/>
      <c r="AI194" s="85"/>
      <c r="AJ194" s="85"/>
      <c r="AK194" s="85"/>
      <c r="AL194" s="85"/>
      <c r="AM194" s="85"/>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37"/>
      <c r="BR194" s="38"/>
      <c r="BS194" s="17"/>
      <c r="BT194" s="37"/>
      <c r="BU194" s="38"/>
      <c r="BV194" s="18"/>
      <c r="BW194" s="37"/>
      <c r="BX194" s="38"/>
      <c r="BY194" s="18"/>
      <c r="BZ194" s="39" t="str">
        <f t="shared" si="58"/>
        <v>-</v>
      </c>
      <c r="CA194" s="40" t="str">
        <f t="shared" si="59"/>
        <v>-</v>
      </c>
      <c r="CB194" s="17"/>
      <c r="CC194" s="39" t="str">
        <f t="shared" si="60"/>
        <v>-</v>
      </c>
      <c r="CD194" s="40" t="str">
        <f t="shared" si="61"/>
        <v>-</v>
      </c>
      <c r="CE194" s="18"/>
      <c r="CF194" s="18"/>
      <c r="CG194" s="18"/>
      <c r="CH194" s="18"/>
      <c r="CI194" s="18"/>
      <c r="CJ194" s="18"/>
      <c r="CK194" s="18"/>
      <c r="CL194" s="18"/>
      <c r="CM194" s="18"/>
      <c r="CN194" s="18"/>
      <c r="CO194" s="18"/>
      <c r="CP194" s="18"/>
      <c r="CQ194" s="18"/>
      <c r="CR194" s="18"/>
      <c r="CS194" s="18"/>
      <c r="CT194" s="18"/>
      <c r="CU194" s="18"/>
      <c r="CV194" s="18"/>
      <c r="CW194" s="18"/>
      <c r="CX194" s="18"/>
      <c r="CY194" s="37"/>
      <c r="CZ194" s="38"/>
      <c r="DA194" s="18"/>
      <c r="DB194" s="37"/>
      <c r="DC194" s="38"/>
      <c r="DD194" s="18"/>
      <c r="DE194" s="37"/>
      <c r="DF194" s="38"/>
      <c r="DG194" s="18"/>
      <c r="DH194" s="37"/>
      <c r="DI194" s="38"/>
      <c r="DJ194" s="18"/>
      <c r="DK194" s="37"/>
      <c r="DL194" s="38"/>
      <c r="DM194" s="18"/>
      <c r="DN194" s="18"/>
      <c r="DO194" s="18"/>
      <c r="DP194" s="18"/>
      <c r="DQ194" s="18"/>
      <c r="DR194" s="18"/>
      <c r="DS194" s="18"/>
      <c r="DT194" s="18"/>
      <c r="DU194" s="18"/>
      <c r="DV194" s="18"/>
      <c r="DW194" s="18"/>
      <c r="DX194" s="18"/>
      <c r="DY194" s="18"/>
      <c r="DZ194" s="18"/>
    </row>
    <row r="195" spans="1:130" ht="15" customHeight="1" x14ac:dyDescent="0.3">
      <c r="A195" s="30"/>
      <c r="B195" s="73"/>
      <c r="C195" s="74"/>
      <c r="D195" s="74"/>
      <c r="E195" s="74"/>
      <c r="F195" s="74"/>
      <c r="G195" s="74"/>
      <c r="H195" s="74"/>
      <c r="I195" s="74"/>
      <c r="J195" s="74"/>
      <c r="K195" s="74"/>
      <c r="L195" s="74"/>
      <c r="M195" s="75"/>
      <c r="N195" s="227"/>
      <c r="O195" s="17"/>
      <c r="P195" s="17"/>
      <c r="Q195" s="17"/>
      <c r="R195" s="17"/>
      <c r="S195" s="17"/>
      <c r="T195" s="17"/>
      <c r="U195" s="18"/>
      <c r="V195" s="18"/>
      <c r="W195" s="18"/>
      <c r="X195" s="18"/>
      <c r="Y195" s="18"/>
      <c r="Z195" s="18"/>
      <c r="AA195" s="18"/>
      <c r="AB195" s="18"/>
      <c r="AC195" s="18"/>
      <c r="AD195" s="18"/>
      <c r="AE195" s="18"/>
      <c r="AF195" s="85"/>
      <c r="AG195" s="85"/>
      <c r="AH195" s="85"/>
      <c r="AI195" s="85"/>
      <c r="AJ195" s="85"/>
      <c r="AK195" s="85"/>
      <c r="AL195" s="85"/>
      <c r="AM195" s="85"/>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37"/>
      <c r="BR195" s="38"/>
      <c r="BS195" s="17"/>
      <c r="BT195" s="37"/>
      <c r="BU195" s="38"/>
      <c r="BV195" s="18"/>
      <c r="BW195" s="37"/>
      <c r="BX195" s="38"/>
      <c r="BY195" s="18"/>
      <c r="BZ195" s="39" t="str">
        <f t="shared" si="58"/>
        <v>-</v>
      </c>
      <c r="CA195" s="40" t="str">
        <f t="shared" si="59"/>
        <v>-</v>
      </c>
      <c r="CB195" s="17"/>
      <c r="CC195" s="39" t="str">
        <f t="shared" si="60"/>
        <v>-</v>
      </c>
      <c r="CD195" s="40" t="str">
        <f t="shared" si="61"/>
        <v>-</v>
      </c>
      <c r="CE195" s="18"/>
      <c r="CF195" s="18"/>
      <c r="CG195" s="18"/>
      <c r="CH195" s="18"/>
      <c r="CI195" s="18"/>
      <c r="CJ195" s="18"/>
      <c r="CK195" s="18"/>
      <c r="CL195" s="18"/>
      <c r="CM195" s="18"/>
      <c r="CN195" s="18"/>
      <c r="CO195" s="18"/>
      <c r="CP195" s="18"/>
      <c r="CQ195" s="18"/>
      <c r="CR195" s="18"/>
      <c r="CS195" s="18"/>
      <c r="CT195" s="18"/>
      <c r="CU195" s="18"/>
      <c r="CV195" s="18"/>
      <c r="CW195" s="18"/>
      <c r="CX195" s="18"/>
      <c r="CY195" s="37"/>
      <c r="CZ195" s="38"/>
      <c r="DA195" s="18"/>
      <c r="DB195" s="37"/>
      <c r="DC195" s="38"/>
      <c r="DD195" s="18"/>
      <c r="DE195" s="37"/>
      <c r="DF195" s="38"/>
      <c r="DG195" s="18"/>
      <c r="DH195" s="37"/>
      <c r="DI195" s="38"/>
      <c r="DJ195" s="18"/>
      <c r="DK195" s="37"/>
      <c r="DL195" s="38"/>
      <c r="DM195" s="18"/>
      <c r="DN195" s="18"/>
      <c r="DO195" s="18"/>
      <c r="DP195" s="18"/>
      <c r="DQ195" s="18"/>
      <c r="DR195" s="18"/>
      <c r="DS195" s="18"/>
      <c r="DT195" s="18"/>
      <c r="DU195" s="18"/>
      <c r="DV195" s="18"/>
      <c r="DW195" s="18"/>
      <c r="DX195" s="18"/>
      <c r="DY195" s="18"/>
      <c r="DZ195" s="18"/>
    </row>
    <row r="196" spans="1:130" ht="15" customHeight="1" x14ac:dyDescent="0.3">
      <c r="A196" s="30"/>
      <c r="B196" s="73"/>
      <c r="C196" s="74"/>
      <c r="D196" s="74"/>
      <c r="E196" s="74"/>
      <c r="F196" s="74"/>
      <c r="G196" s="74"/>
      <c r="H196" s="74"/>
      <c r="I196" s="74"/>
      <c r="J196" s="74"/>
      <c r="K196" s="74"/>
      <c r="L196" s="74"/>
      <c r="M196" s="75"/>
      <c r="N196" s="227"/>
      <c r="O196" s="17"/>
      <c r="P196" s="17"/>
      <c r="Q196" s="17"/>
      <c r="R196" s="17"/>
      <c r="S196" s="17"/>
      <c r="T196" s="17"/>
      <c r="U196" s="18"/>
      <c r="V196" s="18"/>
      <c r="W196" s="18"/>
      <c r="X196" s="18"/>
      <c r="Y196" s="18"/>
      <c r="Z196" s="18"/>
      <c r="AA196" s="18"/>
      <c r="AB196" s="18"/>
      <c r="AC196" s="18"/>
      <c r="AD196" s="18"/>
      <c r="AE196" s="18"/>
      <c r="AF196" s="85"/>
      <c r="AG196" s="85"/>
      <c r="AH196" s="85"/>
      <c r="AI196" s="85"/>
      <c r="AJ196" s="85"/>
      <c r="AK196" s="85"/>
      <c r="AL196" s="85"/>
      <c r="AM196" s="85"/>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37"/>
      <c r="BR196" s="38"/>
      <c r="BS196" s="17"/>
      <c r="BT196" s="37"/>
      <c r="BU196" s="38"/>
      <c r="BV196" s="18"/>
      <c r="BW196" s="37"/>
      <c r="BX196" s="38"/>
      <c r="BY196" s="18"/>
      <c r="BZ196" s="39" t="str">
        <f t="shared" si="58"/>
        <v>-</v>
      </c>
      <c r="CA196" s="40" t="str">
        <f t="shared" si="59"/>
        <v>-</v>
      </c>
      <c r="CB196" s="17"/>
      <c r="CC196" s="39" t="str">
        <f t="shared" si="60"/>
        <v>-</v>
      </c>
      <c r="CD196" s="40" t="str">
        <f t="shared" si="61"/>
        <v>-</v>
      </c>
      <c r="CE196" s="18"/>
      <c r="CF196" s="18"/>
      <c r="CG196" s="18"/>
      <c r="CH196" s="18"/>
      <c r="CI196" s="18"/>
      <c r="CJ196" s="18"/>
      <c r="CK196" s="18"/>
      <c r="CL196" s="18"/>
      <c r="CM196" s="18"/>
      <c r="CN196" s="18"/>
      <c r="CO196" s="18"/>
      <c r="CP196" s="18"/>
      <c r="CQ196" s="18"/>
      <c r="CR196" s="18"/>
      <c r="CS196" s="18"/>
      <c r="CT196" s="18"/>
      <c r="CU196" s="18"/>
      <c r="CV196" s="18"/>
      <c r="CW196" s="18"/>
      <c r="CX196" s="18"/>
      <c r="CY196" s="37"/>
      <c r="CZ196" s="38"/>
      <c r="DA196" s="18"/>
      <c r="DB196" s="37"/>
      <c r="DC196" s="38"/>
      <c r="DD196" s="18"/>
      <c r="DE196" s="37"/>
      <c r="DF196" s="38"/>
      <c r="DG196" s="18"/>
      <c r="DH196" s="37"/>
      <c r="DI196" s="38"/>
      <c r="DJ196" s="18"/>
      <c r="DK196" s="37"/>
      <c r="DL196" s="38"/>
      <c r="DM196" s="18"/>
      <c r="DN196" s="18"/>
      <c r="DO196" s="18"/>
      <c r="DP196" s="18"/>
      <c r="DQ196" s="18"/>
      <c r="DR196" s="18"/>
      <c r="DS196" s="18"/>
      <c r="DT196" s="18"/>
      <c r="DU196" s="18"/>
      <c r="DV196" s="18"/>
      <c r="DW196" s="18"/>
      <c r="DX196" s="18"/>
      <c r="DY196" s="18"/>
      <c r="DZ196" s="18"/>
    </row>
    <row r="197" spans="1:130" ht="15" customHeight="1" x14ac:dyDescent="0.3">
      <c r="A197" s="115"/>
      <c r="B197" s="121"/>
      <c r="C197" s="117"/>
      <c r="D197" s="117"/>
      <c r="E197" s="117"/>
      <c r="F197" s="117"/>
      <c r="G197" s="117"/>
      <c r="H197" s="117"/>
      <c r="I197" s="117"/>
      <c r="J197" s="117"/>
      <c r="K197" s="117"/>
      <c r="L197" s="117"/>
      <c r="M197" s="118"/>
      <c r="N197" s="227"/>
      <c r="O197" s="17"/>
      <c r="P197" s="17"/>
      <c r="Q197" s="17"/>
      <c r="R197" s="17"/>
      <c r="S197" s="17"/>
      <c r="T197" s="17"/>
      <c r="U197" s="18"/>
      <c r="V197" s="18"/>
      <c r="W197" s="18"/>
      <c r="X197" s="18"/>
      <c r="Y197" s="18"/>
      <c r="Z197" s="18"/>
      <c r="AA197" s="18"/>
      <c r="AB197" s="18"/>
      <c r="AC197" s="18"/>
      <c r="AD197" s="18"/>
      <c r="AE197" s="18"/>
      <c r="AF197" s="85"/>
      <c r="AG197" s="85"/>
      <c r="AH197" s="85"/>
      <c r="AI197" s="85"/>
      <c r="AJ197" s="85"/>
      <c r="AK197" s="85"/>
      <c r="AL197" s="85"/>
      <c r="AM197" s="85"/>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37"/>
      <c r="BR197" s="38"/>
      <c r="BS197" s="17"/>
      <c r="BT197" s="37"/>
      <c r="BU197" s="38"/>
      <c r="BV197" s="18"/>
      <c r="BW197" s="37"/>
      <c r="BX197" s="38"/>
      <c r="BY197" s="18"/>
      <c r="BZ197" s="39" t="str">
        <f t="shared" si="58"/>
        <v>-</v>
      </c>
      <c r="CA197" s="40" t="str">
        <f t="shared" si="59"/>
        <v>-</v>
      </c>
      <c r="CB197" s="17"/>
      <c r="CC197" s="39" t="str">
        <f t="shared" si="60"/>
        <v>-</v>
      </c>
      <c r="CD197" s="40" t="str">
        <f t="shared" si="61"/>
        <v>-</v>
      </c>
      <c r="CE197" s="18"/>
      <c r="CF197" s="18"/>
      <c r="CG197" s="18"/>
      <c r="CH197" s="18"/>
      <c r="CI197" s="18"/>
      <c r="CJ197" s="18"/>
      <c r="CK197" s="18"/>
      <c r="CL197" s="18"/>
      <c r="CM197" s="18"/>
      <c r="CN197" s="18"/>
      <c r="CO197" s="18"/>
      <c r="CP197" s="18"/>
      <c r="CQ197" s="18"/>
      <c r="CR197" s="18"/>
      <c r="CS197" s="18"/>
      <c r="CT197" s="18"/>
      <c r="CU197" s="18"/>
      <c r="CV197" s="18"/>
      <c r="CW197" s="18"/>
      <c r="CX197" s="18"/>
      <c r="CY197" s="37"/>
      <c r="CZ197" s="38"/>
      <c r="DA197" s="18"/>
      <c r="DB197" s="37"/>
      <c r="DC197" s="38"/>
      <c r="DD197" s="18"/>
      <c r="DE197" s="37"/>
      <c r="DF197" s="38"/>
      <c r="DG197" s="18"/>
      <c r="DH197" s="37"/>
      <c r="DI197" s="38"/>
      <c r="DJ197" s="18"/>
      <c r="DK197" s="37"/>
      <c r="DL197" s="38"/>
      <c r="DM197" s="18"/>
      <c r="DN197" s="18"/>
      <c r="DO197" s="18"/>
      <c r="DP197" s="18"/>
      <c r="DQ197" s="18"/>
      <c r="DR197" s="18"/>
      <c r="DS197" s="18"/>
      <c r="DT197" s="18"/>
      <c r="DU197" s="18"/>
      <c r="DV197" s="18"/>
      <c r="DW197" s="18"/>
      <c r="DX197" s="18"/>
      <c r="DY197" s="18"/>
      <c r="DZ197" s="18"/>
    </row>
    <row r="198" spans="1:130" ht="15" customHeight="1" x14ac:dyDescent="0.3">
      <c r="A198" s="16"/>
      <c r="B198" s="16"/>
      <c r="C198" s="62"/>
      <c r="D198" s="62"/>
      <c r="E198" s="62"/>
      <c r="F198" s="62"/>
      <c r="G198" s="62"/>
      <c r="H198" s="62"/>
      <c r="I198" s="62"/>
      <c r="J198" s="62"/>
      <c r="K198" s="62"/>
      <c r="L198" s="62"/>
      <c r="M198" s="62"/>
      <c r="N198" s="227"/>
      <c r="O198" s="17"/>
      <c r="P198" s="17"/>
      <c r="Q198" s="17"/>
      <c r="R198" s="17"/>
      <c r="S198" s="17"/>
      <c r="T198" s="17"/>
      <c r="U198" s="18"/>
      <c r="V198" s="18"/>
      <c r="W198" s="18"/>
      <c r="X198" s="18"/>
      <c r="Y198" s="18"/>
      <c r="Z198" s="18"/>
      <c r="AA198" s="18"/>
      <c r="AB198" s="18"/>
      <c r="AC198" s="18"/>
      <c r="AD198" s="18"/>
      <c r="AE198" s="18"/>
      <c r="AF198" s="85"/>
      <c r="AG198" s="85"/>
      <c r="AH198" s="85"/>
      <c r="AI198" s="85"/>
      <c r="AJ198" s="85"/>
      <c r="AK198" s="85"/>
      <c r="AL198" s="85"/>
      <c r="AM198" s="85"/>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37"/>
      <c r="BR198" s="38"/>
      <c r="BS198" s="17"/>
      <c r="BT198" s="37"/>
      <c r="BU198" s="38"/>
      <c r="BV198" s="18"/>
      <c r="BW198" s="37"/>
      <c r="BX198" s="38"/>
      <c r="BY198" s="18"/>
      <c r="BZ198" s="39" t="str">
        <f t="shared" si="58"/>
        <v>-</v>
      </c>
      <c r="CA198" s="40" t="str">
        <f t="shared" si="59"/>
        <v>-</v>
      </c>
      <c r="CB198" s="17"/>
      <c r="CC198" s="39" t="str">
        <f t="shared" si="60"/>
        <v>-</v>
      </c>
      <c r="CD198" s="40" t="str">
        <f t="shared" si="61"/>
        <v>-</v>
      </c>
      <c r="CE198" s="18"/>
      <c r="CF198" s="18"/>
      <c r="CG198" s="18"/>
      <c r="CH198" s="18"/>
      <c r="CI198" s="18"/>
      <c r="CJ198" s="18"/>
      <c r="CK198" s="18"/>
      <c r="CL198" s="18"/>
      <c r="CM198" s="18"/>
      <c r="CN198" s="18"/>
      <c r="CO198" s="18"/>
      <c r="CP198" s="18"/>
      <c r="CQ198" s="18"/>
      <c r="CR198" s="18"/>
      <c r="CS198" s="18"/>
      <c r="CT198" s="18"/>
      <c r="CU198" s="18"/>
      <c r="CV198" s="18"/>
      <c r="CW198" s="18"/>
      <c r="CX198" s="18"/>
      <c r="CY198" s="37"/>
      <c r="CZ198" s="38"/>
      <c r="DA198" s="18"/>
      <c r="DB198" s="37"/>
      <c r="DC198" s="38"/>
      <c r="DD198" s="18"/>
      <c r="DE198" s="37"/>
      <c r="DF198" s="38"/>
      <c r="DG198" s="18"/>
      <c r="DH198" s="37"/>
      <c r="DI198" s="38"/>
      <c r="DJ198" s="18"/>
      <c r="DK198" s="37"/>
      <c r="DL198" s="38"/>
      <c r="DM198" s="18"/>
      <c r="DN198" s="18"/>
      <c r="DO198" s="18"/>
      <c r="DP198" s="18"/>
      <c r="DQ198" s="18"/>
      <c r="DR198" s="18"/>
      <c r="DS198" s="18"/>
      <c r="DT198" s="18"/>
      <c r="DU198" s="18"/>
      <c r="DV198" s="18"/>
      <c r="DW198" s="18"/>
      <c r="DX198" s="18"/>
      <c r="DY198" s="18"/>
      <c r="DZ198" s="18"/>
    </row>
    <row r="199" spans="1:130" ht="15" customHeight="1" x14ac:dyDescent="0.3">
      <c r="A199" s="16"/>
      <c r="B199" s="16"/>
      <c r="C199" s="62"/>
      <c r="D199" s="62"/>
      <c r="E199" s="62"/>
      <c r="F199" s="62"/>
      <c r="G199" s="62"/>
      <c r="H199" s="62"/>
      <c r="I199" s="62"/>
      <c r="J199" s="62"/>
      <c r="K199" s="62"/>
      <c r="L199" s="62"/>
      <c r="M199" s="62"/>
      <c r="N199" s="227"/>
      <c r="O199" s="17"/>
      <c r="P199" s="17"/>
      <c r="Q199" s="17"/>
      <c r="R199" s="17"/>
      <c r="S199" s="17"/>
      <c r="T199" s="17"/>
      <c r="U199" s="18"/>
      <c r="V199" s="18"/>
      <c r="W199" s="18"/>
      <c r="X199" s="18"/>
      <c r="Y199" s="18"/>
      <c r="Z199" s="18"/>
      <c r="AA199" s="18"/>
      <c r="AB199" s="18"/>
      <c r="AC199" s="18"/>
      <c r="AD199" s="18"/>
      <c r="AE199" s="18"/>
      <c r="AF199" s="85"/>
      <c r="AG199" s="85"/>
      <c r="AH199" s="85"/>
      <c r="AI199" s="85"/>
      <c r="AJ199" s="85"/>
      <c r="AK199" s="85"/>
      <c r="AL199" s="85"/>
      <c r="AM199" s="85"/>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37"/>
      <c r="BR199" s="38"/>
      <c r="BS199" s="17"/>
      <c r="BT199" s="37"/>
      <c r="BU199" s="38"/>
      <c r="BV199" s="18"/>
      <c r="BW199" s="37"/>
      <c r="BX199" s="38"/>
      <c r="BY199" s="18"/>
      <c r="BZ199" s="39" t="str">
        <f t="shared" si="58"/>
        <v>-</v>
      </c>
      <c r="CA199" s="40" t="str">
        <f t="shared" si="59"/>
        <v>-</v>
      </c>
      <c r="CB199" s="17"/>
      <c r="CC199" s="39" t="str">
        <f t="shared" si="60"/>
        <v>-</v>
      </c>
      <c r="CD199" s="40" t="str">
        <f t="shared" si="61"/>
        <v>-</v>
      </c>
      <c r="CE199" s="18"/>
      <c r="CF199" s="18"/>
      <c r="CG199" s="18"/>
      <c r="CH199" s="18"/>
      <c r="CI199" s="18"/>
      <c r="CJ199" s="18"/>
      <c r="CK199" s="18"/>
      <c r="CL199" s="18"/>
      <c r="CM199" s="18"/>
      <c r="CN199" s="18"/>
      <c r="CO199" s="18"/>
      <c r="CP199" s="18"/>
      <c r="CQ199" s="18"/>
      <c r="CR199" s="18"/>
      <c r="CS199" s="18"/>
      <c r="CT199" s="18"/>
      <c r="CU199" s="18"/>
      <c r="CV199" s="18"/>
      <c r="CW199" s="18"/>
      <c r="CX199" s="18"/>
      <c r="CY199" s="37"/>
      <c r="CZ199" s="38"/>
      <c r="DA199" s="18"/>
      <c r="DB199" s="37"/>
      <c r="DC199" s="38"/>
      <c r="DD199" s="18"/>
      <c r="DE199" s="37"/>
      <c r="DF199" s="38"/>
      <c r="DG199" s="18"/>
      <c r="DH199" s="37"/>
      <c r="DI199" s="38"/>
      <c r="DJ199" s="18"/>
      <c r="DK199" s="37"/>
      <c r="DL199" s="38"/>
      <c r="DM199" s="18"/>
      <c r="DN199" s="18"/>
      <c r="DO199" s="18"/>
      <c r="DP199" s="18"/>
      <c r="DQ199" s="18"/>
      <c r="DR199" s="18"/>
      <c r="DS199" s="18"/>
      <c r="DT199" s="18"/>
      <c r="DU199" s="18"/>
      <c r="DV199" s="18"/>
      <c r="DW199" s="18"/>
      <c r="DX199" s="18"/>
      <c r="DY199" s="18"/>
      <c r="DZ199" s="18"/>
    </row>
    <row r="200" spans="1:130" ht="15" customHeight="1" x14ac:dyDescent="0.3">
      <c r="A200" s="16"/>
      <c r="B200" s="16"/>
      <c r="C200" s="62"/>
      <c r="D200" s="62"/>
      <c r="E200" s="62"/>
      <c r="F200" s="62"/>
      <c r="G200" s="62"/>
      <c r="H200" s="62"/>
      <c r="I200" s="62"/>
      <c r="J200" s="62"/>
      <c r="K200" s="62"/>
      <c r="L200" s="62"/>
      <c r="M200" s="62"/>
      <c r="N200" s="227"/>
      <c r="O200" s="17"/>
      <c r="P200" s="17"/>
      <c r="Q200" s="17"/>
      <c r="R200" s="17"/>
      <c r="S200" s="17"/>
      <c r="T200" s="17"/>
      <c r="U200" s="18"/>
      <c r="V200" s="18"/>
      <c r="W200" s="18"/>
      <c r="X200" s="18"/>
      <c r="Y200" s="18"/>
      <c r="Z200" s="18"/>
      <c r="AA200" s="18"/>
      <c r="AB200" s="18"/>
      <c r="AC200" s="18"/>
      <c r="AD200" s="18"/>
      <c r="AE200" s="18"/>
      <c r="AF200" s="85"/>
      <c r="AG200" s="85"/>
      <c r="AH200" s="85"/>
      <c r="AI200" s="85"/>
      <c r="AJ200" s="85"/>
      <c r="AK200" s="85"/>
      <c r="AL200" s="85"/>
      <c r="AM200" s="85"/>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37"/>
      <c r="BR200" s="38"/>
      <c r="BS200" s="17"/>
      <c r="BT200" s="37"/>
      <c r="BU200" s="38"/>
      <c r="BV200" s="18"/>
      <c r="BW200" s="37"/>
      <c r="BX200" s="38"/>
      <c r="BY200" s="18"/>
      <c r="BZ200" s="39" t="str">
        <f t="shared" si="58"/>
        <v>-</v>
      </c>
      <c r="CA200" s="40" t="str">
        <f t="shared" si="59"/>
        <v>-</v>
      </c>
      <c r="CB200" s="17"/>
      <c r="CC200" s="39" t="str">
        <f t="shared" si="60"/>
        <v>-</v>
      </c>
      <c r="CD200" s="40" t="str">
        <f t="shared" si="61"/>
        <v>-</v>
      </c>
      <c r="CE200" s="18"/>
      <c r="CF200" s="18"/>
      <c r="CG200" s="18"/>
      <c r="CH200" s="18"/>
      <c r="CI200" s="18"/>
      <c r="CJ200" s="18"/>
      <c r="CK200" s="18"/>
      <c r="CL200" s="18"/>
      <c r="CM200" s="18"/>
      <c r="CN200" s="18"/>
      <c r="CO200" s="18"/>
      <c r="CP200" s="18"/>
      <c r="CQ200" s="18"/>
      <c r="CR200" s="18"/>
      <c r="CS200" s="18"/>
      <c r="CT200" s="18"/>
      <c r="CU200" s="18"/>
      <c r="CV200" s="18"/>
      <c r="CW200" s="18"/>
      <c r="CX200" s="18"/>
      <c r="CY200" s="37"/>
      <c r="CZ200" s="38"/>
      <c r="DA200" s="18"/>
      <c r="DB200" s="37"/>
      <c r="DC200" s="38"/>
      <c r="DD200" s="18"/>
      <c r="DE200" s="37"/>
      <c r="DF200" s="38"/>
      <c r="DG200" s="18"/>
      <c r="DH200" s="37"/>
      <c r="DI200" s="38"/>
      <c r="DJ200" s="18"/>
      <c r="DK200" s="37"/>
      <c r="DL200" s="38"/>
      <c r="DM200" s="18"/>
      <c r="DN200" s="18"/>
      <c r="DO200" s="18"/>
      <c r="DP200" s="18"/>
      <c r="DQ200" s="18"/>
      <c r="DR200" s="18"/>
      <c r="DS200" s="18"/>
      <c r="DT200" s="18"/>
      <c r="DU200" s="18"/>
      <c r="DV200" s="18"/>
      <c r="DW200" s="18"/>
      <c r="DX200" s="18"/>
      <c r="DY200" s="18"/>
      <c r="DZ200" s="18"/>
    </row>
    <row r="201" spans="1:130" ht="15" customHeight="1" x14ac:dyDescent="0.3">
      <c r="A201" s="16"/>
      <c r="B201" s="16"/>
      <c r="C201" s="62"/>
      <c r="D201" s="62"/>
      <c r="E201" s="62"/>
      <c r="F201" s="62"/>
      <c r="G201" s="62"/>
      <c r="H201" s="62"/>
      <c r="I201" s="62"/>
      <c r="J201" s="62"/>
      <c r="K201" s="62"/>
      <c r="L201" s="62"/>
      <c r="M201" s="62"/>
      <c r="N201" s="227"/>
      <c r="O201" s="17"/>
      <c r="P201" s="17"/>
      <c r="Q201" s="17"/>
      <c r="R201" s="17"/>
      <c r="S201" s="17"/>
      <c r="T201" s="17"/>
      <c r="U201" s="18"/>
      <c r="V201" s="18"/>
      <c r="W201" s="18"/>
      <c r="X201" s="18"/>
      <c r="Y201" s="18"/>
      <c r="Z201" s="18"/>
      <c r="AA201" s="18"/>
      <c r="AB201" s="18"/>
      <c r="AC201" s="18"/>
      <c r="AD201" s="18"/>
      <c r="AE201" s="18"/>
      <c r="AF201" s="85"/>
      <c r="AG201" s="85"/>
      <c r="AH201" s="85"/>
      <c r="AI201" s="85"/>
      <c r="AJ201" s="85"/>
      <c r="AK201" s="85"/>
      <c r="AL201" s="85"/>
      <c r="AM201" s="85"/>
      <c r="AN201" s="18"/>
      <c r="AO201" s="18"/>
      <c r="AP201" s="18"/>
      <c r="AQ201" s="122"/>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37"/>
      <c r="BR201" s="38"/>
      <c r="BS201" s="17"/>
      <c r="BT201" s="37"/>
      <c r="BU201" s="38"/>
      <c r="BV201" s="18"/>
      <c r="BW201" s="37"/>
      <c r="BX201" s="38"/>
      <c r="BY201" s="18"/>
      <c r="BZ201" s="39" t="str">
        <f t="shared" si="58"/>
        <v>-</v>
      </c>
      <c r="CA201" s="40" t="str">
        <f t="shared" si="59"/>
        <v>-</v>
      </c>
      <c r="CB201" s="17"/>
      <c r="CC201" s="39" t="str">
        <f t="shared" si="60"/>
        <v>-</v>
      </c>
      <c r="CD201" s="40" t="str">
        <f t="shared" si="61"/>
        <v>-</v>
      </c>
      <c r="CE201" s="18"/>
      <c r="CF201" s="18"/>
      <c r="CG201" s="18"/>
      <c r="CH201" s="18"/>
      <c r="CI201" s="18"/>
      <c r="CJ201" s="18"/>
      <c r="CK201" s="18"/>
      <c r="CL201" s="18"/>
      <c r="CM201" s="18"/>
      <c r="CN201" s="18"/>
      <c r="CO201" s="18"/>
      <c r="CP201" s="18"/>
      <c r="CQ201" s="18"/>
      <c r="CR201" s="18"/>
      <c r="CS201" s="18"/>
      <c r="CT201" s="18"/>
      <c r="CU201" s="18"/>
      <c r="CV201" s="18"/>
      <c r="CW201" s="18"/>
      <c r="CX201" s="18"/>
      <c r="CY201" s="37"/>
      <c r="CZ201" s="38"/>
      <c r="DA201" s="18"/>
      <c r="DB201" s="37"/>
      <c r="DC201" s="38"/>
      <c r="DD201" s="18"/>
      <c r="DE201" s="37"/>
      <c r="DF201" s="38"/>
      <c r="DG201" s="18"/>
      <c r="DH201" s="37"/>
      <c r="DI201" s="38"/>
      <c r="DJ201" s="18"/>
      <c r="DK201" s="37"/>
      <c r="DL201" s="38"/>
      <c r="DM201" s="18"/>
      <c r="DN201" s="18"/>
      <c r="DO201" s="18"/>
      <c r="DP201" s="18"/>
      <c r="DQ201" s="18"/>
      <c r="DR201" s="18"/>
      <c r="DS201" s="18"/>
      <c r="DT201" s="18"/>
      <c r="DU201" s="18"/>
      <c r="DV201" s="18"/>
      <c r="DW201" s="18"/>
      <c r="DX201" s="18"/>
      <c r="DY201" s="18"/>
      <c r="DZ201" s="18"/>
    </row>
    <row r="202" spans="1:130" ht="15" customHeight="1" thickBot="1" x14ac:dyDescent="0.35">
      <c r="A202" s="16"/>
      <c r="B202" s="16"/>
      <c r="C202" s="62"/>
      <c r="D202" s="62"/>
      <c r="E202" s="62"/>
      <c r="F202" s="62"/>
      <c r="G202" s="62"/>
      <c r="H202" s="62"/>
      <c r="I202" s="62"/>
      <c r="J202" s="62"/>
      <c r="K202" s="62"/>
      <c r="L202" s="62"/>
      <c r="M202" s="62"/>
      <c r="N202" s="227"/>
      <c r="O202" s="17"/>
      <c r="P202" s="17"/>
      <c r="Q202" s="17"/>
      <c r="R202" s="17"/>
      <c r="S202" s="17"/>
      <c r="T202" s="17"/>
      <c r="U202" s="18"/>
      <c r="V202" s="18"/>
      <c r="W202" s="18"/>
      <c r="X202" s="18"/>
      <c r="Y202" s="18"/>
      <c r="Z202" s="18"/>
      <c r="AA202" s="18"/>
      <c r="AB202" s="18"/>
      <c r="AC202" s="18"/>
      <c r="AD202" s="18"/>
      <c r="AE202" s="18"/>
      <c r="AF202" s="85"/>
      <c r="AG202" s="85"/>
      <c r="AH202" s="85"/>
      <c r="AI202" s="85"/>
      <c r="AJ202" s="85"/>
      <c r="AK202" s="85"/>
      <c r="AL202" s="85"/>
      <c r="AM202" s="85"/>
      <c r="AN202" s="18"/>
      <c r="AO202" s="18"/>
      <c r="AP202" s="18"/>
      <c r="AQ202" s="122"/>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37"/>
      <c r="BR202" s="38"/>
      <c r="BS202" s="17"/>
      <c r="BT202" s="37"/>
      <c r="BU202" s="38"/>
      <c r="BV202" s="18"/>
      <c r="BW202" s="37"/>
      <c r="BX202" s="38"/>
      <c r="BY202" s="18"/>
      <c r="BZ202" s="39" t="str">
        <f t="shared" si="58"/>
        <v>-</v>
      </c>
      <c r="CA202" s="40" t="str">
        <f t="shared" si="59"/>
        <v>-</v>
      </c>
      <c r="CB202" s="17"/>
      <c r="CC202" s="39" t="str">
        <f t="shared" si="60"/>
        <v>-</v>
      </c>
      <c r="CD202" s="40" t="str">
        <f t="shared" si="61"/>
        <v>-</v>
      </c>
      <c r="CE202" s="18"/>
      <c r="CF202" s="18"/>
      <c r="CG202" s="18"/>
      <c r="CH202" s="18"/>
      <c r="CI202" s="18"/>
      <c r="CJ202" s="18"/>
      <c r="CK202" s="18"/>
      <c r="CL202" s="18"/>
      <c r="CM202" s="18"/>
      <c r="CN202" s="18"/>
      <c r="CO202" s="18"/>
      <c r="CP202" s="18"/>
      <c r="CQ202" s="18"/>
      <c r="CR202" s="18"/>
      <c r="CS202" s="18"/>
      <c r="CT202" s="18"/>
      <c r="CU202" s="18"/>
      <c r="CV202" s="18"/>
      <c r="CW202" s="18"/>
      <c r="CX202" s="18"/>
      <c r="CY202" s="37"/>
      <c r="CZ202" s="38"/>
      <c r="DA202" s="18"/>
      <c r="DB202" s="37"/>
      <c r="DC202" s="38"/>
      <c r="DD202" s="18"/>
      <c r="DE202" s="37"/>
      <c r="DF202" s="38"/>
      <c r="DG202" s="18"/>
      <c r="DH202" s="37"/>
      <c r="DI202" s="38"/>
      <c r="DJ202" s="18"/>
      <c r="DK202" s="37"/>
      <c r="DL202" s="38"/>
      <c r="DM202" s="18"/>
      <c r="DN202" s="18"/>
      <c r="DO202" s="18"/>
      <c r="DP202" s="18"/>
      <c r="DQ202" s="18"/>
      <c r="DR202" s="18"/>
      <c r="DS202" s="18"/>
      <c r="DT202" s="18"/>
      <c r="DU202" s="18"/>
      <c r="DV202" s="18"/>
      <c r="DW202" s="18"/>
      <c r="DX202" s="18"/>
      <c r="DY202" s="18"/>
      <c r="DZ202" s="18"/>
    </row>
    <row r="203" spans="1:130" ht="15" customHeight="1" x14ac:dyDescent="0.3">
      <c r="A203" s="24"/>
      <c r="B203" s="125" t="s">
        <v>319</v>
      </c>
      <c r="C203" s="65"/>
      <c r="D203" s="65"/>
      <c r="E203" s="65"/>
      <c r="F203" s="65"/>
      <c r="G203" s="65"/>
      <c r="H203" s="65"/>
      <c r="I203" s="65"/>
      <c r="J203" s="65"/>
      <c r="K203" s="65"/>
      <c r="L203" s="65"/>
      <c r="M203" s="66"/>
      <c r="N203" s="227"/>
      <c r="O203" s="17"/>
      <c r="P203" s="17"/>
      <c r="Q203" s="17"/>
      <c r="R203" s="17"/>
      <c r="S203" s="17"/>
      <c r="T203" s="17"/>
      <c r="U203" s="18"/>
      <c r="V203" s="18"/>
      <c r="W203" s="18"/>
      <c r="X203" s="18"/>
      <c r="Y203" s="18"/>
      <c r="Z203" s="18"/>
      <c r="AA203" s="18"/>
      <c r="AB203" s="18"/>
      <c r="AC203" s="18"/>
      <c r="AD203" s="18"/>
      <c r="AE203" s="18"/>
      <c r="AF203" s="85"/>
      <c r="AG203" s="85"/>
      <c r="AH203" s="85"/>
      <c r="AI203" s="85"/>
      <c r="AJ203" s="85"/>
      <c r="AK203" s="85"/>
      <c r="AL203" s="85"/>
      <c r="AM203" s="85"/>
      <c r="AN203" s="18"/>
      <c r="AO203" s="18"/>
      <c r="AP203" s="126" t="s">
        <v>319</v>
      </c>
      <c r="AQ203" s="127"/>
      <c r="AR203" s="127"/>
      <c r="AS203" s="127"/>
      <c r="AT203" s="127"/>
      <c r="AU203" s="127"/>
      <c r="AV203" s="127"/>
      <c r="AW203" s="127"/>
      <c r="AX203" s="127"/>
      <c r="AY203" s="127"/>
      <c r="AZ203" s="127"/>
      <c r="BA203" s="128"/>
      <c r="BB203" s="18"/>
      <c r="BC203" s="18"/>
      <c r="BD203" s="18"/>
      <c r="BE203" s="18"/>
      <c r="BF203" s="18"/>
      <c r="BG203" s="18"/>
      <c r="BH203" s="18"/>
      <c r="BI203" s="18"/>
      <c r="BJ203" s="18"/>
      <c r="BK203" s="18"/>
      <c r="BL203" s="18"/>
      <c r="BM203" s="18"/>
      <c r="BN203" s="18"/>
      <c r="BO203" s="18"/>
      <c r="BP203" s="18"/>
      <c r="BQ203" s="37"/>
      <c r="BR203" s="38"/>
      <c r="BS203" s="17"/>
      <c r="BT203" s="37"/>
      <c r="BU203" s="38"/>
      <c r="BV203" s="18"/>
      <c r="BW203" s="37"/>
      <c r="BX203" s="38"/>
      <c r="BY203" s="18"/>
      <c r="BZ203" s="39" t="str">
        <f t="shared" ref="BZ203:BZ215" si="80">IF(BQ203="","-",BQ203)</f>
        <v>-</v>
      </c>
      <c r="CA203" s="40" t="str">
        <f t="shared" ref="CA203:CA215" si="81">IF(BQ203="","-",IF(CA$8&lt;&gt;CA$7,BR203/VLOOKUP(BZ203,$BW$11:$BX$215,2,0),BR203))</f>
        <v>-</v>
      </c>
      <c r="CB203" s="17"/>
      <c r="CC203" s="39" t="str">
        <f t="shared" ref="CC203:CC215" si="82">IF(BT203="","-",BT203)</f>
        <v>-</v>
      </c>
      <c r="CD203" s="40" t="str">
        <f t="shared" ref="CD203:CD215" si="83">IF(BT203="","-",IF(CD$8&lt;&gt;CD$7,(BU203*$C$19)/VLOOKUP(CC203,$BW$11:$BX$215,2,0),BU203*$C$19))</f>
        <v>-</v>
      </c>
      <c r="CE203" s="18"/>
      <c r="CF203" s="18"/>
      <c r="CG203" s="18"/>
      <c r="CH203" s="18"/>
      <c r="CI203" s="18"/>
      <c r="CJ203" s="18"/>
      <c r="CK203" s="18"/>
      <c r="CL203" s="18"/>
      <c r="CM203" s="18"/>
      <c r="CN203" s="18"/>
      <c r="CO203" s="18"/>
      <c r="CP203" s="18"/>
      <c r="CQ203" s="18"/>
      <c r="CR203" s="18"/>
      <c r="CS203" s="18"/>
      <c r="CT203" s="18"/>
      <c r="CU203" s="18"/>
      <c r="CV203" s="18"/>
      <c r="CW203" s="18"/>
      <c r="CX203" s="18"/>
      <c r="CY203" s="37"/>
      <c r="CZ203" s="38"/>
      <c r="DA203" s="18"/>
      <c r="DB203" s="37"/>
      <c r="DC203" s="38"/>
      <c r="DD203" s="18"/>
      <c r="DE203" s="37"/>
      <c r="DF203" s="38"/>
      <c r="DG203" s="18"/>
      <c r="DH203" s="37"/>
      <c r="DI203" s="38"/>
      <c r="DJ203" s="18"/>
      <c r="DK203" s="37"/>
      <c r="DL203" s="38"/>
      <c r="DM203" s="18"/>
      <c r="DN203" s="18"/>
      <c r="DO203" s="18"/>
      <c r="DP203" s="18"/>
      <c r="DQ203" s="18"/>
      <c r="DR203" s="18"/>
      <c r="DS203" s="18"/>
      <c r="DT203" s="18"/>
      <c r="DU203" s="18"/>
      <c r="DV203" s="18"/>
      <c r="DW203" s="18"/>
      <c r="DX203" s="18"/>
      <c r="DY203" s="18"/>
      <c r="DZ203" s="18"/>
    </row>
    <row r="204" spans="1:130" ht="15" customHeight="1" x14ac:dyDescent="0.3">
      <c r="A204" s="30"/>
      <c r="B204" s="47"/>
      <c r="C204" s="48"/>
      <c r="D204" s="48"/>
      <c r="E204" s="48"/>
      <c r="F204" s="48"/>
      <c r="G204" s="48"/>
      <c r="H204" s="48"/>
      <c r="I204" s="48"/>
      <c r="J204" s="48"/>
      <c r="K204" s="48"/>
      <c r="L204" s="48"/>
      <c r="M204" s="49"/>
      <c r="N204" s="227"/>
      <c r="O204" s="17"/>
      <c r="P204" s="17"/>
      <c r="Q204" s="17"/>
      <c r="R204" s="17"/>
      <c r="S204" s="17"/>
      <c r="T204" s="17"/>
      <c r="U204" s="18"/>
      <c r="V204" s="18"/>
      <c r="W204" s="18"/>
      <c r="X204" s="18"/>
      <c r="Y204" s="18"/>
      <c r="Z204" s="18"/>
      <c r="AA204" s="18"/>
      <c r="AB204" s="18"/>
      <c r="AC204" s="18"/>
      <c r="AD204" s="18"/>
      <c r="AE204" s="18"/>
      <c r="AF204" s="85"/>
      <c r="AG204" s="85"/>
      <c r="AH204" s="85"/>
      <c r="AI204" s="85"/>
      <c r="AJ204" s="85"/>
      <c r="AK204" s="85"/>
      <c r="AL204" s="85"/>
      <c r="AM204" s="85"/>
      <c r="AN204" s="18"/>
      <c r="AO204" s="18"/>
      <c r="AP204" s="77"/>
      <c r="AQ204" s="129"/>
      <c r="AR204" s="129"/>
      <c r="AS204" s="129"/>
      <c r="AT204" s="129"/>
      <c r="AU204" s="129"/>
      <c r="AV204" s="129"/>
      <c r="AW204" s="129"/>
      <c r="AX204" s="129"/>
      <c r="AY204" s="129"/>
      <c r="AZ204" s="129"/>
      <c r="BA204" s="130"/>
      <c r="BB204" s="18"/>
      <c r="BC204" s="18"/>
      <c r="BD204" s="18"/>
      <c r="BE204" s="18"/>
      <c r="BF204" s="18"/>
      <c r="BG204" s="18"/>
      <c r="BH204" s="18"/>
      <c r="BI204" s="18"/>
      <c r="BJ204" s="18"/>
      <c r="BK204" s="18"/>
      <c r="BL204" s="18"/>
      <c r="BM204" s="18"/>
      <c r="BN204" s="18"/>
      <c r="BO204" s="18"/>
      <c r="BP204" s="18"/>
      <c r="BQ204" s="37"/>
      <c r="BR204" s="38"/>
      <c r="BS204" s="17"/>
      <c r="BT204" s="37"/>
      <c r="BU204" s="38"/>
      <c r="BV204" s="18"/>
      <c r="BW204" s="37"/>
      <c r="BX204" s="38"/>
      <c r="BY204" s="18"/>
      <c r="BZ204" s="39" t="str">
        <f t="shared" si="80"/>
        <v>-</v>
      </c>
      <c r="CA204" s="40" t="str">
        <f t="shared" si="81"/>
        <v>-</v>
      </c>
      <c r="CB204" s="17"/>
      <c r="CC204" s="39" t="str">
        <f t="shared" si="82"/>
        <v>-</v>
      </c>
      <c r="CD204" s="40" t="str">
        <f t="shared" si="83"/>
        <v>-</v>
      </c>
      <c r="CE204" s="18"/>
      <c r="CF204" s="18"/>
      <c r="CG204" s="18"/>
      <c r="CH204" s="18"/>
      <c r="CI204" s="18"/>
      <c r="CJ204" s="18"/>
      <c r="CK204" s="18"/>
      <c r="CL204" s="18"/>
      <c r="CM204" s="18"/>
      <c r="CN204" s="18"/>
      <c r="CO204" s="18"/>
      <c r="CP204" s="18"/>
      <c r="CQ204" s="18"/>
      <c r="CR204" s="18"/>
      <c r="CS204" s="18"/>
      <c r="CT204" s="18"/>
      <c r="CU204" s="18"/>
      <c r="CV204" s="18"/>
      <c r="CW204" s="18"/>
      <c r="CX204" s="18"/>
      <c r="CY204" s="37"/>
      <c r="CZ204" s="38"/>
      <c r="DA204" s="18"/>
      <c r="DB204" s="37"/>
      <c r="DC204" s="38"/>
      <c r="DD204" s="18"/>
      <c r="DE204" s="37"/>
      <c r="DF204" s="38"/>
      <c r="DG204" s="18"/>
      <c r="DH204" s="37"/>
      <c r="DI204" s="38"/>
      <c r="DJ204" s="18"/>
      <c r="DK204" s="37"/>
      <c r="DL204" s="38"/>
      <c r="DM204" s="18"/>
      <c r="DN204" s="18"/>
      <c r="DO204" s="18"/>
      <c r="DP204" s="18"/>
      <c r="DQ204" s="18"/>
      <c r="DR204" s="18"/>
      <c r="DS204" s="18"/>
      <c r="DT204" s="18"/>
      <c r="DU204" s="18"/>
      <c r="DV204" s="18"/>
      <c r="DW204" s="18"/>
      <c r="DX204" s="18"/>
      <c r="DY204" s="18"/>
      <c r="DZ204" s="18"/>
    </row>
    <row r="205" spans="1:130" ht="15" customHeight="1" x14ac:dyDescent="0.3">
      <c r="A205" s="30" t="s">
        <v>344</v>
      </c>
      <c r="B205" s="47" t="s">
        <v>345</v>
      </c>
      <c r="C205" s="48">
        <v>2022</v>
      </c>
      <c r="D205" s="48">
        <v>2021</v>
      </c>
      <c r="E205" s="48">
        <v>2020</v>
      </c>
      <c r="F205" s="48">
        <v>2019</v>
      </c>
      <c r="G205" s="48">
        <v>2018</v>
      </c>
      <c r="H205" s="48">
        <v>2017</v>
      </c>
      <c r="I205" s="48">
        <v>2016</v>
      </c>
      <c r="J205" s="48">
        <v>2015</v>
      </c>
      <c r="K205" s="48">
        <v>2014</v>
      </c>
      <c r="L205" s="48">
        <v>2013</v>
      </c>
      <c r="M205" s="49">
        <v>2012</v>
      </c>
      <c r="N205" s="227"/>
      <c r="O205" s="17"/>
      <c r="P205" s="17"/>
      <c r="Q205" s="17"/>
      <c r="R205" s="17"/>
      <c r="S205" s="17"/>
      <c r="T205" s="17"/>
      <c r="U205" s="18"/>
      <c r="V205" s="18"/>
      <c r="W205" s="18"/>
      <c r="X205" s="18"/>
      <c r="Y205" s="18"/>
      <c r="Z205" s="18"/>
      <c r="AA205" s="18"/>
      <c r="AB205" s="18"/>
      <c r="AC205" s="18"/>
      <c r="AD205" s="18"/>
      <c r="AE205" s="18" t="str">
        <f t="shared" ref="AE205:AM205" si="84">B205</f>
        <v>Year</v>
      </c>
      <c r="AF205" s="76">
        <f t="shared" si="84"/>
        <v>2022</v>
      </c>
      <c r="AG205" s="76">
        <f t="shared" si="84"/>
        <v>2021</v>
      </c>
      <c r="AH205" s="76">
        <f t="shared" si="84"/>
        <v>2020</v>
      </c>
      <c r="AI205" s="76">
        <f t="shared" si="84"/>
        <v>2019</v>
      </c>
      <c r="AJ205" s="76">
        <f t="shared" si="84"/>
        <v>2018</v>
      </c>
      <c r="AK205" s="76">
        <f t="shared" si="84"/>
        <v>2017</v>
      </c>
      <c r="AL205" s="76">
        <f t="shared" si="84"/>
        <v>2016</v>
      </c>
      <c r="AM205" s="76">
        <f t="shared" si="84"/>
        <v>2015</v>
      </c>
      <c r="AN205" s="18"/>
      <c r="AO205" s="18"/>
      <c r="AP205" s="77"/>
      <c r="AQ205" s="129" t="str">
        <f>_xll.BDH($B$10,"RETURN_COM_EQY","-10FY","","Per=fy","Days=W","Fill=E","Curr=","DtFmt=P","Sort=D","Dts=S","Dir=H","FILING_STATUS,EQY_CONSOLIDATED","MR,","cols=11;rows=2")</f>
        <v>FY1 2022</v>
      </c>
      <c r="AR205" s="129" t="s">
        <v>1921</v>
      </c>
      <c r="AS205" s="129" t="s">
        <v>1821</v>
      </c>
      <c r="AT205" s="129" t="s">
        <v>1812</v>
      </c>
      <c r="AU205" s="129" t="s">
        <v>1813</v>
      </c>
      <c r="AV205" s="129" t="s">
        <v>1814</v>
      </c>
      <c r="AW205" s="129" t="s">
        <v>1815</v>
      </c>
      <c r="AX205" s="129" t="s">
        <v>1816</v>
      </c>
      <c r="AY205" s="129" t="s">
        <v>1817</v>
      </c>
      <c r="AZ205" s="129" t="s">
        <v>1818</v>
      </c>
      <c r="BA205" s="130" t="s">
        <v>1819</v>
      </c>
      <c r="BB205" s="18"/>
      <c r="BC205" s="18"/>
      <c r="BD205" s="18"/>
      <c r="BE205" s="18"/>
      <c r="BF205" s="18"/>
      <c r="BG205" s="18"/>
      <c r="BH205" s="18"/>
      <c r="BI205" s="18"/>
      <c r="BJ205" s="18"/>
      <c r="BK205" s="18"/>
      <c r="BL205" s="18"/>
      <c r="BM205" s="18"/>
      <c r="BN205" s="18"/>
      <c r="BO205" s="18"/>
      <c r="BP205" s="18"/>
      <c r="BQ205" s="37"/>
      <c r="BR205" s="38"/>
      <c r="BS205" s="17"/>
      <c r="BT205" s="37"/>
      <c r="BU205" s="38"/>
      <c r="BV205" s="18"/>
      <c r="BW205" s="37"/>
      <c r="BX205" s="38"/>
      <c r="BY205" s="18"/>
      <c r="BZ205" s="39" t="str">
        <f t="shared" si="80"/>
        <v>-</v>
      </c>
      <c r="CA205" s="40" t="str">
        <f t="shared" si="81"/>
        <v>-</v>
      </c>
      <c r="CB205" s="17"/>
      <c r="CC205" s="39" t="str">
        <f t="shared" si="82"/>
        <v>-</v>
      </c>
      <c r="CD205" s="40" t="str">
        <f t="shared" si="83"/>
        <v>-</v>
      </c>
      <c r="CE205" s="18"/>
      <c r="CF205" s="18"/>
      <c r="CG205" s="18"/>
      <c r="CH205" s="18"/>
      <c r="CI205" s="18"/>
      <c r="CJ205" s="18"/>
      <c r="CK205" s="18"/>
      <c r="CL205" s="18"/>
      <c r="CM205" s="18"/>
      <c r="CN205" s="18"/>
      <c r="CO205" s="18"/>
      <c r="CP205" s="18"/>
      <c r="CQ205" s="18"/>
      <c r="CR205" s="18"/>
      <c r="CS205" s="18"/>
      <c r="CT205" s="18"/>
      <c r="CU205" s="18"/>
      <c r="CV205" s="18"/>
      <c r="CW205" s="18"/>
      <c r="CX205" s="18"/>
      <c r="CY205" s="37"/>
      <c r="CZ205" s="38"/>
      <c r="DA205" s="18"/>
      <c r="DB205" s="37"/>
      <c r="DC205" s="38"/>
      <c r="DD205" s="18"/>
      <c r="DE205" s="37"/>
      <c r="DF205" s="38"/>
      <c r="DG205" s="18"/>
      <c r="DH205" s="37"/>
      <c r="DI205" s="38"/>
      <c r="DJ205" s="18"/>
      <c r="DK205" s="37"/>
      <c r="DL205" s="38"/>
      <c r="DM205" s="18"/>
      <c r="DN205" s="18"/>
      <c r="DO205" s="18"/>
      <c r="DP205" s="18"/>
      <c r="DQ205" s="18"/>
      <c r="DR205" s="18"/>
      <c r="DS205" s="18"/>
      <c r="DT205" s="18"/>
      <c r="DU205" s="18"/>
      <c r="DV205" s="18"/>
      <c r="DW205" s="18"/>
      <c r="DX205" s="18"/>
      <c r="DY205" s="18"/>
      <c r="DZ205" s="18"/>
    </row>
    <row r="206" spans="1:130" ht="15" customHeight="1" x14ac:dyDescent="0.3">
      <c r="A206" s="30" t="s">
        <v>320</v>
      </c>
      <c r="B206" s="112" t="s">
        <v>411</v>
      </c>
      <c r="C206" s="131">
        <v>9.66</v>
      </c>
      <c r="D206" s="131">
        <v>7.66</v>
      </c>
      <c r="E206" s="131">
        <v>4.2</v>
      </c>
      <c r="F206" s="131">
        <v>24.85</v>
      </c>
      <c r="G206" s="131">
        <v>54.27</v>
      </c>
      <c r="H206" s="131">
        <v>-5.95</v>
      </c>
      <c r="I206" s="131">
        <v>16.27</v>
      </c>
      <c r="J206" s="131">
        <v>25.45</v>
      </c>
      <c r="K206" s="131">
        <v>26.66</v>
      </c>
      <c r="L206" s="131">
        <v>123.6</v>
      </c>
      <c r="M206" s="132">
        <v>-137.57</v>
      </c>
      <c r="N206" s="227"/>
      <c r="O206" s="17"/>
      <c r="P206" s="17"/>
      <c r="Q206" s="17"/>
      <c r="R206" s="17"/>
      <c r="S206" s="17"/>
      <c r="T206" s="17"/>
      <c r="U206" s="18"/>
      <c r="V206" s="18"/>
      <c r="W206" s="18"/>
      <c r="X206" s="18"/>
      <c r="Y206" s="18"/>
      <c r="Z206" s="18"/>
      <c r="AA206" s="18"/>
      <c r="AB206" s="18"/>
      <c r="AC206" s="18"/>
      <c r="AD206" s="18"/>
      <c r="AE206" s="18" t="str">
        <f t="shared" ref="AE206:AE217" si="85">B206</f>
        <v>Return on Common Equity</v>
      </c>
      <c r="AF206" s="85">
        <f t="shared" ref="AF206:AF217" si="86">C206-AQ206</f>
        <v>-3.5000000000007248E-3</v>
      </c>
      <c r="AG206" s="85">
        <f t="shared" ref="AG206:AG217" si="87">D206-AR206</f>
        <v>-1.5999999999998238E-3</v>
      </c>
      <c r="AH206" s="85">
        <f t="shared" ref="AH206:AH217" si="88">E206-AS206</f>
        <v>-1.1000000000001009E-3</v>
      </c>
      <c r="AI206" s="85">
        <f t="shared" ref="AI206:AI217" si="89">F206-AT206</f>
        <v>6.0000000000215437E-4</v>
      </c>
      <c r="AJ206" s="85">
        <f t="shared" ref="AJ206:AJ217" si="90">G206-AU206</f>
        <v>1.300000000000523E-3</v>
      </c>
      <c r="AK206" s="85">
        <f t="shared" ref="AK206:AK217" si="91">H206-AV206</f>
        <v>-1.7000000000004789E-3</v>
      </c>
      <c r="AL206" s="85">
        <f t="shared" ref="AL206:AL217" si="92">I206-AW206</f>
        <v>-2.0999999999986585E-3</v>
      </c>
      <c r="AM206" s="85">
        <f t="shared" ref="AM206:AM217" si="93">J206-AX206</f>
        <v>4.3000000000006366E-3</v>
      </c>
      <c r="AN206" s="18"/>
      <c r="AO206" s="18"/>
      <c r="AP206" s="77" t="s">
        <v>469</v>
      </c>
      <c r="AQ206" s="133">
        <v>9.6635000000000009</v>
      </c>
      <c r="AR206" s="134">
        <v>7.6616</v>
      </c>
      <c r="AS206" s="134">
        <v>4.2011000000000003</v>
      </c>
      <c r="AT206" s="134">
        <v>24.849399999999999</v>
      </c>
      <c r="AU206" s="134">
        <v>54.268700000000003</v>
      </c>
      <c r="AV206" s="134">
        <v>-5.9482999999999997</v>
      </c>
      <c r="AW206" s="134">
        <v>16.272099999999998</v>
      </c>
      <c r="AX206" s="134">
        <v>25.445699999999999</v>
      </c>
      <c r="AY206" s="134">
        <v>26.660799999999998</v>
      </c>
      <c r="AZ206" s="134">
        <v>123.5972</v>
      </c>
      <c r="BA206" s="135">
        <v>-137.56700000000001</v>
      </c>
      <c r="BB206" s="77"/>
      <c r="BC206" s="18"/>
      <c r="BD206" s="18"/>
      <c r="BE206" s="18"/>
      <c r="BF206" s="18"/>
      <c r="BG206" s="18"/>
      <c r="BH206" s="18"/>
      <c r="BI206" s="18"/>
      <c r="BJ206" s="18"/>
      <c r="BK206" s="18"/>
      <c r="BL206" s="18"/>
      <c r="BM206" s="18"/>
      <c r="BN206" s="18"/>
      <c r="BO206" s="18"/>
      <c r="BP206" s="18"/>
      <c r="BQ206" s="37"/>
      <c r="BR206" s="38"/>
      <c r="BS206" s="17"/>
      <c r="BT206" s="37"/>
      <c r="BU206" s="38"/>
      <c r="BV206" s="18"/>
      <c r="BW206" s="37"/>
      <c r="BX206" s="38"/>
      <c r="BY206" s="18"/>
      <c r="BZ206" s="39" t="str">
        <f t="shared" si="80"/>
        <v>-</v>
      </c>
      <c r="CA206" s="40" t="str">
        <f t="shared" si="81"/>
        <v>-</v>
      </c>
      <c r="CB206" s="17"/>
      <c r="CC206" s="39" t="str">
        <f t="shared" si="82"/>
        <v>-</v>
      </c>
      <c r="CD206" s="40" t="str">
        <f t="shared" si="83"/>
        <v>-</v>
      </c>
      <c r="CE206" s="18"/>
      <c r="CF206" s="18"/>
      <c r="CG206" s="18"/>
      <c r="CH206" s="18"/>
      <c r="CI206" s="18"/>
      <c r="CJ206" s="18"/>
      <c r="CK206" s="18"/>
      <c r="CL206" s="18"/>
      <c r="CM206" s="18"/>
      <c r="CN206" s="18"/>
      <c r="CO206" s="18"/>
      <c r="CP206" s="18"/>
      <c r="CQ206" s="18"/>
      <c r="CR206" s="18"/>
      <c r="CS206" s="18"/>
      <c r="CT206" s="18"/>
      <c r="CU206" s="18"/>
      <c r="CV206" s="18"/>
      <c r="CW206" s="18"/>
      <c r="CX206" s="18"/>
      <c r="CY206" s="37"/>
      <c r="CZ206" s="38"/>
      <c r="DA206" s="18"/>
      <c r="DB206" s="37"/>
      <c r="DC206" s="38"/>
      <c r="DD206" s="18"/>
      <c r="DE206" s="37"/>
      <c r="DF206" s="38"/>
      <c r="DG206" s="18"/>
      <c r="DH206" s="37"/>
      <c r="DI206" s="38"/>
      <c r="DJ206" s="18"/>
      <c r="DK206" s="37"/>
      <c r="DL206" s="38"/>
      <c r="DM206" s="18"/>
      <c r="DN206" s="18"/>
      <c r="DO206" s="18"/>
      <c r="DP206" s="18"/>
      <c r="DQ206" s="18"/>
      <c r="DR206" s="18"/>
      <c r="DS206" s="18"/>
      <c r="DT206" s="18"/>
      <c r="DU206" s="18"/>
      <c r="DV206" s="18"/>
      <c r="DW206" s="18"/>
      <c r="DX206" s="18"/>
      <c r="DY206" s="18"/>
      <c r="DZ206" s="18"/>
    </row>
    <row r="207" spans="1:130" ht="15" customHeight="1" x14ac:dyDescent="0.3">
      <c r="A207" s="30" t="s">
        <v>321</v>
      </c>
      <c r="B207" s="112" t="s">
        <v>412</v>
      </c>
      <c r="C207" s="131">
        <v>1.79</v>
      </c>
      <c r="D207" s="131">
        <v>2.1800000000000002</v>
      </c>
      <c r="E207" s="131">
        <v>1.89</v>
      </c>
      <c r="F207" s="131">
        <v>2.4700000000000002</v>
      </c>
      <c r="G207" s="131">
        <v>3.39</v>
      </c>
      <c r="H207" s="131">
        <v>3.91</v>
      </c>
      <c r="I207" s="131">
        <v>4.4800000000000004</v>
      </c>
      <c r="J207" s="131">
        <v>4.75</v>
      </c>
      <c r="K207" s="131">
        <v>4.8899999999999997</v>
      </c>
      <c r="L207" s="131">
        <v>4.45</v>
      </c>
      <c r="M207" s="132">
        <v>23.53</v>
      </c>
      <c r="N207" s="227"/>
      <c r="O207" s="17"/>
      <c r="P207" s="17"/>
      <c r="Q207" s="17"/>
      <c r="R207" s="17"/>
      <c r="S207" s="17"/>
      <c r="T207" s="17"/>
      <c r="U207" s="18"/>
      <c r="V207" s="18"/>
      <c r="W207" s="18"/>
      <c r="X207" s="18"/>
      <c r="Y207" s="18"/>
      <c r="Z207" s="18"/>
      <c r="AA207" s="18"/>
      <c r="AB207" s="18"/>
      <c r="AC207" s="18"/>
      <c r="AD207" s="18"/>
      <c r="AE207" s="18" t="str">
        <f t="shared" si="85"/>
        <v>Average Equity/Average Assets</v>
      </c>
      <c r="AF207" s="85">
        <f t="shared" si="86"/>
        <v>-1.7000000000000348E-3</v>
      </c>
      <c r="AG207" s="85">
        <f t="shared" si="87"/>
        <v>-4.9999999999972289E-4</v>
      </c>
      <c r="AH207" s="85">
        <f t="shared" si="88"/>
        <v>-6.0000000000015596E-4</v>
      </c>
      <c r="AI207" s="85">
        <f t="shared" si="89"/>
        <v>-4.5999999999999375E-3</v>
      </c>
      <c r="AJ207" s="85">
        <f t="shared" si="90"/>
        <v>-4.4999999999997264E-3</v>
      </c>
      <c r="AK207" s="85">
        <f t="shared" si="91"/>
        <v>1.8000000000002458E-3</v>
      </c>
      <c r="AL207" s="85">
        <f t="shared" si="92"/>
        <v>-8.9999999999967883E-4</v>
      </c>
      <c r="AM207" s="85">
        <f t="shared" si="93"/>
        <v>1.2999999999996348E-3</v>
      </c>
      <c r="AN207" s="18"/>
      <c r="AO207" s="18"/>
      <c r="AP207" s="77" t="s">
        <v>470</v>
      </c>
      <c r="AQ207" s="136">
        <f>_xll.BDH($B$10,"PX_TO_BOOK_RATIO","-10FY","","Per=fy","Days=W","Fill=E","Curr=","DtFmt=P","Sort=D","Dts=H","Dir=H","FILING_STATUS,EQY_CONSOLIDATED","MR,","cols=11;rows=1")</f>
        <v>1.7917000000000001</v>
      </c>
      <c r="AR207" s="136">
        <v>2.1804999999999999</v>
      </c>
      <c r="AS207" s="136">
        <v>1.8906000000000001</v>
      </c>
      <c r="AT207" s="136">
        <v>2.4746000000000001</v>
      </c>
      <c r="AU207" s="136">
        <v>3.3944999999999999</v>
      </c>
      <c r="AV207" s="136">
        <v>3.9081999999999999</v>
      </c>
      <c r="AW207" s="136">
        <v>4.4809000000000001</v>
      </c>
      <c r="AX207" s="136">
        <v>4.7487000000000004</v>
      </c>
      <c r="AY207" s="136">
        <v>4.8880999999999997</v>
      </c>
      <c r="AZ207" s="136">
        <v>4.4546999999999999</v>
      </c>
      <c r="BA207" s="137">
        <v>23.527200000000001</v>
      </c>
      <c r="BB207" s="77"/>
      <c r="BC207" s="18"/>
      <c r="BD207" s="18"/>
      <c r="BE207" s="18"/>
      <c r="BF207" s="18"/>
      <c r="BG207" s="18"/>
      <c r="BH207" s="18"/>
      <c r="BI207" s="18"/>
      <c r="BJ207" s="18"/>
      <c r="BK207" s="18"/>
      <c r="BL207" s="18"/>
      <c r="BM207" s="18"/>
      <c r="BN207" s="18"/>
      <c r="BO207" s="18"/>
      <c r="BP207" s="18"/>
      <c r="BQ207" s="37"/>
      <c r="BR207" s="38"/>
      <c r="BS207" s="17"/>
      <c r="BT207" s="37"/>
      <c r="BU207" s="38"/>
      <c r="BV207" s="18"/>
      <c r="BW207" s="37"/>
      <c r="BX207" s="38"/>
      <c r="BY207" s="18"/>
      <c r="BZ207" s="39" t="str">
        <f t="shared" si="80"/>
        <v>-</v>
      </c>
      <c r="CA207" s="40" t="str">
        <f t="shared" si="81"/>
        <v>-</v>
      </c>
      <c r="CB207" s="17"/>
      <c r="CC207" s="39" t="str">
        <f t="shared" si="82"/>
        <v>-</v>
      </c>
      <c r="CD207" s="40" t="str">
        <f t="shared" si="83"/>
        <v>-</v>
      </c>
      <c r="CE207" s="18"/>
      <c r="CF207" s="18"/>
      <c r="CG207" s="18"/>
      <c r="CH207" s="18"/>
      <c r="CI207" s="18"/>
      <c r="CJ207" s="18"/>
      <c r="CK207" s="18"/>
      <c r="CL207" s="18"/>
      <c r="CM207" s="18"/>
      <c r="CN207" s="18"/>
      <c r="CO207" s="18"/>
      <c r="CP207" s="18"/>
      <c r="CQ207" s="18"/>
      <c r="CR207" s="18"/>
      <c r="CS207" s="18"/>
      <c r="CT207" s="18"/>
      <c r="CU207" s="18"/>
      <c r="CV207" s="18"/>
      <c r="CW207" s="18"/>
      <c r="CX207" s="18"/>
      <c r="CY207" s="37"/>
      <c r="CZ207" s="38"/>
      <c r="DA207" s="18"/>
      <c r="DB207" s="37"/>
      <c r="DC207" s="38"/>
      <c r="DD207" s="18"/>
      <c r="DE207" s="37"/>
      <c r="DF207" s="38"/>
      <c r="DG207" s="18"/>
      <c r="DH207" s="37"/>
      <c r="DI207" s="38"/>
      <c r="DJ207" s="18"/>
      <c r="DK207" s="37"/>
      <c r="DL207" s="38"/>
      <c r="DM207" s="18"/>
      <c r="DN207" s="18"/>
      <c r="DO207" s="18"/>
      <c r="DP207" s="18"/>
      <c r="DQ207" s="18"/>
      <c r="DR207" s="18"/>
      <c r="DS207" s="18"/>
      <c r="DT207" s="18"/>
      <c r="DU207" s="18"/>
      <c r="DV207" s="18"/>
      <c r="DW207" s="18"/>
      <c r="DX207" s="18"/>
      <c r="DY207" s="18"/>
      <c r="DZ207" s="18"/>
    </row>
    <row r="208" spans="1:130" ht="15" customHeight="1" x14ac:dyDescent="0.3">
      <c r="A208" s="30" t="s">
        <v>323</v>
      </c>
      <c r="B208" s="112" t="s">
        <v>322</v>
      </c>
      <c r="C208" s="131">
        <v>8.93</v>
      </c>
      <c r="D208" s="131">
        <v>9.3000000000000007</v>
      </c>
      <c r="E208" s="131">
        <v>9.3000000000000007</v>
      </c>
      <c r="F208" s="131">
        <v>14.86</v>
      </c>
      <c r="G208" s="131">
        <v>14.86</v>
      </c>
      <c r="H208" s="131">
        <v>14.86</v>
      </c>
      <c r="I208" s="131">
        <v>14.86</v>
      </c>
      <c r="J208" s="131">
        <v>14.86</v>
      </c>
      <c r="K208" s="131">
        <v>14.86</v>
      </c>
      <c r="L208" s="131">
        <v>14.86</v>
      </c>
      <c r="M208" s="132">
        <v>14.86</v>
      </c>
      <c r="N208" s="227"/>
      <c r="O208" s="17"/>
      <c r="P208" s="17"/>
      <c r="Q208" s="17"/>
      <c r="R208" s="17"/>
      <c r="S208" s="17"/>
      <c r="T208" s="17"/>
      <c r="U208" s="18"/>
      <c r="V208" s="18"/>
      <c r="W208" s="18"/>
      <c r="X208" s="18"/>
      <c r="Y208" s="18"/>
      <c r="Z208" s="18"/>
      <c r="AA208" s="18"/>
      <c r="AB208" s="18"/>
      <c r="AC208" s="18"/>
      <c r="AD208" s="18"/>
      <c r="AE208" s="18" t="str">
        <f t="shared" si="85"/>
        <v>EV/Ebitda</v>
      </c>
      <c r="AF208" s="85">
        <f t="shared" si="86"/>
        <v>0.37929999999999886</v>
      </c>
      <c r="AG208" s="85">
        <f t="shared" si="87"/>
        <v>-0.99349999999999916</v>
      </c>
      <c r="AH208" s="85">
        <f t="shared" si="88"/>
        <v>-1.5846999999999998</v>
      </c>
      <c r="AI208" s="85">
        <f t="shared" si="89"/>
        <v>7.7291999999999996</v>
      </c>
      <c r="AJ208" s="85">
        <f t="shared" si="90"/>
        <v>0.70289999999999964</v>
      </c>
      <c r="AK208" s="85">
        <f t="shared" si="91"/>
        <v>6.2154999999999987</v>
      </c>
      <c r="AL208" s="85">
        <f t="shared" si="92"/>
        <v>4.4697999999999993</v>
      </c>
      <c r="AM208" s="85">
        <f t="shared" si="93"/>
        <v>2.2903000000000002</v>
      </c>
      <c r="AN208" s="18"/>
      <c r="AO208" s="18"/>
      <c r="AP208" s="77" t="s">
        <v>322</v>
      </c>
      <c r="AQ208" s="136">
        <f>_xll.BDH($B$10,"CURRENT_EV_TO_T12M_EBITDA","-10FY","","Per=fy","Days=W","Fill=E","Curr=","DtFmt=P","Sort=D","Dts=H","Dir=H","FILING_STATUS,EQY_CONSOLIDATED","MR,","cols=11;rows=1")</f>
        <v>8.5507000000000009</v>
      </c>
      <c r="AR208" s="136">
        <v>10.2935</v>
      </c>
      <c r="AS208" s="136">
        <v>10.8847</v>
      </c>
      <c r="AT208" s="136">
        <v>7.1307999999999998</v>
      </c>
      <c r="AU208" s="136">
        <v>14.1571</v>
      </c>
      <c r="AV208" s="136">
        <v>8.6445000000000007</v>
      </c>
      <c r="AW208" s="136">
        <v>10.3902</v>
      </c>
      <c r="AX208" s="136">
        <v>12.569699999999999</v>
      </c>
      <c r="AY208" s="136">
        <v>12.5396</v>
      </c>
      <c r="AZ208" s="136">
        <v>5.9355000000000002</v>
      </c>
      <c r="BA208" s="137">
        <v>11.2081</v>
      </c>
      <c r="BB208" s="77"/>
      <c r="BC208" s="18"/>
      <c r="BD208" s="18"/>
      <c r="BE208" s="18"/>
      <c r="BF208" s="18"/>
      <c r="BG208" s="18"/>
      <c r="BH208" s="18"/>
      <c r="BI208" s="18"/>
      <c r="BJ208" s="18"/>
      <c r="BK208" s="18"/>
      <c r="BL208" s="18"/>
      <c r="BM208" s="18"/>
      <c r="BN208" s="18"/>
      <c r="BO208" s="18"/>
      <c r="BP208" s="18"/>
      <c r="BQ208" s="37"/>
      <c r="BR208" s="38"/>
      <c r="BS208" s="17"/>
      <c r="BT208" s="37"/>
      <c r="BU208" s="38"/>
      <c r="BV208" s="18"/>
      <c r="BW208" s="37"/>
      <c r="BX208" s="38"/>
      <c r="BY208" s="18"/>
      <c r="BZ208" s="39" t="str">
        <f t="shared" si="80"/>
        <v>-</v>
      </c>
      <c r="CA208" s="40" t="str">
        <f t="shared" si="81"/>
        <v>-</v>
      </c>
      <c r="CB208" s="17"/>
      <c r="CC208" s="39" t="str">
        <f t="shared" si="82"/>
        <v>-</v>
      </c>
      <c r="CD208" s="40" t="str">
        <f t="shared" si="83"/>
        <v>-</v>
      </c>
      <c r="CE208" s="18"/>
      <c r="CF208" s="18"/>
      <c r="CG208" s="18"/>
      <c r="CH208" s="18"/>
      <c r="CI208" s="18"/>
      <c r="CJ208" s="18"/>
      <c r="CK208" s="18"/>
      <c r="CL208" s="18"/>
      <c r="CM208" s="18"/>
      <c r="CN208" s="18"/>
      <c r="CO208" s="18"/>
      <c r="CP208" s="18"/>
      <c r="CQ208" s="18"/>
      <c r="CR208" s="18"/>
      <c r="CS208" s="18"/>
      <c r="CT208" s="18"/>
      <c r="CU208" s="18"/>
      <c r="CV208" s="18"/>
      <c r="CW208" s="18"/>
      <c r="CX208" s="18"/>
      <c r="CY208" s="37"/>
      <c r="CZ208" s="38"/>
      <c r="DA208" s="18"/>
      <c r="DB208" s="37"/>
      <c r="DC208" s="38"/>
      <c r="DD208" s="18"/>
      <c r="DE208" s="37"/>
      <c r="DF208" s="38"/>
      <c r="DG208" s="18"/>
      <c r="DH208" s="37"/>
      <c r="DI208" s="38"/>
      <c r="DJ208" s="18"/>
      <c r="DK208" s="37"/>
      <c r="DL208" s="38"/>
      <c r="DM208" s="18"/>
      <c r="DN208" s="18"/>
      <c r="DO208" s="18"/>
      <c r="DP208" s="18"/>
      <c r="DQ208" s="18"/>
      <c r="DR208" s="18"/>
      <c r="DS208" s="18"/>
      <c r="DT208" s="18"/>
      <c r="DU208" s="18"/>
      <c r="DV208" s="18"/>
      <c r="DW208" s="18"/>
      <c r="DX208" s="18"/>
      <c r="DY208" s="18"/>
      <c r="DZ208" s="18"/>
    </row>
    <row r="209" spans="1:130" ht="15" customHeight="1" x14ac:dyDescent="0.3">
      <c r="A209" s="30" t="s">
        <v>324</v>
      </c>
      <c r="B209" s="112" t="s">
        <v>200</v>
      </c>
      <c r="C209" s="131">
        <v>48.77</v>
      </c>
      <c r="D209" s="131">
        <v>49.3</v>
      </c>
      <c r="E209" s="131">
        <v>47.94</v>
      </c>
      <c r="F209" s="131">
        <v>50.66</v>
      </c>
      <c r="G209" s="131">
        <v>49.97</v>
      </c>
      <c r="H209" s="131">
        <v>49.46</v>
      </c>
      <c r="I209" s="131">
        <v>43.61</v>
      </c>
      <c r="J209" s="131">
        <v>43.79</v>
      </c>
      <c r="K209" s="131">
        <v>42.65</v>
      </c>
      <c r="L209" s="131">
        <v>43.15</v>
      </c>
      <c r="M209" s="132">
        <v>42.13</v>
      </c>
      <c r="N209" s="227"/>
      <c r="O209" s="17"/>
      <c r="P209" s="17"/>
      <c r="Q209" s="17"/>
      <c r="R209" s="17"/>
      <c r="S209" s="17"/>
      <c r="T209" s="17"/>
      <c r="U209" s="18"/>
      <c r="V209" s="18"/>
      <c r="W209" s="18"/>
      <c r="X209" s="18"/>
      <c r="Y209" s="18"/>
      <c r="Z209" s="18"/>
      <c r="AA209" s="18"/>
      <c r="AB209" s="18"/>
      <c r="AC209" s="18"/>
      <c r="AD209" s="18"/>
      <c r="AE209" s="18" t="str">
        <f t="shared" si="85"/>
        <v>Gross Margin</v>
      </c>
      <c r="AF209" s="85">
        <f t="shared" si="86"/>
        <v>4.1000000000011028E-3</v>
      </c>
      <c r="AG209" s="85">
        <f t="shared" si="87"/>
        <v>-1.90000000000623E-3</v>
      </c>
      <c r="AH209" s="85">
        <f t="shared" si="88"/>
        <v>1.799999999995805E-3</v>
      </c>
      <c r="AI209" s="85">
        <f t="shared" si="89"/>
        <v>4.5999999999963848E-3</v>
      </c>
      <c r="AJ209" s="85">
        <f t="shared" si="90"/>
        <v>-3.5000000000025011E-3</v>
      </c>
      <c r="AK209" s="85">
        <f t="shared" si="91"/>
        <v>4.1000000000011028E-3</v>
      </c>
      <c r="AL209" s="85">
        <f t="shared" si="92"/>
        <v>-3.1000000000034333E-3</v>
      </c>
      <c r="AM209" s="85">
        <f t="shared" si="93"/>
        <v>-2.8000000000005798E-3</v>
      </c>
      <c r="AN209" s="18"/>
      <c r="AO209" s="18"/>
      <c r="AP209" s="77" t="s">
        <v>471</v>
      </c>
      <c r="AQ209" s="136">
        <f>_xll.BDH($B$10,"GROSS_MARGIN","-10FY","","Per=fy","Days=W","Fill=E","Curr=","DtFmt=P","Sort=D","Dts=H","Dir=H","FILING_STATUS,EQY_CONSOLIDATED","MR,","cols=11;rows=1")</f>
        <v>48.765900000000002</v>
      </c>
      <c r="AR209" s="136">
        <v>49.301900000000003</v>
      </c>
      <c r="AS209" s="136">
        <v>47.938200000000002</v>
      </c>
      <c r="AT209" s="136">
        <v>50.6554</v>
      </c>
      <c r="AU209" s="136">
        <v>49.973500000000001</v>
      </c>
      <c r="AV209" s="136">
        <v>49.4559</v>
      </c>
      <c r="AW209" s="136">
        <v>43.613100000000003</v>
      </c>
      <c r="AX209" s="136">
        <v>43.7928</v>
      </c>
      <c r="AY209" s="136">
        <v>42.651699999999998</v>
      </c>
      <c r="AZ209" s="136">
        <v>43.145099999999999</v>
      </c>
      <c r="BA209" s="137">
        <v>42.134700000000002</v>
      </c>
      <c r="BB209" s="77"/>
      <c r="BC209" s="18"/>
      <c r="BD209" s="18"/>
      <c r="BE209" s="18"/>
      <c r="BF209" s="18"/>
      <c r="BG209" s="18"/>
      <c r="BH209" s="18"/>
      <c r="BI209" s="18"/>
      <c r="BJ209" s="18"/>
      <c r="BK209" s="18"/>
      <c r="BL209" s="18"/>
      <c r="BM209" s="18"/>
      <c r="BN209" s="18"/>
      <c r="BO209" s="18"/>
      <c r="BP209" s="18"/>
      <c r="BQ209" s="37"/>
      <c r="BR209" s="38"/>
      <c r="BS209" s="17"/>
      <c r="BT209" s="37"/>
      <c r="BU209" s="38"/>
      <c r="BV209" s="18"/>
      <c r="BW209" s="37"/>
      <c r="BX209" s="38"/>
      <c r="BY209" s="18"/>
      <c r="BZ209" s="39" t="str">
        <f t="shared" si="80"/>
        <v>-</v>
      </c>
      <c r="CA209" s="40" t="str">
        <f t="shared" si="81"/>
        <v>-</v>
      </c>
      <c r="CB209" s="17"/>
      <c r="CC209" s="39" t="str">
        <f t="shared" si="82"/>
        <v>-</v>
      </c>
      <c r="CD209" s="40" t="str">
        <f t="shared" si="83"/>
        <v>-</v>
      </c>
      <c r="CE209" s="18"/>
      <c r="CF209" s="18"/>
      <c r="CG209" s="18"/>
      <c r="CH209" s="18"/>
      <c r="CI209" s="18"/>
      <c r="CJ209" s="18"/>
      <c r="CK209" s="18"/>
      <c r="CL209" s="18"/>
      <c r="CM209" s="18"/>
      <c r="CN209" s="18"/>
      <c r="CO209" s="18"/>
      <c r="CP209" s="18"/>
      <c r="CQ209" s="18"/>
      <c r="CR209" s="18"/>
      <c r="CS209" s="18"/>
      <c r="CT209" s="18"/>
      <c r="CU209" s="18"/>
      <c r="CV209" s="18"/>
      <c r="CW209" s="18"/>
      <c r="CX209" s="18"/>
      <c r="CY209" s="37"/>
      <c r="CZ209" s="38"/>
      <c r="DA209" s="18"/>
      <c r="DB209" s="37"/>
      <c r="DC209" s="38"/>
      <c r="DD209" s="18"/>
      <c r="DE209" s="37"/>
      <c r="DF209" s="38"/>
      <c r="DG209" s="18"/>
      <c r="DH209" s="37"/>
      <c r="DI209" s="38"/>
      <c r="DJ209" s="18"/>
      <c r="DK209" s="37"/>
      <c r="DL209" s="38"/>
      <c r="DM209" s="18"/>
      <c r="DN209" s="18"/>
      <c r="DO209" s="18"/>
      <c r="DP209" s="18"/>
      <c r="DQ209" s="18"/>
      <c r="DR209" s="18"/>
      <c r="DS209" s="18"/>
      <c r="DT209" s="18"/>
      <c r="DU209" s="18"/>
      <c r="DV209" s="18"/>
      <c r="DW209" s="18"/>
      <c r="DX209" s="18"/>
      <c r="DY209" s="18"/>
      <c r="DZ209" s="18"/>
    </row>
    <row r="210" spans="1:130" ht="15" customHeight="1" x14ac:dyDescent="0.3">
      <c r="A210" s="30" t="s">
        <v>326</v>
      </c>
      <c r="B210" s="112" t="s">
        <v>325</v>
      </c>
      <c r="C210" s="131">
        <v>16.11</v>
      </c>
      <c r="D210" s="131">
        <v>15.3</v>
      </c>
      <c r="E210" s="131">
        <v>14.5</v>
      </c>
      <c r="F210" s="131">
        <v>20.329999999999998</v>
      </c>
      <c r="G210" s="131">
        <v>14.02</v>
      </c>
      <c r="H210" s="131">
        <v>25.29</v>
      </c>
      <c r="I210" s="131">
        <v>14.65</v>
      </c>
      <c r="J210" s="131">
        <v>14.78</v>
      </c>
      <c r="K210" s="131">
        <v>13.86</v>
      </c>
      <c r="L210" s="131">
        <v>26.82</v>
      </c>
      <c r="M210" s="132">
        <v>-22.3</v>
      </c>
      <c r="N210" s="227"/>
      <c r="O210" s="17"/>
      <c r="P210" s="17"/>
      <c r="Q210" s="17"/>
      <c r="R210" s="17"/>
      <c r="S210" s="17"/>
      <c r="T210" s="17"/>
      <c r="U210" s="18"/>
      <c r="V210" s="18"/>
      <c r="W210" s="18"/>
      <c r="X210" s="18"/>
      <c r="Y210" s="18"/>
      <c r="Z210" s="18"/>
      <c r="AA210" s="18"/>
      <c r="AB210" s="18"/>
      <c r="AC210" s="18"/>
      <c r="AD210" s="18"/>
      <c r="AE210" s="18" t="str">
        <f t="shared" si="85"/>
        <v>Ebitda Margin</v>
      </c>
      <c r="AF210" s="85">
        <f t="shared" si="86"/>
        <v>2.6000000000010459E-3</v>
      </c>
      <c r="AG210" s="85">
        <f t="shared" si="87"/>
        <v>-1.8999999999991246E-3</v>
      </c>
      <c r="AH210" s="85">
        <f t="shared" si="88"/>
        <v>1.200000000000756E-3</v>
      </c>
      <c r="AI210" s="85">
        <f t="shared" si="89"/>
        <v>4.7999999999994714E-3</v>
      </c>
      <c r="AJ210" s="85">
        <f t="shared" si="90"/>
        <v>2.4999999999995026E-3</v>
      </c>
      <c r="AK210" s="85">
        <f t="shared" si="91"/>
        <v>4.8999999999992383E-3</v>
      </c>
      <c r="AL210" s="85">
        <f t="shared" si="92"/>
        <v>-4.9999999999990052E-3</v>
      </c>
      <c r="AM210" s="85">
        <f t="shared" si="93"/>
        <v>4.3999999999986272E-3</v>
      </c>
      <c r="AN210" s="18"/>
      <c r="AO210" s="18"/>
      <c r="AP210" s="77" t="s">
        <v>325</v>
      </c>
      <c r="AQ210" s="136">
        <f>_xll.BDH($B$10,"EBITDA_TO_REVENUE","-10FY","","Per=fy","Days=W","Fill=E","Curr=","DtFmt=P","Sort=D","Dts=H","Dir=H","FILING_STATUS,EQY_CONSOLIDATED","MR,","cols=11;rows=1")</f>
        <v>16.107399999999998</v>
      </c>
      <c r="AR210" s="136">
        <v>15.3019</v>
      </c>
      <c r="AS210" s="136">
        <v>14.498799999999999</v>
      </c>
      <c r="AT210" s="136">
        <v>20.325199999999999</v>
      </c>
      <c r="AU210" s="136">
        <v>14.0175</v>
      </c>
      <c r="AV210" s="136">
        <v>25.2851</v>
      </c>
      <c r="AW210" s="136">
        <v>14.654999999999999</v>
      </c>
      <c r="AX210" s="136">
        <v>14.775600000000001</v>
      </c>
      <c r="AY210" s="136">
        <v>13.8565</v>
      </c>
      <c r="AZ210" s="136">
        <v>26.8169</v>
      </c>
      <c r="BA210" s="137">
        <v>-22.3048</v>
      </c>
      <c r="BB210" s="77"/>
      <c r="BC210" s="18"/>
      <c r="BD210" s="18"/>
      <c r="BE210" s="18"/>
      <c r="BF210" s="18"/>
      <c r="BG210" s="18"/>
      <c r="BH210" s="18"/>
      <c r="BI210" s="18"/>
      <c r="BJ210" s="18"/>
      <c r="BK210" s="18"/>
      <c r="BL210" s="18"/>
      <c r="BM210" s="18"/>
      <c r="BN210" s="18"/>
      <c r="BO210" s="18"/>
      <c r="BP210" s="18"/>
      <c r="BQ210" s="37"/>
      <c r="BR210" s="38"/>
      <c r="BS210" s="17"/>
      <c r="BT210" s="37"/>
      <c r="BU210" s="38"/>
      <c r="BV210" s="18"/>
      <c r="BW210" s="37"/>
      <c r="BX210" s="38"/>
      <c r="BY210" s="18"/>
      <c r="BZ210" s="39" t="str">
        <f t="shared" si="80"/>
        <v>-</v>
      </c>
      <c r="CA210" s="40" t="str">
        <f t="shared" si="81"/>
        <v>-</v>
      </c>
      <c r="CB210" s="17"/>
      <c r="CC210" s="39" t="str">
        <f t="shared" si="82"/>
        <v>-</v>
      </c>
      <c r="CD210" s="40" t="str">
        <f t="shared" si="83"/>
        <v>-</v>
      </c>
      <c r="CE210" s="18"/>
      <c r="CF210" s="18"/>
      <c r="CG210" s="18"/>
      <c r="CH210" s="18"/>
      <c r="CI210" s="18"/>
      <c r="CJ210" s="18"/>
      <c r="CK210" s="18"/>
      <c r="CL210" s="18"/>
      <c r="CM210" s="18"/>
      <c r="CN210" s="18"/>
      <c r="CO210" s="18"/>
      <c r="CP210" s="18"/>
      <c r="CQ210" s="18"/>
      <c r="CR210" s="18"/>
      <c r="CS210" s="18"/>
      <c r="CT210" s="18"/>
      <c r="CU210" s="18"/>
      <c r="CV210" s="18"/>
      <c r="CW210" s="18"/>
      <c r="CX210" s="18"/>
      <c r="CY210" s="37"/>
      <c r="CZ210" s="38"/>
      <c r="DA210" s="18"/>
      <c r="DB210" s="37"/>
      <c r="DC210" s="38"/>
      <c r="DD210" s="18"/>
      <c r="DE210" s="37"/>
      <c r="DF210" s="38"/>
      <c r="DG210" s="18"/>
      <c r="DH210" s="37"/>
      <c r="DI210" s="38"/>
      <c r="DJ210" s="18"/>
      <c r="DK210" s="37"/>
      <c r="DL210" s="38"/>
      <c r="DM210" s="18"/>
      <c r="DN210" s="18"/>
      <c r="DO210" s="18"/>
      <c r="DP210" s="18"/>
      <c r="DQ210" s="18"/>
      <c r="DR210" s="18"/>
      <c r="DS210" s="18"/>
      <c r="DT210" s="18"/>
      <c r="DU210" s="18"/>
      <c r="DV210" s="18"/>
      <c r="DW210" s="18"/>
      <c r="DX210" s="18"/>
      <c r="DY210" s="18"/>
      <c r="DZ210" s="18"/>
    </row>
    <row r="211" spans="1:130" ht="15" customHeight="1" x14ac:dyDescent="0.3">
      <c r="A211" s="30" t="s">
        <v>327</v>
      </c>
      <c r="B211" s="112" t="s">
        <v>201</v>
      </c>
      <c r="C211" s="131">
        <v>10.55</v>
      </c>
      <c r="D211" s="131">
        <v>9.7899999999999991</v>
      </c>
      <c r="E211" s="131">
        <v>8.32</v>
      </c>
      <c r="F211" s="131">
        <v>16.86</v>
      </c>
      <c r="G211" s="131">
        <v>9.3699999999999992</v>
      </c>
      <c r="H211" s="131">
        <v>18.489999999999998</v>
      </c>
      <c r="I211" s="131">
        <v>10.97</v>
      </c>
      <c r="J211" s="131">
        <v>11.06</v>
      </c>
      <c r="K211" s="131">
        <v>10.24</v>
      </c>
      <c r="L211" s="131">
        <v>22.84</v>
      </c>
      <c r="M211" s="132">
        <v>-27.65</v>
      </c>
      <c r="N211" s="227"/>
      <c r="O211" s="17"/>
      <c r="P211" s="17"/>
      <c r="Q211" s="17"/>
      <c r="R211" s="17"/>
      <c r="S211" s="17"/>
      <c r="T211" s="17"/>
      <c r="U211" s="18"/>
      <c r="V211" s="18"/>
      <c r="W211" s="18"/>
      <c r="X211" s="18"/>
      <c r="Y211" s="18"/>
      <c r="Z211" s="18"/>
      <c r="AA211" s="18"/>
      <c r="AB211" s="18"/>
      <c r="AC211" s="18"/>
      <c r="AD211" s="18"/>
      <c r="AE211" s="18" t="str">
        <f t="shared" si="85"/>
        <v>Operating Margin</v>
      </c>
      <c r="AF211" s="85">
        <f t="shared" si="86"/>
        <v>2.8000000000005798E-3</v>
      </c>
      <c r="AG211" s="85">
        <f t="shared" si="87"/>
        <v>-2.500000000001279E-3</v>
      </c>
      <c r="AH211" s="85">
        <f t="shared" si="88"/>
        <v>3.8999999999997925E-3</v>
      </c>
      <c r="AI211" s="85">
        <f t="shared" si="89"/>
        <v>-3.9999999999906777E-4</v>
      </c>
      <c r="AJ211" s="85">
        <f t="shared" si="90"/>
        <v>-3.9000000000015689E-3</v>
      </c>
      <c r="AK211" s="85">
        <f t="shared" si="91"/>
        <v>8.9999999999790248E-4</v>
      </c>
      <c r="AL211" s="85">
        <f t="shared" si="92"/>
        <v>-4.6999999999997044E-3</v>
      </c>
      <c r="AM211" s="85">
        <f t="shared" si="93"/>
        <v>1.300000000000523E-3</v>
      </c>
      <c r="AN211" s="18"/>
      <c r="AO211" s="18"/>
      <c r="AP211" s="77" t="s">
        <v>201</v>
      </c>
      <c r="AQ211" s="136">
        <f>_xll.BDH($B$10,"OPER_MARGIN","-10FY","","Per=fy","Days=W","Fill=E","Curr=","DtFmt=P","Sort=D","Dts=H","Dir=H","FILING_STATUS,EQY_CONSOLIDATED","MR,","cols=11;rows=1")</f>
        <v>10.5472</v>
      </c>
      <c r="AR211" s="136">
        <v>9.7925000000000004</v>
      </c>
      <c r="AS211" s="136">
        <v>8.3161000000000005</v>
      </c>
      <c r="AT211" s="136">
        <v>16.860399999999998</v>
      </c>
      <c r="AU211" s="136">
        <v>9.3739000000000008</v>
      </c>
      <c r="AV211" s="136">
        <v>18.489100000000001</v>
      </c>
      <c r="AW211" s="136">
        <v>10.9747</v>
      </c>
      <c r="AX211" s="136">
        <v>11.0587</v>
      </c>
      <c r="AY211" s="136">
        <v>10.234999999999999</v>
      </c>
      <c r="AZ211" s="136">
        <v>22.8398</v>
      </c>
      <c r="BA211" s="137">
        <v>-27.651499999999999</v>
      </c>
      <c r="BB211" s="77"/>
      <c r="BC211" s="18"/>
      <c r="BD211" s="18"/>
      <c r="BE211" s="18"/>
      <c r="BF211" s="18"/>
      <c r="BG211" s="18"/>
      <c r="BH211" s="18"/>
      <c r="BI211" s="18"/>
      <c r="BJ211" s="18"/>
      <c r="BK211" s="18"/>
      <c r="BL211" s="18"/>
      <c r="BM211" s="18"/>
      <c r="BN211" s="18"/>
      <c r="BO211" s="18"/>
      <c r="BP211" s="18"/>
      <c r="BQ211" s="37"/>
      <c r="BR211" s="38"/>
      <c r="BS211" s="17"/>
      <c r="BT211" s="37"/>
      <c r="BU211" s="38"/>
      <c r="BV211" s="18"/>
      <c r="BW211" s="37"/>
      <c r="BX211" s="38"/>
      <c r="BY211" s="18"/>
      <c r="BZ211" s="39" t="str">
        <f t="shared" si="80"/>
        <v>-</v>
      </c>
      <c r="CA211" s="40" t="str">
        <f t="shared" si="81"/>
        <v>-</v>
      </c>
      <c r="CB211" s="17"/>
      <c r="CC211" s="39" t="str">
        <f t="shared" si="82"/>
        <v>-</v>
      </c>
      <c r="CD211" s="40" t="str">
        <f t="shared" si="83"/>
        <v>-</v>
      </c>
      <c r="CE211" s="18"/>
      <c r="CF211" s="18"/>
      <c r="CG211" s="18"/>
      <c r="CH211" s="18"/>
      <c r="CI211" s="18"/>
      <c r="CJ211" s="18"/>
      <c r="CK211" s="18"/>
      <c r="CL211" s="18"/>
      <c r="CM211" s="18"/>
      <c r="CN211" s="18"/>
      <c r="CO211" s="18"/>
      <c r="CP211" s="18"/>
      <c r="CQ211" s="18"/>
      <c r="CR211" s="18"/>
      <c r="CS211" s="18"/>
      <c r="CT211" s="18"/>
      <c r="CU211" s="18"/>
      <c r="CV211" s="18"/>
      <c r="CW211" s="18"/>
      <c r="CX211" s="18"/>
      <c r="CY211" s="37"/>
      <c r="CZ211" s="38"/>
      <c r="DA211" s="18"/>
      <c r="DB211" s="37"/>
      <c r="DC211" s="38"/>
      <c r="DD211" s="18"/>
      <c r="DE211" s="37"/>
      <c r="DF211" s="38"/>
      <c r="DG211" s="18"/>
      <c r="DH211" s="37"/>
      <c r="DI211" s="38"/>
      <c r="DJ211" s="18"/>
      <c r="DK211" s="37"/>
      <c r="DL211" s="38"/>
      <c r="DM211" s="18"/>
      <c r="DN211" s="18"/>
      <c r="DO211" s="18"/>
      <c r="DP211" s="18"/>
      <c r="DQ211" s="18"/>
      <c r="DR211" s="18"/>
      <c r="DS211" s="18"/>
      <c r="DT211" s="18"/>
      <c r="DU211" s="18"/>
      <c r="DV211" s="18"/>
      <c r="DW211" s="18"/>
      <c r="DX211" s="18"/>
      <c r="DY211" s="18"/>
      <c r="DZ211" s="18"/>
    </row>
    <row r="212" spans="1:130" ht="15" customHeight="1" x14ac:dyDescent="0.3">
      <c r="A212" s="30" t="s">
        <v>163</v>
      </c>
      <c r="B212" s="112" t="s">
        <v>40</v>
      </c>
      <c r="C212" s="131">
        <v>31.55</v>
      </c>
      <c r="D212" s="131">
        <v>35.369999999999997</v>
      </c>
      <c r="E212" s="131">
        <v>39.86</v>
      </c>
      <c r="F212" s="131">
        <v>26.18</v>
      </c>
      <c r="G212" s="131">
        <v>40.4</v>
      </c>
      <c r="H212" s="131">
        <v>27.07</v>
      </c>
      <c r="I212" s="131">
        <v>44.37</v>
      </c>
      <c r="J212" s="131">
        <v>27.73</v>
      </c>
      <c r="K212" s="131">
        <v>27.65</v>
      </c>
      <c r="L212" s="131">
        <v>11.25</v>
      </c>
      <c r="M212" s="132" t="s">
        <v>615</v>
      </c>
      <c r="N212" s="227"/>
      <c r="O212" s="17"/>
      <c r="P212" s="17"/>
      <c r="Q212" s="17"/>
      <c r="R212" s="17"/>
      <c r="S212" s="17"/>
      <c r="T212" s="17"/>
      <c r="U212" s="18"/>
      <c r="V212" s="18"/>
      <c r="W212" s="18"/>
      <c r="X212" s="18"/>
      <c r="Y212" s="18"/>
      <c r="Z212" s="18"/>
      <c r="AA212" s="18"/>
      <c r="AB212" s="18"/>
      <c r="AC212" s="18"/>
      <c r="AD212" s="18"/>
      <c r="AE212" s="18" t="str">
        <f t="shared" si="85"/>
        <v>Tax Notes : Tax Rate as published</v>
      </c>
      <c r="AF212" s="85">
        <f t="shared" si="86"/>
        <v>-1.5000000000000568E-3</v>
      </c>
      <c r="AG212" s="85">
        <f t="shared" si="87"/>
        <v>-4.1000000000011028E-3</v>
      </c>
      <c r="AH212" s="85">
        <f t="shared" si="88"/>
        <v>-3.0000000000001137E-3</v>
      </c>
      <c r="AI212" s="85">
        <f t="shared" si="89"/>
        <v>-4.1000000000011028E-3</v>
      </c>
      <c r="AJ212" s="85">
        <f t="shared" si="90"/>
        <v>-2.8000000000005798E-3</v>
      </c>
      <c r="AK212" s="85">
        <f t="shared" si="91"/>
        <v>1.0000000000012221E-3</v>
      </c>
      <c r="AL212" s="85">
        <f t="shared" si="92"/>
        <v>-3.700000000002035E-3</v>
      </c>
      <c r="AM212" s="85">
        <f t="shared" si="93"/>
        <v>-3.2999999999994145E-3</v>
      </c>
      <c r="AN212" s="18"/>
      <c r="AO212" s="18"/>
      <c r="AP212" s="77" t="s">
        <v>472</v>
      </c>
      <c r="AQ212" s="136">
        <f>_xll.BDH($B$10,"EFF_TAX_RATE","-10FY","","Per=fy","Days=W","Fill=E","Curr=","DtFmt=P","Sort=D","Dts=H","Dir=H","FILING_STATUS,EQY_CONSOLIDATED","MR,","cols=11;rows=1")</f>
        <v>31.551500000000001</v>
      </c>
      <c r="AR212" s="136">
        <v>35.374099999999999</v>
      </c>
      <c r="AS212" s="136">
        <v>39.863</v>
      </c>
      <c r="AT212" s="136">
        <v>26.184100000000001</v>
      </c>
      <c r="AU212" s="136">
        <v>40.402799999999999</v>
      </c>
      <c r="AV212" s="136">
        <v>27.068999999999999</v>
      </c>
      <c r="AW212" s="136">
        <v>44.373699999999999</v>
      </c>
      <c r="AX212" s="136">
        <v>27.7333</v>
      </c>
      <c r="AY212" s="136">
        <v>27.6493</v>
      </c>
      <c r="AZ212" s="136">
        <v>11.2478</v>
      </c>
      <c r="BA212" s="137" t="s">
        <v>1811</v>
      </c>
      <c r="BB212" s="77"/>
      <c r="BC212" s="18"/>
      <c r="BD212" s="18"/>
      <c r="BE212" s="18"/>
      <c r="BF212" s="18"/>
      <c r="BG212" s="18"/>
      <c r="BH212" s="18"/>
      <c r="BI212" s="18"/>
      <c r="BJ212" s="18"/>
      <c r="BK212" s="18"/>
      <c r="BL212" s="18"/>
      <c r="BM212" s="18"/>
      <c r="BN212" s="18"/>
      <c r="BO212" s="18"/>
      <c r="BP212" s="18"/>
      <c r="BQ212" s="37"/>
      <c r="BR212" s="38"/>
      <c r="BS212" s="17"/>
      <c r="BT212" s="37"/>
      <c r="BU212" s="38"/>
      <c r="BV212" s="18"/>
      <c r="BW212" s="37"/>
      <c r="BX212" s="38"/>
      <c r="BY212" s="18"/>
      <c r="BZ212" s="39" t="str">
        <f t="shared" si="80"/>
        <v>-</v>
      </c>
      <c r="CA212" s="40" t="str">
        <f t="shared" si="81"/>
        <v>-</v>
      </c>
      <c r="CB212" s="17"/>
      <c r="CC212" s="39" t="str">
        <f t="shared" si="82"/>
        <v>-</v>
      </c>
      <c r="CD212" s="40" t="str">
        <f t="shared" si="83"/>
        <v>-</v>
      </c>
      <c r="CE212" s="18"/>
      <c r="CF212" s="18"/>
      <c r="CG212" s="18"/>
      <c r="CH212" s="18"/>
      <c r="CI212" s="18"/>
      <c r="CJ212" s="18"/>
      <c r="CK212" s="18"/>
      <c r="CL212" s="18"/>
      <c r="CM212" s="18"/>
      <c r="CN212" s="18"/>
      <c r="CO212" s="18"/>
      <c r="CP212" s="18"/>
      <c r="CQ212" s="18"/>
      <c r="CR212" s="18"/>
      <c r="CS212" s="18"/>
      <c r="CT212" s="18"/>
      <c r="CU212" s="18"/>
      <c r="CV212" s="18"/>
      <c r="CW212" s="18"/>
      <c r="CX212" s="18"/>
      <c r="CY212" s="37"/>
      <c r="CZ212" s="38"/>
      <c r="DA212" s="18"/>
      <c r="DB212" s="37"/>
      <c r="DC212" s="38"/>
      <c r="DD212" s="18"/>
      <c r="DE212" s="37"/>
      <c r="DF212" s="38"/>
      <c r="DG212" s="18"/>
      <c r="DH212" s="37"/>
      <c r="DI212" s="38"/>
      <c r="DJ212" s="18"/>
      <c r="DK212" s="37"/>
      <c r="DL212" s="38"/>
      <c r="DM212" s="18"/>
      <c r="DN212" s="18"/>
      <c r="DO212" s="18"/>
      <c r="DP212" s="18"/>
      <c r="DQ212" s="18"/>
      <c r="DR212" s="18"/>
      <c r="DS212" s="18"/>
      <c r="DT212" s="18"/>
      <c r="DU212" s="18"/>
      <c r="DV212" s="18"/>
      <c r="DW212" s="18"/>
      <c r="DX212" s="18"/>
      <c r="DY212" s="18"/>
      <c r="DZ212" s="18"/>
    </row>
    <row r="213" spans="1:130" ht="15" customHeight="1" x14ac:dyDescent="0.3">
      <c r="A213" s="30" t="s">
        <v>329</v>
      </c>
      <c r="B213" s="112" t="s">
        <v>328</v>
      </c>
      <c r="C213" s="131">
        <v>1.19</v>
      </c>
      <c r="D213" s="131">
        <v>0.99</v>
      </c>
      <c r="E213" s="131">
        <v>0.84</v>
      </c>
      <c r="F213" s="131">
        <v>1.87</v>
      </c>
      <c r="G213" s="131">
        <v>2.13</v>
      </c>
      <c r="H213" s="131">
        <v>3.8</v>
      </c>
      <c r="I213" s="131">
        <v>2.16</v>
      </c>
      <c r="J213" s="131">
        <v>2.33</v>
      </c>
      <c r="K213" s="131">
        <v>1.82</v>
      </c>
      <c r="L213" s="131">
        <v>1.35</v>
      </c>
      <c r="M213" s="132">
        <v>1.1200000000000001</v>
      </c>
      <c r="N213" s="227"/>
      <c r="O213" s="17"/>
      <c r="P213" s="17"/>
      <c r="Q213" s="17"/>
      <c r="R213" s="17"/>
      <c r="S213" s="17"/>
      <c r="T213" s="17"/>
      <c r="U213" s="18"/>
      <c r="V213" s="18"/>
      <c r="W213" s="18"/>
      <c r="X213" s="18"/>
      <c r="Y213" s="18"/>
      <c r="Z213" s="18"/>
      <c r="AA213" s="18"/>
      <c r="AB213" s="18"/>
      <c r="AC213" s="18"/>
      <c r="AD213" s="18"/>
      <c r="AE213" s="18" t="str">
        <f t="shared" si="85"/>
        <v>Capex/Depreciation</v>
      </c>
      <c r="AF213" s="85">
        <f t="shared" si="86"/>
        <v>2.6999999999999247E-3</v>
      </c>
      <c r="AG213" s="85">
        <f t="shared" si="87"/>
        <v>3.9000000000000146E-3</v>
      </c>
      <c r="AH213" s="85">
        <f t="shared" si="88"/>
        <v>4.2999999999999705E-3</v>
      </c>
      <c r="AI213" s="85">
        <f t="shared" si="89"/>
        <v>3.00000000000189E-4</v>
      </c>
      <c r="AJ213" s="85">
        <f t="shared" si="90"/>
        <v>3.9999999999995595E-4</v>
      </c>
      <c r="AK213" s="85">
        <f t="shared" si="91"/>
        <v>2.4999999999999467E-3</v>
      </c>
      <c r="AL213" s="85">
        <f t="shared" si="92"/>
        <v>-1.9999999999997797E-3</v>
      </c>
      <c r="AM213" s="85">
        <f t="shared" si="93"/>
        <v>3.0999999999998806E-3</v>
      </c>
      <c r="AN213" s="18"/>
      <c r="AO213" s="18"/>
      <c r="AP213" s="77" t="s">
        <v>328</v>
      </c>
      <c r="AQ213" s="136">
        <f>_xll.BDH($B$10,"CAPEX_TO_DEPR_EXPN_RATIO","-10FY","","Per=fy","Days=W","Fill=E","Curr=","DtFmt=P","Sort=D","Dts=H","Dir=H","FILING_STATUS,EQY_CONSOLIDATED","MR,","cols=11;rows=1")</f>
        <v>1.1873</v>
      </c>
      <c r="AR213" s="136">
        <v>0.98609999999999998</v>
      </c>
      <c r="AS213" s="136">
        <v>0.8357</v>
      </c>
      <c r="AT213" s="136">
        <v>1.8696999999999999</v>
      </c>
      <c r="AU213" s="136">
        <v>2.1295999999999999</v>
      </c>
      <c r="AV213" s="136">
        <v>3.7974999999999999</v>
      </c>
      <c r="AW213" s="136">
        <v>2.1619999999999999</v>
      </c>
      <c r="AX213" s="136">
        <v>2.3269000000000002</v>
      </c>
      <c r="AY213" s="136">
        <v>1.8184</v>
      </c>
      <c r="AZ213" s="136">
        <v>1.3541000000000001</v>
      </c>
      <c r="BA213" s="137">
        <v>1.117</v>
      </c>
      <c r="BB213" s="77"/>
      <c r="BC213" s="18"/>
      <c r="BD213" s="18"/>
      <c r="BE213" s="18"/>
      <c r="BF213" s="18"/>
      <c r="BG213" s="18"/>
      <c r="BH213" s="18"/>
      <c r="BI213" s="18"/>
      <c r="BJ213" s="18"/>
      <c r="BK213" s="18"/>
      <c r="BL213" s="18"/>
      <c r="BM213" s="18"/>
      <c r="BN213" s="18"/>
      <c r="BO213" s="18"/>
      <c r="BP213" s="18"/>
      <c r="BQ213" s="37"/>
      <c r="BR213" s="38"/>
      <c r="BS213" s="17"/>
      <c r="BT213" s="37"/>
      <c r="BU213" s="38"/>
      <c r="BV213" s="18"/>
      <c r="BW213" s="37"/>
      <c r="BX213" s="38"/>
      <c r="BY213" s="18"/>
      <c r="BZ213" s="39" t="str">
        <f t="shared" si="80"/>
        <v>-</v>
      </c>
      <c r="CA213" s="40" t="str">
        <f t="shared" si="81"/>
        <v>-</v>
      </c>
      <c r="CB213" s="17"/>
      <c r="CC213" s="39" t="str">
        <f t="shared" si="82"/>
        <v>-</v>
      </c>
      <c r="CD213" s="40" t="str">
        <f t="shared" si="83"/>
        <v>-</v>
      </c>
      <c r="CE213" s="18"/>
      <c r="CF213" s="18"/>
      <c r="CG213" s="18"/>
      <c r="CH213" s="18"/>
      <c r="CI213" s="18"/>
      <c r="CJ213" s="18"/>
      <c r="CK213" s="18"/>
      <c r="CL213" s="18"/>
      <c r="CM213" s="18"/>
      <c r="CN213" s="18"/>
      <c r="CO213" s="18"/>
      <c r="CP213" s="18"/>
      <c r="CQ213" s="18"/>
      <c r="CR213" s="18"/>
      <c r="CS213" s="18"/>
      <c r="CT213" s="18"/>
      <c r="CU213" s="18"/>
      <c r="CV213" s="18"/>
      <c r="CW213" s="18"/>
      <c r="CX213" s="18"/>
      <c r="CY213" s="37"/>
      <c r="CZ213" s="38"/>
      <c r="DA213" s="18"/>
      <c r="DB213" s="37"/>
      <c r="DC213" s="38"/>
      <c r="DD213" s="18"/>
      <c r="DE213" s="37"/>
      <c r="DF213" s="38"/>
      <c r="DG213" s="18"/>
      <c r="DH213" s="37"/>
      <c r="DI213" s="38"/>
      <c r="DJ213" s="18"/>
      <c r="DK213" s="37"/>
      <c r="DL213" s="38"/>
      <c r="DM213" s="18"/>
      <c r="DN213" s="18"/>
      <c r="DO213" s="18"/>
      <c r="DP213" s="18"/>
      <c r="DQ213" s="18"/>
      <c r="DR213" s="18"/>
      <c r="DS213" s="18"/>
      <c r="DT213" s="18"/>
      <c r="DU213" s="18"/>
      <c r="DV213" s="18"/>
      <c r="DW213" s="18"/>
      <c r="DX213" s="18"/>
      <c r="DY213" s="18"/>
      <c r="DZ213" s="18"/>
    </row>
    <row r="214" spans="1:130" ht="15" customHeight="1" x14ac:dyDescent="0.3">
      <c r="A214" s="30" t="s">
        <v>331</v>
      </c>
      <c r="B214" s="112" t="s">
        <v>330</v>
      </c>
      <c r="C214" s="131" t="s">
        <v>615</v>
      </c>
      <c r="D214" s="131">
        <v>0.02</v>
      </c>
      <c r="E214" s="131">
        <v>0.03</v>
      </c>
      <c r="F214" s="131">
        <v>0.03</v>
      </c>
      <c r="G214" s="131">
        <v>0.04</v>
      </c>
      <c r="H214" s="131">
        <v>0.03</v>
      </c>
      <c r="I214" s="131">
        <v>0.01</v>
      </c>
      <c r="J214" s="131" t="s">
        <v>615</v>
      </c>
      <c r="K214" s="131" t="s">
        <v>615</v>
      </c>
      <c r="L214" s="131">
        <v>0.01</v>
      </c>
      <c r="M214" s="132">
        <v>-0.01</v>
      </c>
      <c r="N214" s="227"/>
      <c r="O214" s="17"/>
      <c r="P214" s="17"/>
      <c r="Q214" s="17"/>
      <c r="R214" s="17"/>
      <c r="S214" s="17"/>
      <c r="T214" s="17"/>
      <c r="U214" s="18"/>
      <c r="V214" s="18"/>
      <c r="W214" s="18"/>
      <c r="X214" s="18"/>
      <c r="Y214" s="18"/>
      <c r="Z214" s="18"/>
      <c r="AA214" s="18"/>
      <c r="AB214" s="18"/>
      <c r="AC214" s="18"/>
      <c r="AD214" s="18"/>
      <c r="AE214" s="18" t="str">
        <f t="shared" si="85"/>
        <v>Working Capital/Sales</v>
      </c>
      <c r="AF214" s="85" t="e">
        <f t="shared" si="86"/>
        <v>#VALUE!</v>
      </c>
      <c r="AG214" s="85">
        <f t="shared" si="87"/>
        <v>-3.6999999999999984E-3</v>
      </c>
      <c r="AH214" s="85">
        <f t="shared" si="88"/>
        <v>-3.5000000000000031E-3</v>
      </c>
      <c r="AI214" s="85">
        <f t="shared" si="89"/>
        <v>5.9999999999999984E-4</v>
      </c>
      <c r="AJ214" s="85">
        <f t="shared" si="90"/>
        <v>3.599999999999999E-3</v>
      </c>
      <c r="AK214" s="85">
        <f t="shared" si="91"/>
        <v>3.199999999999998E-3</v>
      </c>
      <c r="AL214" s="85">
        <f t="shared" si="92"/>
        <v>9.9999999999999395E-5</v>
      </c>
      <c r="AM214" s="85" t="e">
        <f t="shared" si="93"/>
        <v>#VALUE!</v>
      </c>
      <c r="AN214" s="18"/>
      <c r="AO214" s="18"/>
      <c r="AP214" s="77" t="s">
        <v>330</v>
      </c>
      <c r="AQ214" s="136">
        <f>_xll.BDH($B$10,"WORKING_CAPITAL_TO_SALES","-10FY","","Per=fy","Days=W","Fill=E","Curr=","DtFmt=P","Sort=D","Dts=H","Dir=H","FILING_STATUS,EQY_CONSOLIDATED","MR,","cols=11;rows=1")</f>
        <v>3.0000000000000001E-3</v>
      </c>
      <c r="AR214" s="136">
        <v>2.3699999999999999E-2</v>
      </c>
      <c r="AS214" s="136">
        <v>3.3500000000000002E-2</v>
      </c>
      <c r="AT214" s="136">
        <v>2.9399999999999999E-2</v>
      </c>
      <c r="AU214" s="136">
        <v>3.6400000000000002E-2</v>
      </c>
      <c r="AV214" s="136">
        <v>2.6800000000000001E-2</v>
      </c>
      <c r="AW214" s="136">
        <v>9.9000000000000008E-3</v>
      </c>
      <c r="AX214" s="136">
        <v>-1E-3</v>
      </c>
      <c r="AY214" s="136">
        <v>-3.3999999999999998E-3</v>
      </c>
      <c r="AZ214" s="136">
        <v>6.7999999999999996E-3</v>
      </c>
      <c r="BA214" s="137">
        <v>-1.04E-2</v>
      </c>
      <c r="BB214" s="77"/>
      <c r="BC214" s="18"/>
      <c r="BD214" s="18"/>
      <c r="BE214" s="18"/>
      <c r="BF214" s="18"/>
      <c r="BG214" s="18"/>
      <c r="BH214" s="18"/>
      <c r="BI214" s="18"/>
      <c r="BJ214" s="18"/>
      <c r="BK214" s="18"/>
      <c r="BL214" s="18"/>
      <c r="BM214" s="18"/>
      <c r="BN214" s="18"/>
      <c r="BO214" s="18"/>
      <c r="BP214" s="18"/>
      <c r="BQ214" s="37"/>
      <c r="BR214" s="38"/>
      <c r="BS214" s="17"/>
      <c r="BT214" s="37"/>
      <c r="BU214" s="38"/>
      <c r="BV214" s="18"/>
      <c r="BW214" s="37"/>
      <c r="BX214" s="38"/>
      <c r="BY214" s="18"/>
      <c r="BZ214" s="39" t="str">
        <f t="shared" si="80"/>
        <v>-</v>
      </c>
      <c r="CA214" s="40" t="str">
        <f t="shared" si="81"/>
        <v>-</v>
      </c>
      <c r="CB214" s="17"/>
      <c r="CC214" s="39" t="str">
        <f t="shared" si="82"/>
        <v>-</v>
      </c>
      <c r="CD214" s="40" t="str">
        <f t="shared" si="83"/>
        <v>-</v>
      </c>
      <c r="CE214" s="18"/>
      <c r="CF214" s="18"/>
      <c r="CG214" s="18"/>
      <c r="CH214" s="18"/>
      <c r="CI214" s="18"/>
      <c r="CJ214" s="18"/>
      <c r="CK214" s="18"/>
      <c r="CL214" s="18"/>
      <c r="CM214" s="18"/>
      <c r="CN214" s="18"/>
      <c r="CO214" s="18"/>
      <c r="CP214" s="18"/>
      <c r="CQ214" s="18"/>
      <c r="CR214" s="18"/>
      <c r="CS214" s="18"/>
      <c r="CT214" s="18"/>
      <c r="CU214" s="18"/>
      <c r="CV214" s="18"/>
      <c r="CW214" s="18"/>
      <c r="CX214" s="18"/>
      <c r="CY214" s="37"/>
      <c r="CZ214" s="38"/>
      <c r="DA214" s="18"/>
      <c r="DB214" s="37"/>
      <c r="DC214" s="38"/>
      <c r="DD214" s="18"/>
      <c r="DE214" s="37"/>
      <c r="DF214" s="38"/>
      <c r="DG214" s="18"/>
      <c r="DH214" s="37"/>
      <c r="DI214" s="38"/>
      <c r="DJ214" s="18"/>
      <c r="DK214" s="37"/>
      <c r="DL214" s="38"/>
      <c r="DM214" s="18"/>
      <c r="DN214" s="18"/>
      <c r="DO214" s="18"/>
      <c r="DP214" s="18"/>
      <c r="DQ214" s="18"/>
      <c r="DR214" s="18"/>
      <c r="DS214" s="18"/>
      <c r="DT214" s="18"/>
      <c r="DU214" s="18"/>
      <c r="DV214" s="18"/>
      <c r="DW214" s="18"/>
      <c r="DX214" s="18"/>
      <c r="DY214" s="18"/>
      <c r="DZ214" s="18"/>
    </row>
    <row r="215" spans="1:130" ht="15" customHeight="1" x14ac:dyDescent="0.3">
      <c r="A215" s="30" t="s">
        <v>332</v>
      </c>
      <c r="B215" s="112" t="s">
        <v>64</v>
      </c>
      <c r="C215" s="131">
        <v>0.83</v>
      </c>
      <c r="D215" s="131">
        <v>0.82</v>
      </c>
      <c r="E215" s="131">
        <v>0.8</v>
      </c>
      <c r="F215" s="131">
        <v>1.03</v>
      </c>
      <c r="G215" s="131">
        <v>0.85</v>
      </c>
      <c r="H215" s="131">
        <v>0.65</v>
      </c>
      <c r="I215" s="131">
        <v>1.21</v>
      </c>
      <c r="J215" s="131">
        <v>1.1499999999999999</v>
      </c>
      <c r="K215" s="131">
        <v>1.26</v>
      </c>
      <c r="L215" s="131">
        <v>0.8</v>
      </c>
      <c r="M215" s="132">
        <v>0.53</v>
      </c>
      <c r="N215" s="227"/>
      <c r="O215" s="17"/>
      <c r="P215" s="17"/>
      <c r="Q215" s="17"/>
      <c r="R215" s="17"/>
      <c r="S215" s="17"/>
      <c r="T215" s="17"/>
      <c r="U215" s="18"/>
      <c r="V215" s="18"/>
      <c r="W215" s="18"/>
      <c r="X215" s="18"/>
      <c r="Y215" s="18"/>
      <c r="Z215" s="18"/>
      <c r="AA215" s="18"/>
      <c r="AB215" s="18"/>
      <c r="AC215" s="18"/>
      <c r="AD215" s="18"/>
      <c r="AE215" s="18" t="str">
        <f t="shared" si="85"/>
        <v>Asset Turnover</v>
      </c>
      <c r="AF215" s="85">
        <f t="shared" si="86"/>
        <v>-3.9000000000000146E-3</v>
      </c>
      <c r="AG215" s="85">
        <f t="shared" si="87"/>
        <v>-2.3000000000000798E-3</v>
      </c>
      <c r="AH215" s="85">
        <f t="shared" si="88"/>
        <v>4.2000000000000925E-3</v>
      </c>
      <c r="AI215" s="85">
        <f t="shared" si="89"/>
        <v>1.0000000000001119E-3</v>
      </c>
      <c r="AJ215" s="85">
        <f t="shared" si="90"/>
        <v>-1.5000000000000568E-3</v>
      </c>
      <c r="AK215" s="85">
        <f t="shared" si="91"/>
        <v>-4.9999999999994493E-4</v>
      </c>
      <c r="AL215" s="85">
        <f t="shared" si="92"/>
        <v>-2.9000000000001247E-3</v>
      </c>
      <c r="AM215" s="85">
        <f t="shared" si="93"/>
        <v>-4.9000000000001265E-3</v>
      </c>
      <c r="AN215" s="18"/>
      <c r="AO215" s="18"/>
      <c r="AP215" s="77" t="s">
        <v>64</v>
      </c>
      <c r="AQ215" s="136">
        <f>_xll.BDH($B$10,"ASSET_TURNOVER","-10FY","","Per=fy","Days=W","Fill=E","Curr=","DtFmt=P","Sort=D","Dts=H","Dir=H","FILING_STATUS,EQY_CONSOLIDATED","MR,","cols=11;rows=1")</f>
        <v>0.83389999999999997</v>
      </c>
      <c r="AR215" s="136">
        <v>0.82230000000000003</v>
      </c>
      <c r="AS215" s="136">
        <v>0.79579999999999995</v>
      </c>
      <c r="AT215" s="136">
        <v>1.0289999999999999</v>
      </c>
      <c r="AU215" s="136">
        <v>0.85150000000000003</v>
      </c>
      <c r="AV215" s="136">
        <v>0.65049999999999997</v>
      </c>
      <c r="AW215" s="136">
        <v>1.2129000000000001</v>
      </c>
      <c r="AX215" s="136">
        <v>1.1549</v>
      </c>
      <c r="AY215" s="136">
        <v>1.2581</v>
      </c>
      <c r="AZ215" s="136">
        <v>0.80500000000000005</v>
      </c>
      <c r="BA215" s="137">
        <v>0.53069999999999995</v>
      </c>
      <c r="BB215" s="77"/>
      <c r="BC215" s="18"/>
      <c r="BD215" s="18"/>
      <c r="BE215" s="18"/>
      <c r="BF215" s="18"/>
      <c r="BG215" s="18"/>
      <c r="BH215" s="18"/>
      <c r="BI215" s="18"/>
      <c r="BJ215" s="18"/>
      <c r="BK215" s="18"/>
      <c r="BL215" s="18"/>
      <c r="BM215" s="18"/>
      <c r="BN215" s="18"/>
      <c r="BO215" s="18"/>
      <c r="BP215" s="18"/>
      <c r="BQ215" s="37"/>
      <c r="BR215" s="38"/>
      <c r="BS215" s="17"/>
      <c r="BT215" s="37"/>
      <c r="BU215" s="38"/>
      <c r="BV215" s="18"/>
      <c r="BW215" s="37"/>
      <c r="BX215" s="38"/>
      <c r="BY215" s="18"/>
      <c r="BZ215" s="39" t="str">
        <f t="shared" si="80"/>
        <v>-</v>
      </c>
      <c r="CA215" s="40" t="str">
        <f t="shared" si="81"/>
        <v>-</v>
      </c>
      <c r="CB215" s="17"/>
      <c r="CC215" s="39" t="str">
        <f t="shared" si="82"/>
        <v>-</v>
      </c>
      <c r="CD215" s="40" t="str">
        <f t="shared" si="83"/>
        <v>-</v>
      </c>
      <c r="CE215" s="18"/>
      <c r="CF215" s="18"/>
      <c r="CG215" s="18"/>
      <c r="CH215" s="18"/>
      <c r="CI215" s="18"/>
      <c r="CJ215" s="18"/>
      <c r="CK215" s="18"/>
      <c r="CL215" s="18"/>
      <c r="CM215" s="18"/>
      <c r="CN215" s="18"/>
      <c r="CO215" s="18"/>
      <c r="CP215" s="18"/>
      <c r="CQ215" s="18"/>
      <c r="CR215" s="18"/>
      <c r="CS215" s="18"/>
      <c r="CT215" s="18"/>
      <c r="CU215" s="18"/>
      <c r="CV215" s="18"/>
      <c r="CW215" s="18"/>
      <c r="CX215" s="18"/>
      <c r="CY215" s="37"/>
      <c r="CZ215" s="38"/>
      <c r="DA215" s="18"/>
      <c r="DB215" s="37"/>
      <c r="DC215" s="38"/>
      <c r="DD215" s="18"/>
      <c r="DE215" s="37"/>
      <c r="DF215" s="38"/>
      <c r="DG215" s="18"/>
      <c r="DH215" s="37"/>
      <c r="DI215" s="38"/>
      <c r="DJ215" s="18"/>
      <c r="DK215" s="37"/>
      <c r="DL215" s="38"/>
      <c r="DM215" s="18"/>
      <c r="DN215" s="18"/>
      <c r="DO215" s="18"/>
      <c r="DP215" s="18"/>
      <c r="DQ215" s="18"/>
      <c r="DR215" s="18"/>
      <c r="DS215" s="18"/>
      <c r="DT215" s="18"/>
      <c r="DU215" s="18"/>
      <c r="DV215" s="18"/>
      <c r="DW215" s="18"/>
      <c r="DX215" s="18"/>
      <c r="DY215" s="18"/>
      <c r="DZ215" s="18"/>
    </row>
    <row r="216" spans="1:130" ht="15" customHeight="1" x14ac:dyDescent="0.3">
      <c r="A216" s="30" t="s">
        <v>334</v>
      </c>
      <c r="B216" s="112" t="s">
        <v>333</v>
      </c>
      <c r="C216" s="131">
        <v>99.21</v>
      </c>
      <c r="D216" s="131">
        <v>102.78</v>
      </c>
      <c r="E216" s="131">
        <v>121.62</v>
      </c>
      <c r="F216" s="131">
        <v>66.89</v>
      </c>
      <c r="G216" s="131">
        <v>59.3</v>
      </c>
      <c r="H216" s="131">
        <v>100.61</v>
      </c>
      <c r="I216" s="131">
        <v>57.82</v>
      </c>
      <c r="J216" s="131">
        <v>58.41</v>
      </c>
      <c r="K216" s="131">
        <v>54.91</v>
      </c>
      <c r="L216" s="131">
        <v>62.86</v>
      </c>
      <c r="M216" s="132" t="s">
        <v>615</v>
      </c>
      <c r="N216" s="227"/>
      <c r="O216" s="17"/>
      <c r="P216" s="17"/>
      <c r="Q216" s="17"/>
      <c r="R216" s="17"/>
      <c r="S216" s="17"/>
      <c r="T216" s="17"/>
      <c r="U216" s="18"/>
      <c r="V216" s="18"/>
      <c r="W216" s="18"/>
      <c r="X216" s="18"/>
      <c r="Y216" s="18"/>
      <c r="Z216" s="18"/>
      <c r="AA216" s="18"/>
      <c r="AB216" s="18"/>
      <c r="AC216" s="18"/>
      <c r="AD216" s="18"/>
      <c r="AE216" s="18" t="str">
        <f t="shared" si="85"/>
        <v>Debt/Equity</v>
      </c>
      <c r="AF216" s="85">
        <f t="shared" si="86"/>
        <v>-4.2000000000115278E-3</v>
      </c>
      <c r="AG216" s="85">
        <f t="shared" si="87"/>
        <v>3.5000000000025011E-3</v>
      </c>
      <c r="AH216" s="85">
        <f t="shared" si="88"/>
        <v>-4.6999999999997044E-3</v>
      </c>
      <c r="AI216" s="85">
        <f t="shared" si="89"/>
        <v>1.90000000000623E-3</v>
      </c>
      <c r="AJ216" s="85">
        <f t="shared" si="90"/>
        <v>8.9999999999434976E-4</v>
      </c>
      <c r="AK216" s="85">
        <f t="shared" si="91"/>
        <v>6.9999999999481588E-4</v>
      </c>
      <c r="AL216" s="85">
        <f t="shared" si="92"/>
        <v>-1.5000000000000568E-3</v>
      </c>
      <c r="AM216" s="85">
        <f t="shared" si="93"/>
        <v>3.6999999999949296E-3</v>
      </c>
      <c r="AN216" s="18"/>
      <c r="AO216" s="18"/>
      <c r="AP216" s="77" t="s">
        <v>333</v>
      </c>
      <c r="AQ216" s="136">
        <f>_xll.BDH($B$10,"TOT_DEBT_TO_TOT_EQY","-10FY","","Per=fy","Days=W","Fill=E","Curr=","DtFmt=P","Sort=D","Dts=H","Dir=H","FILING_STATUS,EQY_CONSOLIDATED","MR,","cols=11;rows=1")</f>
        <v>99.214200000000005</v>
      </c>
      <c r="AR216" s="136">
        <v>102.7765</v>
      </c>
      <c r="AS216" s="136">
        <v>121.6247</v>
      </c>
      <c r="AT216" s="136">
        <v>66.888099999999994</v>
      </c>
      <c r="AU216" s="136">
        <v>59.299100000000003</v>
      </c>
      <c r="AV216" s="136">
        <v>100.6093</v>
      </c>
      <c r="AW216" s="136">
        <v>57.8215</v>
      </c>
      <c r="AX216" s="136">
        <v>58.406300000000002</v>
      </c>
      <c r="AY216" s="136">
        <v>54.9129</v>
      </c>
      <c r="AZ216" s="136">
        <v>62.8613</v>
      </c>
      <c r="BA216" s="137" t="s">
        <v>1811</v>
      </c>
      <c r="BB216" s="77"/>
      <c r="BC216" s="18"/>
      <c r="BD216" s="18"/>
      <c r="BE216" s="18"/>
      <c r="BF216" s="18"/>
      <c r="BG216" s="18"/>
      <c r="BH216" s="18"/>
      <c r="BI216" s="18"/>
      <c r="BJ216" s="18"/>
      <c r="BK216" s="18"/>
      <c r="BL216" s="18"/>
      <c r="BM216" s="18"/>
      <c r="BN216" s="18"/>
      <c r="BO216" s="18"/>
      <c r="BP216" s="18"/>
      <c r="BQ216" s="18"/>
      <c r="BR216" s="18"/>
      <c r="BS216" s="17"/>
      <c r="BT216" s="17"/>
      <c r="BU216" s="17"/>
      <c r="BV216" s="17"/>
      <c r="BW216" s="17"/>
      <c r="BX216" s="18"/>
      <c r="BY216" s="18"/>
      <c r="BZ216" s="18"/>
      <c r="CA216" s="18"/>
      <c r="CB216" s="17"/>
      <c r="CC216" s="17"/>
      <c r="CD216" s="17"/>
      <c r="CE216" s="18"/>
      <c r="CF216" s="18"/>
      <c r="CG216" s="18"/>
      <c r="CH216" s="18"/>
      <c r="CI216" s="18"/>
      <c r="CJ216" s="18"/>
      <c r="CK216" s="18"/>
      <c r="CL216" s="18"/>
      <c r="CM216" s="18"/>
      <c r="CN216" s="18"/>
      <c r="CO216" s="18"/>
      <c r="CP216" s="18"/>
      <c r="CQ216" s="18"/>
      <c r="CR216" s="18"/>
      <c r="CS216" s="18"/>
      <c r="CT216" s="18"/>
      <c r="CU216" s="18"/>
      <c r="CV216" s="18"/>
      <c r="CW216" s="18"/>
      <c r="CX216" s="18"/>
      <c r="CY216" s="37"/>
      <c r="CZ216" s="38"/>
      <c r="DA216" s="18"/>
      <c r="DB216" s="37"/>
      <c r="DC216" s="38"/>
      <c r="DD216" s="18"/>
      <c r="DE216" s="37"/>
      <c r="DF216" s="38"/>
      <c r="DG216" s="18"/>
      <c r="DH216" s="37"/>
      <c r="DI216" s="38"/>
      <c r="DJ216" s="18"/>
      <c r="DK216" s="37"/>
      <c r="DL216" s="38"/>
      <c r="DM216" s="18"/>
      <c r="DN216" s="18"/>
      <c r="DO216" s="18"/>
      <c r="DP216" s="18"/>
      <c r="DQ216" s="18"/>
      <c r="DR216" s="18"/>
      <c r="DS216" s="18"/>
      <c r="DT216" s="18"/>
      <c r="DU216" s="18"/>
      <c r="DV216" s="18"/>
      <c r="DW216" s="18"/>
      <c r="DX216" s="18"/>
      <c r="DY216" s="18"/>
      <c r="DZ216" s="18"/>
    </row>
    <row r="217" spans="1:130" ht="15" customHeight="1" thickBot="1" x14ac:dyDescent="0.35">
      <c r="A217" s="115" t="s">
        <v>335</v>
      </c>
      <c r="B217" s="116" t="s">
        <v>413</v>
      </c>
      <c r="C217" s="138">
        <v>8.6199999999999992</v>
      </c>
      <c r="D217" s="138">
        <v>8.01</v>
      </c>
      <c r="E217" s="138">
        <v>6.78</v>
      </c>
      <c r="F217" s="138">
        <v>18.02</v>
      </c>
      <c r="G217" s="138">
        <v>8.6199999999999992</v>
      </c>
      <c r="H217" s="138">
        <v>15.07</v>
      </c>
      <c r="I217" s="138">
        <v>12.84</v>
      </c>
      <c r="J217" s="138">
        <v>15.03</v>
      </c>
      <c r="K217" s="138">
        <v>15.3</v>
      </c>
      <c r="L217" s="138">
        <v>25.56</v>
      </c>
      <c r="M217" s="139">
        <v>-17.45</v>
      </c>
      <c r="N217" s="227"/>
      <c r="O217" s="17"/>
      <c r="P217" s="17"/>
      <c r="Q217" s="17"/>
      <c r="R217" s="17"/>
      <c r="S217" s="17"/>
      <c r="T217" s="17"/>
      <c r="U217" s="18"/>
      <c r="V217" s="18"/>
      <c r="W217" s="18"/>
      <c r="X217" s="18"/>
      <c r="Y217" s="18"/>
      <c r="Z217" s="18"/>
      <c r="AA217" s="18"/>
      <c r="AB217" s="18"/>
      <c r="AC217" s="18"/>
      <c r="AD217" s="18"/>
      <c r="AE217" s="18" t="str">
        <f t="shared" si="85"/>
        <v>Return on investment capital</v>
      </c>
      <c r="AF217" s="85">
        <f t="shared" si="86"/>
        <v>3.9999999999995595E-3</v>
      </c>
      <c r="AG217" s="85">
        <f t="shared" si="87"/>
        <v>-3.1999999999996476E-3</v>
      </c>
      <c r="AH217" s="85">
        <f t="shared" si="88"/>
        <v>-3.2999999999994145E-3</v>
      </c>
      <c r="AI217" s="85">
        <f t="shared" si="89"/>
        <v>-4.3000000000006366E-3</v>
      </c>
      <c r="AJ217" s="85">
        <f t="shared" si="90"/>
        <v>-1.5000000000000568E-3</v>
      </c>
      <c r="AK217" s="85">
        <f t="shared" si="91"/>
        <v>1.1000000000009891E-3</v>
      </c>
      <c r="AL217" s="85">
        <f t="shared" si="92"/>
        <v>-4.9000000000010147E-3</v>
      </c>
      <c r="AM217" s="85">
        <f t="shared" si="93"/>
        <v>-2.1000000000004349E-3</v>
      </c>
      <c r="AN217" s="18"/>
      <c r="AO217" s="18"/>
      <c r="AP217" s="104" t="s">
        <v>99</v>
      </c>
      <c r="AQ217" s="140">
        <f>_xll.BDH($B$10,"RETURN_ON_INV_CAPITAL","-10FY","","Per=fy","Days=W","Fill=E","Curr=","DtFmt=P","Sort=D","Dts=H","Dir=H","FILING_STATUS,EQY_CONSOLIDATED","MR,","cols=11;rows=1")</f>
        <v>8.6159999999999997</v>
      </c>
      <c r="AR217" s="140">
        <v>8.0131999999999994</v>
      </c>
      <c r="AS217" s="140">
        <v>6.7832999999999997</v>
      </c>
      <c r="AT217" s="140">
        <v>18.0243</v>
      </c>
      <c r="AU217" s="140">
        <v>8.6214999999999993</v>
      </c>
      <c r="AV217" s="140">
        <v>15.068899999999999</v>
      </c>
      <c r="AW217" s="140">
        <v>12.844900000000001</v>
      </c>
      <c r="AX217" s="140">
        <v>15.0321</v>
      </c>
      <c r="AY217" s="140">
        <v>15.2959</v>
      </c>
      <c r="AZ217" s="140">
        <v>25.558700000000002</v>
      </c>
      <c r="BA217" s="141">
        <v>-17.452400000000001</v>
      </c>
      <c r="BB217" s="77"/>
      <c r="BC217" s="18"/>
      <c r="BD217" s="18"/>
      <c r="BE217" s="18"/>
      <c r="BF217" s="18"/>
      <c r="BG217" s="18"/>
      <c r="BH217" s="18"/>
      <c r="BI217" s="18"/>
      <c r="BJ217" s="18"/>
      <c r="BK217" s="18"/>
      <c r="BL217" s="18"/>
      <c r="BM217" s="18"/>
      <c r="BN217" s="18"/>
      <c r="BO217" s="18"/>
      <c r="BP217" s="18"/>
      <c r="BQ217" s="18"/>
      <c r="BR217" s="18"/>
      <c r="BS217" s="17"/>
      <c r="BT217" s="17"/>
      <c r="BU217" s="17"/>
      <c r="BV217" s="17"/>
      <c r="BW217" s="17"/>
      <c r="BX217" s="18"/>
      <c r="BY217" s="18"/>
      <c r="BZ217" s="18"/>
      <c r="CA217" s="18"/>
      <c r="CB217" s="17"/>
      <c r="CC217" s="17"/>
      <c r="CD217" s="17"/>
      <c r="CE217" s="18"/>
      <c r="CF217" s="18"/>
      <c r="CG217" s="18"/>
      <c r="CH217" s="18"/>
      <c r="CI217" s="18"/>
      <c r="CJ217" s="18"/>
      <c r="CK217" s="18"/>
      <c r="CL217" s="18"/>
      <c r="CM217" s="18"/>
      <c r="CN217" s="18"/>
      <c r="CO217" s="18"/>
      <c r="CP217" s="18"/>
      <c r="CQ217" s="18"/>
      <c r="CR217" s="18"/>
      <c r="CS217" s="18"/>
      <c r="CT217" s="18"/>
      <c r="CU217" s="18"/>
      <c r="CV217" s="18"/>
      <c r="CW217" s="18"/>
      <c r="CX217" s="18"/>
      <c r="CY217" s="37"/>
      <c r="CZ217" s="38"/>
      <c r="DA217" s="18"/>
      <c r="DB217" s="37"/>
      <c r="DC217" s="38"/>
      <c r="DD217" s="18"/>
      <c r="DE217" s="37"/>
      <c r="DF217" s="38"/>
      <c r="DG217" s="18"/>
      <c r="DH217" s="37"/>
      <c r="DI217" s="38"/>
      <c r="DJ217" s="18"/>
      <c r="DK217" s="37"/>
      <c r="DL217" s="38"/>
      <c r="DM217" s="18"/>
      <c r="DN217" s="18"/>
      <c r="DO217" s="18"/>
      <c r="DP217" s="18"/>
      <c r="DQ217" s="18"/>
      <c r="DR217" s="18"/>
      <c r="DS217" s="18"/>
      <c r="DT217" s="18"/>
      <c r="DU217" s="18"/>
      <c r="DV217" s="18"/>
      <c r="DW217" s="18"/>
      <c r="DX217" s="18"/>
      <c r="DY217" s="18"/>
      <c r="DZ217" s="18"/>
    </row>
    <row r="218" spans="1:130" ht="15" customHeight="1" x14ac:dyDescent="0.3">
      <c r="A218" s="16"/>
      <c r="B218" s="16"/>
      <c r="C218" s="16"/>
      <c r="D218" s="16"/>
      <c r="E218" s="16"/>
      <c r="F218" s="16"/>
      <c r="G218" s="16"/>
      <c r="H218" s="16"/>
      <c r="I218" s="16"/>
      <c r="J218" s="16"/>
      <c r="K218" s="16"/>
      <c r="L218" s="16"/>
      <c r="M218" s="16"/>
      <c r="N218" s="17"/>
      <c r="O218" s="17"/>
      <c r="P218" s="17"/>
      <c r="Q218" s="17"/>
      <c r="R218" s="17"/>
      <c r="S218" s="17"/>
      <c r="T218" s="17"/>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7"/>
      <c r="BT218" s="17"/>
      <c r="BU218" s="17"/>
      <c r="BV218" s="17"/>
      <c r="BW218" s="17"/>
      <c r="BX218" s="18"/>
      <c r="BY218" s="18"/>
      <c r="BZ218" s="18"/>
      <c r="CA218" s="18"/>
      <c r="CB218" s="17"/>
      <c r="CC218" s="17"/>
      <c r="CD218" s="17"/>
      <c r="CE218" s="18"/>
      <c r="CF218" s="18"/>
      <c r="CG218" s="18"/>
      <c r="CH218" s="18"/>
      <c r="CI218" s="18"/>
      <c r="CJ218" s="18"/>
      <c r="CK218" s="18"/>
      <c r="CL218" s="18"/>
      <c r="CM218" s="18"/>
      <c r="CN218" s="18"/>
      <c r="CO218" s="18"/>
      <c r="CP218" s="18"/>
      <c r="CQ218" s="18"/>
      <c r="CR218" s="18"/>
      <c r="CS218" s="18"/>
      <c r="CT218" s="18"/>
      <c r="CU218" s="18"/>
      <c r="CV218" s="18"/>
      <c r="CW218" s="18"/>
      <c r="CX218" s="18"/>
      <c r="CY218" s="37"/>
      <c r="CZ218" s="38"/>
      <c r="DA218" s="18"/>
      <c r="DB218" s="37"/>
      <c r="DC218" s="38"/>
      <c r="DD218" s="18"/>
      <c r="DE218" s="37"/>
      <c r="DF218" s="38"/>
      <c r="DG218" s="18"/>
      <c r="DH218" s="37"/>
      <c r="DI218" s="38"/>
      <c r="DJ218" s="18"/>
      <c r="DK218" s="37"/>
      <c r="DL218" s="38"/>
      <c r="DM218" s="18"/>
      <c r="DN218" s="18"/>
      <c r="DO218" s="18"/>
      <c r="DP218" s="18"/>
      <c r="DQ218" s="18"/>
      <c r="DR218" s="18"/>
      <c r="DS218" s="18"/>
      <c r="DT218" s="18"/>
      <c r="DU218" s="18"/>
      <c r="DV218" s="18"/>
      <c r="DW218" s="18"/>
      <c r="DX218" s="18"/>
      <c r="DY218" s="18"/>
      <c r="DZ218" s="18"/>
    </row>
    <row r="219" spans="1:130" ht="15" customHeight="1" x14ac:dyDescent="0.3">
      <c r="A219" s="16"/>
      <c r="B219" s="16"/>
      <c r="C219" s="16"/>
      <c r="D219" s="16"/>
      <c r="E219" s="16"/>
      <c r="F219" s="16"/>
      <c r="G219" s="16"/>
      <c r="H219" s="16"/>
      <c r="I219" s="16"/>
      <c r="J219" s="16"/>
      <c r="K219" s="16"/>
      <c r="L219" s="16"/>
      <c r="M219" s="16"/>
      <c r="N219" s="17"/>
      <c r="O219" s="17"/>
      <c r="P219" s="17"/>
      <c r="Q219" s="17"/>
      <c r="R219" s="17"/>
      <c r="S219" s="17"/>
      <c r="T219" s="17"/>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7"/>
      <c r="BT219" s="17"/>
      <c r="BU219" s="17"/>
      <c r="BV219" s="17"/>
      <c r="BW219" s="17"/>
      <c r="BX219" s="18"/>
      <c r="BY219" s="18"/>
      <c r="BZ219" s="18"/>
      <c r="CA219" s="18"/>
      <c r="CB219" s="17"/>
      <c r="CC219" s="17"/>
      <c r="CD219" s="17"/>
      <c r="CE219" s="18"/>
      <c r="CF219" s="18"/>
      <c r="CG219" s="18"/>
      <c r="CH219" s="18"/>
      <c r="CI219" s="18"/>
      <c r="CJ219" s="18"/>
      <c r="CK219" s="18"/>
      <c r="CL219" s="18"/>
      <c r="CM219" s="18"/>
      <c r="CN219" s="18"/>
      <c r="CO219" s="18"/>
      <c r="CP219" s="18"/>
      <c r="CQ219" s="18"/>
      <c r="CR219" s="18"/>
      <c r="CS219" s="18"/>
      <c r="CT219" s="18"/>
      <c r="CU219" s="18"/>
      <c r="CV219" s="18"/>
      <c r="CW219" s="18"/>
      <c r="CX219" s="18"/>
      <c r="CY219" s="37"/>
      <c r="CZ219" s="38"/>
      <c r="DA219" s="18"/>
      <c r="DB219" s="37"/>
      <c r="DC219" s="38"/>
      <c r="DD219" s="18"/>
      <c r="DE219" s="37"/>
      <c r="DF219" s="38"/>
      <c r="DG219" s="18"/>
      <c r="DH219" s="37"/>
      <c r="DI219" s="38"/>
      <c r="DJ219" s="18"/>
      <c r="DK219" s="37"/>
      <c r="DL219" s="38"/>
      <c r="DM219" s="18"/>
      <c r="DN219" s="18"/>
      <c r="DO219" s="18"/>
      <c r="DP219" s="18"/>
      <c r="DQ219" s="18"/>
      <c r="DR219" s="18"/>
      <c r="DS219" s="18"/>
      <c r="DT219" s="18"/>
      <c r="DU219" s="18"/>
      <c r="DV219" s="18"/>
      <c r="DW219" s="18"/>
      <c r="DX219" s="18"/>
      <c r="DY219" s="18"/>
      <c r="DZ219" s="18"/>
    </row>
    <row r="220" spans="1:130" ht="15" customHeight="1" x14ac:dyDescent="0.3">
      <c r="A220" s="18"/>
      <c r="B220" s="18"/>
      <c r="C220" s="18"/>
      <c r="D220" s="18"/>
      <c r="E220" s="18"/>
      <c r="F220" s="18"/>
      <c r="G220" s="18"/>
      <c r="H220" s="18"/>
      <c r="I220" s="18"/>
      <c r="J220" s="18"/>
      <c r="K220" s="18"/>
      <c r="L220" s="18"/>
      <c r="M220" s="18"/>
      <c r="N220" s="17"/>
      <c r="O220" s="17"/>
      <c r="P220" s="17"/>
      <c r="Q220" s="17"/>
      <c r="R220" s="17"/>
      <c r="S220" s="17"/>
      <c r="T220" s="17"/>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7"/>
      <c r="BT220" s="17"/>
      <c r="BU220" s="17"/>
      <c r="BV220" s="17"/>
      <c r="BW220" s="17"/>
      <c r="BX220" s="18"/>
      <c r="BY220" s="18"/>
      <c r="BZ220" s="18"/>
      <c r="CA220" s="18"/>
      <c r="CB220" s="17"/>
      <c r="CC220" s="17"/>
      <c r="CD220" s="17"/>
      <c r="CE220" s="18"/>
      <c r="CF220" s="18"/>
      <c r="CG220" s="18"/>
      <c r="CH220" s="18"/>
      <c r="CI220" s="18"/>
      <c r="CJ220" s="18"/>
      <c r="CK220" s="18"/>
      <c r="CL220" s="18"/>
      <c r="CM220" s="18"/>
      <c r="CN220" s="18"/>
      <c r="CO220" s="18"/>
      <c r="CP220" s="18"/>
      <c r="CQ220" s="18"/>
      <c r="CR220" s="18"/>
      <c r="CS220" s="18"/>
      <c r="CT220" s="18"/>
      <c r="CU220" s="18"/>
      <c r="CV220" s="18"/>
      <c r="CW220" s="18"/>
      <c r="CX220" s="18"/>
      <c r="CY220" s="37"/>
      <c r="CZ220" s="38"/>
      <c r="DA220" s="18"/>
      <c r="DB220" s="37"/>
      <c r="DC220" s="38"/>
      <c r="DD220" s="18"/>
      <c r="DE220" s="37"/>
      <c r="DF220" s="38"/>
      <c r="DG220" s="18"/>
      <c r="DH220" s="37"/>
      <c r="DI220" s="38"/>
      <c r="DJ220" s="18"/>
      <c r="DK220" s="37"/>
      <c r="DL220" s="38"/>
      <c r="DM220" s="18"/>
      <c r="DN220" s="18"/>
      <c r="DO220" s="18"/>
      <c r="DP220" s="18"/>
      <c r="DQ220" s="18"/>
      <c r="DR220" s="18"/>
      <c r="DS220" s="18"/>
      <c r="DT220" s="18"/>
      <c r="DU220" s="18"/>
      <c r="DV220" s="18"/>
      <c r="DW220" s="18"/>
      <c r="DX220" s="18"/>
      <c r="DY220" s="18"/>
      <c r="DZ220" s="18"/>
    </row>
    <row r="221" spans="1:130" ht="15" customHeight="1" x14ac:dyDescent="0.3">
      <c r="A221" s="18"/>
      <c r="B221" s="18"/>
      <c r="C221" s="18"/>
      <c r="D221" s="18"/>
      <c r="E221" s="18"/>
      <c r="F221" s="18"/>
      <c r="G221" s="18"/>
      <c r="H221" s="18"/>
      <c r="I221" s="18"/>
      <c r="J221" s="18"/>
      <c r="K221" s="18"/>
      <c r="L221" s="18"/>
      <c r="M221" s="18"/>
      <c r="N221" s="17"/>
      <c r="O221" s="17"/>
      <c r="P221" s="17"/>
      <c r="Q221" s="17"/>
      <c r="R221" s="17"/>
      <c r="S221" s="17"/>
      <c r="T221" s="17"/>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7"/>
      <c r="BT221" s="17"/>
      <c r="BU221" s="17"/>
      <c r="BV221" s="17"/>
      <c r="BW221" s="17"/>
      <c r="BX221" s="18"/>
      <c r="BY221" s="18"/>
      <c r="BZ221" s="18"/>
      <c r="CA221" s="18"/>
      <c r="CB221" s="17"/>
      <c r="CC221" s="17"/>
      <c r="CD221" s="17"/>
      <c r="CE221" s="18"/>
      <c r="CF221" s="18"/>
      <c r="CG221" s="18"/>
      <c r="CH221" s="18"/>
      <c r="CI221" s="18"/>
      <c r="CJ221" s="18"/>
      <c r="CK221" s="18"/>
      <c r="CL221" s="18"/>
      <c r="CM221" s="18"/>
      <c r="CN221" s="18"/>
      <c r="CO221" s="18"/>
      <c r="CP221" s="18"/>
      <c r="CQ221" s="18"/>
      <c r="CR221" s="18"/>
      <c r="CS221" s="18"/>
      <c r="CT221" s="18"/>
      <c r="CU221" s="18"/>
      <c r="CV221" s="18"/>
      <c r="CW221" s="18"/>
      <c r="CX221" s="18"/>
      <c r="CY221" s="37"/>
      <c r="CZ221" s="38"/>
      <c r="DA221" s="18"/>
      <c r="DB221" s="37"/>
      <c r="DC221" s="38"/>
      <c r="DD221" s="18"/>
      <c r="DE221" s="37"/>
      <c r="DF221" s="38"/>
      <c r="DG221" s="18"/>
      <c r="DH221" s="37"/>
      <c r="DI221" s="38"/>
      <c r="DJ221" s="18"/>
      <c r="DK221" s="37"/>
      <c r="DL221" s="38"/>
      <c r="DM221" s="18"/>
      <c r="DN221" s="18"/>
      <c r="DO221" s="18"/>
      <c r="DP221" s="18"/>
      <c r="DQ221" s="18"/>
      <c r="DR221" s="18"/>
      <c r="DS221" s="18"/>
      <c r="DT221" s="18"/>
      <c r="DU221" s="18"/>
      <c r="DV221" s="18"/>
      <c r="DW221" s="18"/>
      <c r="DX221" s="18"/>
      <c r="DY221" s="18"/>
      <c r="DZ221" s="18"/>
    </row>
    <row r="222" spans="1:130" ht="15" customHeight="1" x14ac:dyDescent="0.3">
      <c r="A222" s="18"/>
      <c r="B222" s="18"/>
      <c r="C222" s="18"/>
      <c r="D222" s="18"/>
      <c r="E222" s="18"/>
      <c r="F222" s="18"/>
      <c r="G222" s="18"/>
      <c r="H222" s="18"/>
      <c r="I222" s="18"/>
      <c r="J222" s="18"/>
      <c r="K222" s="18"/>
      <c r="L222" s="18"/>
      <c r="M222" s="18"/>
      <c r="N222" s="17"/>
      <c r="O222" s="17"/>
      <c r="P222" s="17"/>
      <c r="Q222" s="17"/>
      <c r="R222" s="17"/>
      <c r="S222" s="17"/>
      <c r="T222" s="17"/>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7"/>
      <c r="BT222" s="17"/>
      <c r="BU222" s="17"/>
      <c r="BV222" s="17"/>
      <c r="BW222" s="17"/>
      <c r="BX222" s="18"/>
      <c r="BY222" s="18"/>
      <c r="BZ222" s="18"/>
      <c r="CA222" s="18"/>
      <c r="CB222" s="17"/>
      <c r="CC222" s="17"/>
      <c r="CD222" s="17"/>
      <c r="CE222" s="18"/>
      <c r="CF222" s="18"/>
      <c r="CG222" s="18"/>
      <c r="CH222" s="18"/>
      <c r="CI222" s="18"/>
      <c r="CJ222" s="18"/>
      <c r="CK222" s="18"/>
      <c r="CL222" s="18"/>
      <c r="CM222" s="18"/>
      <c r="CN222" s="18"/>
      <c r="CO222" s="18"/>
      <c r="CP222" s="18"/>
      <c r="CQ222" s="18"/>
      <c r="CR222" s="18"/>
      <c r="CS222" s="18"/>
      <c r="CT222" s="18"/>
      <c r="CU222" s="18"/>
      <c r="CV222" s="18"/>
      <c r="CW222" s="18"/>
      <c r="CX222" s="18"/>
      <c r="CY222" s="37"/>
      <c r="CZ222" s="38"/>
      <c r="DA222" s="18"/>
      <c r="DB222" s="37"/>
      <c r="DC222" s="38"/>
      <c r="DD222" s="18"/>
      <c r="DE222" s="37"/>
      <c r="DF222" s="38"/>
      <c r="DG222" s="18"/>
      <c r="DH222" s="37"/>
      <c r="DI222" s="38"/>
      <c r="DJ222" s="18"/>
      <c r="DK222" s="37"/>
      <c r="DL222" s="38"/>
      <c r="DM222" s="18"/>
      <c r="DN222" s="18"/>
      <c r="DO222" s="18"/>
      <c r="DP222" s="18"/>
      <c r="DQ222" s="18"/>
      <c r="DR222" s="18"/>
      <c r="DS222" s="18"/>
      <c r="DT222" s="18"/>
      <c r="DU222" s="18"/>
      <c r="DV222" s="18"/>
      <c r="DW222" s="18"/>
      <c r="DX222" s="18"/>
      <c r="DY222" s="18"/>
      <c r="DZ222" s="18"/>
    </row>
    <row r="223" spans="1:130" ht="15" customHeight="1" x14ac:dyDescent="0.3">
      <c r="A223" s="18"/>
      <c r="B223" s="18"/>
      <c r="C223" s="18"/>
      <c r="D223" s="18"/>
      <c r="E223" s="18"/>
      <c r="F223" s="18"/>
      <c r="G223" s="18"/>
      <c r="H223" s="18"/>
      <c r="I223" s="18"/>
      <c r="J223" s="18"/>
      <c r="K223" s="18"/>
      <c r="L223" s="18"/>
      <c r="M223" s="18"/>
      <c r="N223" s="17"/>
      <c r="O223" s="17"/>
      <c r="P223" s="17"/>
      <c r="Q223" s="17"/>
      <c r="R223" s="17"/>
      <c r="S223" s="17"/>
      <c r="T223" s="17"/>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7"/>
      <c r="BT223" s="17"/>
      <c r="BU223" s="17"/>
      <c r="BV223" s="17"/>
      <c r="BW223" s="17"/>
      <c r="BX223" s="18"/>
      <c r="BY223" s="18"/>
      <c r="BZ223" s="18"/>
      <c r="CA223" s="18"/>
      <c r="CB223" s="17"/>
      <c r="CC223" s="17"/>
      <c r="CD223" s="17"/>
      <c r="CE223" s="18"/>
      <c r="CF223" s="18"/>
      <c r="CG223" s="18"/>
      <c r="CH223" s="18"/>
      <c r="CI223" s="18"/>
      <c r="CJ223" s="18"/>
      <c r="CK223" s="18"/>
      <c r="CL223" s="18"/>
      <c r="CM223" s="18"/>
      <c r="CN223" s="18"/>
      <c r="CO223" s="18"/>
      <c r="CP223" s="18"/>
      <c r="CQ223" s="18"/>
      <c r="CR223" s="18"/>
      <c r="CS223" s="18"/>
      <c r="CT223" s="18"/>
      <c r="CU223" s="18"/>
      <c r="CV223" s="18"/>
      <c r="CW223" s="18"/>
      <c r="CX223" s="18"/>
      <c r="CY223" s="37"/>
      <c r="CZ223" s="38"/>
      <c r="DA223" s="18"/>
      <c r="DB223" s="37"/>
      <c r="DC223" s="38"/>
      <c r="DD223" s="18"/>
      <c r="DE223" s="37"/>
      <c r="DF223" s="38"/>
      <c r="DG223" s="18"/>
      <c r="DH223" s="37"/>
      <c r="DI223" s="38"/>
      <c r="DJ223" s="18"/>
      <c r="DK223" s="37"/>
      <c r="DL223" s="38"/>
      <c r="DM223" s="18"/>
      <c r="DN223" s="18"/>
      <c r="DO223" s="18"/>
      <c r="DP223" s="18"/>
      <c r="DQ223" s="18"/>
      <c r="DR223" s="18"/>
      <c r="DS223" s="18"/>
      <c r="DT223" s="18"/>
      <c r="DU223" s="18"/>
      <c r="DV223" s="18"/>
      <c r="DW223" s="18"/>
      <c r="DX223" s="18"/>
      <c r="DY223" s="18"/>
      <c r="DZ223" s="18"/>
    </row>
    <row r="224" spans="1:130" ht="15" customHeight="1" x14ac:dyDescent="0.3">
      <c r="A224" s="18"/>
      <c r="B224" s="18"/>
      <c r="C224" s="18"/>
      <c r="D224" s="18"/>
      <c r="E224" s="18"/>
      <c r="F224" s="18"/>
      <c r="G224" s="18"/>
      <c r="H224" s="18"/>
      <c r="I224" s="18"/>
      <c r="J224" s="18"/>
      <c r="K224" s="18"/>
      <c r="L224" s="18"/>
      <c r="M224" s="18"/>
      <c r="N224" s="17"/>
      <c r="O224" s="17"/>
      <c r="P224" s="17"/>
      <c r="Q224" s="17"/>
      <c r="R224" s="17"/>
      <c r="S224" s="17"/>
      <c r="T224" s="17"/>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7"/>
      <c r="BT224" s="17"/>
      <c r="BU224" s="17"/>
      <c r="BV224" s="17"/>
      <c r="BW224" s="17"/>
      <c r="BX224" s="18"/>
      <c r="BY224" s="18"/>
      <c r="BZ224" s="18"/>
      <c r="CA224" s="18"/>
      <c r="CB224" s="17"/>
      <c r="CC224" s="17"/>
      <c r="CD224" s="17"/>
      <c r="CE224" s="18"/>
      <c r="CF224" s="18"/>
      <c r="CG224" s="18"/>
      <c r="CH224" s="18"/>
      <c r="CI224" s="18"/>
      <c r="CJ224" s="18"/>
      <c r="CK224" s="18"/>
      <c r="CL224" s="18"/>
      <c r="CM224" s="18"/>
      <c r="CN224" s="18"/>
      <c r="CO224" s="18"/>
      <c r="CP224" s="18"/>
      <c r="CQ224" s="18"/>
      <c r="CR224" s="18"/>
      <c r="CS224" s="18"/>
      <c r="CT224" s="18"/>
      <c r="CU224" s="18"/>
      <c r="CV224" s="18"/>
      <c r="CW224" s="18"/>
      <c r="CX224" s="18"/>
      <c r="CY224" s="37"/>
      <c r="CZ224" s="38"/>
      <c r="DA224" s="18"/>
      <c r="DB224" s="37"/>
      <c r="DC224" s="38"/>
      <c r="DD224" s="18"/>
      <c r="DE224" s="37"/>
      <c r="DF224" s="38"/>
      <c r="DG224" s="18"/>
      <c r="DH224" s="37"/>
      <c r="DI224" s="38"/>
      <c r="DJ224" s="18"/>
      <c r="DK224" s="37"/>
      <c r="DL224" s="38"/>
      <c r="DM224" s="18"/>
      <c r="DN224" s="18"/>
      <c r="DO224" s="18"/>
      <c r="DP224" s="18"/>
      <c r="DQ224" s="18"/>
      <c r="DR224" s="18"/>
      <c r="DS224" s="18"/>
      <c r="DT224" s="18"/>
      <c r="DU224" s="18"/>
      <c r="DV224" s="18"/>
      <c r="DW224" s="18"/>
      <c r="DX224" s="18"/>
      <c r="DY224" s="18"/>
      <c r="DZ224" s="18"/>
    </row>
    <row r="225" spans="1:130" ht="15" customHeight="1" x14ac:dyDescent="0.3">
      <c r="A225" s="18"/>
      <c r="B225" s="18"/>
      <c r="C225" s="18"/>
      <c r="D225" s="18"/>
      <c r="E225" s="18"/>
      <c r="F225" s="18"/>
      <c r="G225" s="18"/>
      <c r="H225" s="18"/>
      <c r="I225" s="18"/>
      <c r="J225" s="18"/>
      <c r="K225" s="18"/>
      <c r="L225" s="18"/>
      <c r="M225" s="18"/>
      <c r="N225" s="17"/>
      <c r="O225" s="17"/>
      <c r="P225" s="17"/>
      <c r="Q225" s="17"/>
      <c r="R225" s="17"/>
      <c r="S225" s="17"/>
      <c r="T225" s="17"/>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7"/>
      <c r="BT225" s="17"/>
      <c r="BU225" s="17"/>
      <c r="BV225" s="17"/>
      <c r="BW225" s="17"/>
      <c r="BX225" s="18"/>
      <c r="BY225" s="18"/>
      <c r="BZ225" s="18"/>
      <c r="CA225" s="18"/>
      <c r="CB225" s="17"/>
      <c r="CC225" s="17"/>
      <c r="CD225" s="17"/>
      <c r="CE225" s="18"/>
      <c r="CF225" s="18"/>
      <c r="CG225" s="18"/>
      <c r="CH225" s="18"/>
      <c r="CI225" s="18"/>
      <c r="CJ225" s="18"/>
      <c r="CK225" s="18"/>
      <c r="CL225" s="18"/>
      <c r="CM225" s="18"/>
      <c r="CN225" s="18"/>
      <c r="CO225" s="18"/>
      <c r="CP225" s="18"/>
      <c r="CQ225" s="18"/>
      <c r="CR225" s="18"/>
      <c r="CS225" s="18"/>
      <c r="CT225" s="18"/>
      <c r="CU225" s="18"/>
      <c r="CV225" s="18"/>
      <c r="CW225" s="18"/>
      <c r="CX225" s="18"/>
      <c r="CY225" s="37"/>
      <c r="CZ225" s="38"/>
      <c r="DA225" s="18"/>
      <c r="DB225" s="37"/>
      <c r="DC225" s="38"/>
      <c r="DD225" s="18"/>
      <c r="DE225" s="37"/>
      <c r="DF225" s="38"/>
      <c r="DG225" s="18"/>
      <c r="DH225" s="37"/>
      <c r="DI225" s="38"/>
      <c r="DJ225" s="18"/>
      <c r="DK225" s="37"/>
      <c r="DL225" s="38"/>
      <c r="DM225" s="18"/>
      <c r="DN225" s="18"/>
      <c r="DO225" s="18"/>
      <c r="DP225" s="18"/>
      <c r="DQ225" s="18"/>
      <c r="DR225" s="18"/>
      <c r="DS225" s="18"/>
      <c r="DT225" s="18"/>
      <c r="DU225" s="18"/>
      <c r="DV225" s="18"/>
      <c r="DW225" s="18"/>
      <c r="DX225" s="18"/>
      <c r="DY225" s="18"/>
      <c r="DZ225" s="18"/>
    </row>
    <row r="226" spans="1:130" x14ac:dyDescent="0.3">
      <c r="A226" s="18"/>
      <c r="B226" s="18"/>
      <c r="C226" s="18"/>
      <c r="D226" s="18"/>
      <c r="E226" s="18"/>
      <c r="F226" s="18"/>
      <c r="G226" s="18"/>
      <c r="H226" s="18"/>
      <c r="I226" s="18"/>
      <c r="J226" s="18"/>
      <c r="K226" s="18"/>
      <c r="L226" s="18"/>
      <c r="M226" s="18"/>
      <c r="N226" s="17"/>
      <c r="O226" s="17"/>
      <c r="P226" s="17"/>
      <c r="Q226" s="17"/>
      <c r="R226" s="17"/>
      <c r="S226" s="17"/>
      <c r="T226" s="17"/>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7"/>
      <c r="BT226" s="17"/>
      <c r="BU226" s="17"/>
      <c r="BV226" s="17"/>
      <c r="BW226" s="17"/>
      <c r="BX226" s="18"/>
      <c r="BY226" s="18"/>
      <c r="BZ226" s="18"/>
      <c r="CA226" s="18"/>
      <c r="CB226" s="17"/>
      <c r="CC226" s="17"/>
      <c r="CD226" s="17"/>
      <c r="CE226" s="18"/>
      <c r="CF226" s="18"/>
      <c r="CG226" s="18"/>
      <c r="CH226" s="18"/>
      <c r="CI226" s="18"/>
      <c r="CJ226" s="18"/>
      <c r="CK226" s="18"/>
      <c r="CL226" s="18"/>
      <c r="CM226" s="18"/>
      <c r="CN226" s="18"/>
      <c r="CO226" s="18"/>
      <c r="CP226" s="18"/>
      <c r="CQ226" s="18"/>
      <c r="CR226" s="18"/>
      <c r="CS226" s="18"/>
      <c r="CT226" s="18"/>
      <c r="CU226" s="18"/>
      <c r="CV226" s="18"/>
      <c r="CW226" s="18"/>
      <c r="CX226" s="18"/>
      <c r="CY226" s="37"/>
      <c r="CZ226" s="38"/>
      <c r="DA226" s="18"/>
      <c r="DB226" s="37"/>
      <c r="DC226" s="38"/>
      <c r="DD226" s="18"/>
      <c r="DE226" s="37"/>
      <c r="DF226" s="38"/>
      <c r="DG226" s="18"/>
      <c r="DH226" s="37"/>
      <c r="DI226" s="38"/>
      <c r="DJ226" s="18"/>
      <c r="DK226" s="37"/>
      <c r="DL226" s="38"/>
      <c r="DM226" s="18"/>
      <c r="DN226" s="18"/>
      <c r="DO226" s="18"/>
      <c r="DP226" s="18"/>
      <c r="DQ226" s="18"/>
      <c r="DR226" s="18"/>
      <c r="DS226" s="18"/>
      <c r="DT226" s="18"/>
      <c r="DU226" s="18"/>
      <c r="DV226" s="18"/>
      <c r="DW226" s="18"/>
      <c r="DX226" s="18"/>
      <c r="DY226" s="18"/>
      <c r="DZ226" s="18"/>
    </row>
    <row r="227" spans="1:130" x14ac:dyDescent="0.3">
      <c r="A227" s="18"/>
      <c r="B227" s="18"/>
      <c r="C227" s="18"/>
      <c r="D227" s="18"/>
      <c r="E227" s="18"/>
      <c r="F227" s="18"/>
      <c r="G227" s="18"/>
      <c r="H227" s="18"/>
      <c r="I227" s="18"/>
      <c r="J227" s="18"/>
      <c r="K227" s="18"/>
      <c r="L227" s="18"/>
      <c r="M227" s="18"/>
      <c r="N227" s="17"/>
      <c r="O227" s="17"/>
      <c r="P227" s="17"/>
      <c r="Q227" s="17"/>
      <c r="R227" s="17"/>
      <c r="S227" s="17"/>
      <c r="T227" s="17"/>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7"/>
      <c r="BT227" s="17"/>
      <c r="BU227" s="17"/>
      <c r="BV227" s="17"/>
      <c r="BW227" s="17"/>
      <c r="BX227" s="18"/>
      <c r="BY227" s="18"/>
      <c r="BZ227" s="18"/>
      <c r="CA227" s="18"/>
      <c r="CB227" s="17"/>
      <c r="CC227" s="17"/>
      <c r="CD227" s="17"/>
      <c r="CE227" s="18"/>
      <c r="CF227" s="18"/>
      <c r="CG227" s="18"/>
      <c r="CH227" s="18"/>
      <c r="CI227" s="18"/>
      <c r="CJ227" s="18"/>
      <c r="CK227" s="18"/>
      <c r="CL227" s="18"/>
      <c r="CM227" s="18"/>
      <c r="CN227" s="18"/>
      <c r="CO227" s="18"/>
      <c r="CP227" s="18"/>
      <c r="CQ227" s="18"/>
      <c r="CR227" s="18"/>
      <c r="CS227" s="18"/>
      <c r="CT227" s="18"/>
      <c r="CU227" s="18"/>
      <c r="CV227" s="18"/>
      <c r="CW227" s="18"/>
      <c r="CX227" s="18"/>
      <c r="CY227" s="37"/>
      <c r="CZ227" s="38"/>
      <c r="DA227" s="18"/>
      <c r="DB227" s="37"/>
      <c r="DC227" s="38"/>
      <c r="DD227" s="18"/>
      <c r="DE227" s="37"/>
      <c r="DF227" s="38"/>
      <c r="DG227" s="18"/>
      <c r="DH227" s="37"/>
      <c r="DI227" s="38"/>
      <c r="DJ227" s="18"/>
      <c r="DK227" s="37"/>
      <c r="DL227" s="38"/>
      <c r="DM227" s="18"/>
      <c r="DN227" s="18"/>
      <c r="DO227" s="18"/>
      <c r="DP227" s="18"/>
      <c r="DQ227" s="18"/>
      <c r="DR227" s="18"/>
      <c r="DS227" s="18"/>
      <c r="DT227" s="18"/>
      <c r="DU227" s="18"/>
      <c r="DV227" s="18"/>
      <c r="DW227" s="18"/>
      <c r="DX227" s="18"/>
      <c r="DY227" s="18"/>
      <c r="DZ227" s="18"/>
    </row>
    <row r="228" spans="1:130" x14ac:dyDescent="0.3">
      <c r="A228" s="18"/>
      <c r="B228" s="18"/>
      <c r="C228" s="18"/>
      <c r="D228" s="18"/>
      <c r="E228" s="18"/>
      <c r="F228" s="18"/>
      <c r="G228" s="18"/>
      <c r="H228" s="18"/>
      <c r="I228" s="18"/>
      <c r="J228" s="18"/>
      <c r="K228" s="18"/>
      <c r="L228" s="18"/>
      <c r="M228" s="18"/>
      <c r="N228" s="17"/>
      <c r="O228" s="17"/>
      <c r="P228" s="17"/>
      <c r="Q228" s="17"/>
      <c r="R228" s="17"/>
      <c r="S228" s="17"/>
      <c r="T228" s="17"/>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7"/>
      <c r="BT228" s="17"/>
      <c r="BU228" s="17"/>
      <c r="BV228" s="17"/>
      <c r="BW228" s="17"/>
      <c r="BX228" s="18"/>
      <c r="BY228" s="18"/>
      <c r="BZ228" s="18"/>
      <c r="CA228" s="18"/>
      <c r="CB228" s="17"/>
      <c r="CC228" s="17"/>
      <c r="CD228" s="17"/>
      <c r="CE228" s="18"/>
      <c r="CF228" s="18"/>
      <c r="CG228" s="18"/>
      <c r="CH228" s="18"/>
      <c r="CI228" s="18"/>
      <c r="CJ228" s="18"/>
      <c r="CK228" s="18"/>
      <c r="CL228" s="18"/>
      <c r="CM228" s="18"/>
      <c r="CN228" s="18"/>
      <c r="CO228" s="18"/>
      <c r="CP228" s="18"/>
      <c r="CQ228" s="18"/>
      <c r="CR228" s="18"/>
      <c r="CS228" s="18"/>
      <c r="CT228" s="18"/>
      <c r="CU228" s="18"/>
      <c r="CV228" s="18"/>
      <c r="CW228" s="18"/>
      <c r="CX228" s="18"/>
      <c r="CY228" s="37"/>
      <c r="CZ228" s="38"/>
      <c r="DA228" s="18"/>
      <c r="DB228" s="37"/>
      <c r="DC228" s="38"/>
      <c r="DD228" s="18"/>
      <c r="DE228" s="37"/>
      <c r="DF228" s="38"/>
      <c r="DG228" s="18"/>
      <c r="DH228" s="37"/>
      <c r="DI228" s="38"/>
      <c r="DJ228" s="18"/>
      <c r="DK228" s="37"/>
      <c r="DL228" s="38"/>
      <c r="DM228" s="18"/>
      <c r="DN228" s="18"/>
      <c r="DO228" s="18"/>
      <c r="DP228" s="18"/>
      <c r="DQ228" s="18"/>
      <c r="DR228" s="18"/>
      <c r="DS228" s="18"/>
      <c r="DT228" s="18"/>
      <c r="DU228" s="18"/>
      <c r="DV228" s="18"/>
      <c r="DW228" s="18"/>
      <c r="DX228" s="18"/>
      <c r="DY228" s="18"/>
      <c r="DZ228" s="18"/>
    </row>
    <row r="229" spans="1:130" x14ac:dyDescent="0.3">
      <c r="A229" s="18"/>
      <c r="B229" s="18"/>
      <c r="C229" s="18"/>
      <c r="D229" s="18"/>
      <c r="E229" s="18"/>
      <c r="F229" s="18"/>
      <c r="G229" s="18"/>
      <c r="H229" s="18"/>
      <c r="I229" s="18"/>
      <c r="J229" s="18"/>
      <c r="K229" s="18"/>
      <c r="L229" s="18"/>
      <c r="M229" s="18"/>
      <c r="N229" s="17"/>
      <c r="O229" s="17"/>
      <c r="P229" s="17"/>
      <c r="Q229" s="17"/>
      <c r="R229" s="17"/>
      <c r="S229" s="17"/>
      <c r="T229" s="17"/>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7"/>
      <c r="BT229" s="17"/>
      <c r="BU229" s="17"/>
      <c r="BV229" s="17"/>
      <c r="BW229" s="17"/>
      <c r="BX229" s="18"/>
      <c r="BY229" s="18"/>
      <c r="BZ229" s="18"/>
      <c r="CA229" s="18"/>
      <c r="CB229" s="17"/>
      <c r="CC229" s="17"/>
      <c r="CD229" s="17"/>
      <c r="CE229" s="18"/>
      <c r="CF229" s="18"/>
      <c r="CG229" s="18"/>
      <c r="CH229" s="18"/>
      <c r="CI229" s="18"/>
      <c r="CJ229" s="18"/>
      <c r="CK229" s="18"/>
      <c r="CL229" s="18"/>
      <c r="CM229" s="18"/>
      <c r="CN229" s="18"/>
      <c r="CO229" s="18"/>
      <c r="CP229" s="18"/>
      <c r="CQ229" s="18"/>
      <c r="CR229" s="18"/>
      <c r="CS229" s="18"/>
      <c r="CT229" s="18"/>
      <c r="CU229" s="18"/>
      <c r="CV229" s="18"/>
      <c r="CW229" s="18"/>
      <c r="CX229" s="18"/>
      <c r="CY229" s="37"/>
      <c r="CZ229" s="38"/>
      <c r="DA229" s="18"/>
      <c r="DB229" s="37"/>
      <c r="DC229" s="38"/>
      <c r="DD229" s="18"/>
      <c r="DE229" s="37"/>
      <c r="DF229" s="38"/>
      <c r="DG229" s="18"/>
      <c r="DH229" s="37"/>
      <c r="DI229" s="38"/>
      <c r="DJ229" s="18"/>
      <c r="DK229" s="37"/>
      <c r="DL229" s="38"/>
      <c r="DM229" s="18"/>
      <c r="DN229" s="18"/>
      <c r="DO229" s="18"/>
      <c r="DP229" s="18"/>
      <c r="DQ229" s="18"/>
      <c r="DR229" s="18"/>
      <c r="DS229" s="18"/>
      <c r="DT229" s="18"/>
      <c r="DU229" s="18"/>
      <c r="DV229" s="18"/>
      <c r="DW229" s="18"/>
      <c r="DX229" s="18"/>
      <c r="DY229" s="18"/>
      <c r="DZ229" s="18"/>
    </row>
    <row r="230" spans="1:130" x14ac:dyDescent="0.3">
      <c r="A230" s="18"/>
      <c r="B230" s="18"/>
      <c r="C230" s="18"/>
      <c r="D230" s="18"/>
      <c r="E230" s="18"/>
      <c r="F230" s="18"/>
      <c r="G230" s="18"/>
      <c r="H230" s="18"/>
      <c r="I230" s="18"/>
      <c r="J230" s="18"/>
      <c r="K230" s="18"/>
      <c r="L230" s="18"/>
      <c r="M230" s="18"/>
      <c r="N230" s="17"/>
      <c r="O230" s="17"/>
      <c r="P230" s="17"/>
      <c r="Q230" s="17"/>
      <c r="R230" s="17"/>
      <c r="S230" s="17"/>
      <c r="T230" s="17"/>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7"/>
      <c r="BT230" s="17"/>
      <c r="BU230" s="17"/>
      <c r="BV230" s="17"/>
      <c r="BW230" s="17"/>
      <c r="BX230" s="18"/>
      <c r="BY230" s="18"/>
      <c r="BZ230" s="18"/>
      <c r="CA230" s="18"/>
      <c r="CB230" s="17"/>
      <c r="CC230" s="17"/>
      <c r="CD230" s="17"/>
      <c r="CE230" s="18"/>
      <c r="CF230" s="18"/>
      <c r="CG230" s="18"/>
      <c r="CH230" s="18"/>
      <c r="CI230" s="18"/>
      <c r="CJ230" s="18"/>
      <c r="CK230" s="18"/>
      <c r="CL230" s="18"/>
      <c r="CM230" s="18"/>
      <c r="CN230" s="18"/>
      <c r="CO230" s="18"/>
      <c r="CP230" s="18"/>
      <c r="CQ230" s="18"/>
      <c r="CR230" s="18"/>
      <c r="CS230" s="18"/>
      <c r="CT230" s="18"/>
      <c r="CU230" s="18"/>
      <c r="CV230" s="18"/>
      <c r="CW230" s="18"/>
      <c r="CX230" s="18"/>
      <c r="CY230" s="37"/>
      <c r="CZ230" s="38"/>
      <c r="DA230" s="18"/>
      <c r="DB230" s="37"/>
      <c r="DC230" s="38"/>
      <c r="DD230" s="18"/>
      <c r="DE230" s="37"/>
      <c r="DF230" s="38"/>
      <c r="DG230" s="18"/>
      <c r="DH230" s="37"/>
      <c r="DI230" s="38"/>
      <c r="DJ230" s="18"/>
      <c r="DK230" s="37"/>
      <c r="DL230" s="38"/>
      <c r="DM230" s="18"/>
      <c r="DN230" s="18"/>
      <c r="DO230" s="18"/>
      <c r="DP230" s="18"/>
      <c r="DQ230" s="18"/>
      <c r="DR230" s="18"/>
      <c r="DS230" s="18"/>
      <c r="DT230" s="18"/>
      <c r="DU230" s="18"/>
      <c r="DV230" s="18"/>
      <c r="DW230" s="18"/>
      <c r="DX230" s="18"/>
      <c r="DY230" s="18"/>
      <c r="DZ230" s="18"/>
    </row>
    <row r="231" spans="1:130" x14ac:dyDescent="0.3">
      <c r="A231" s="18"/>
      <c r="B231" s="18"/>
      <c r="C231" s="18"/>
      <c r="D231" s="18"/>
      <c r="E231" s="18"/>
      <c r="F231" s="18"/>
      <c r="G231" s="18"/>
      <c r="H231" s="18"/>
      <c r="I231" s="18"/>
      <c r="J231" s="18"/>
      <c r="K231" s="18"/>
      <c r="L231" s="18"/>
      <c r="M231" s="18"/>
      <c r="N231" s="17"/>
      <c r="O231" s="17"/>
      <c r="P231" s="17"/>
      <c r="Q231" s="17"/>
      <c r="R231" s="17"/>
      <c r="S231" s="17"/>
      <c r="T231" s="17"/>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7"/>
      <c r="BT231" s="17"/>
      <c r="BU231" s="17"/>
      <c r="BV231" s="17"/>
      <c r="BW231" s="17"/>
      <c r="BX231" s="18"/>
      <c r="BY231" s="18"/>
      <c r="BZ231" s="18"/>
      <c r="CA231" s="18"/>
      <c r="CB231" s="17"/>
      <c r="CC231" s="17"/>
      <c r="CD231" s="17"/>
      <c r="CE231" s="18"/>
      <c r="CF231" s="18"/>
      <c r="CG231" s="18"/>
      <c r="CH231" s="18"/>
      <c r="CI231" s="18"/>
      <c r="CJ231" s="18"/>
      <c r="CK231" s="18"/>
      <c r="CL231" s="18"/>
      <c r="CM231" s="18"/>
      <c r="CN231" s="18"/>
      <c r="CO231" s="18"/>
      <c r="CP231" s="18"/>
      <c r="CQ231" s="18"/>
      <c r="CR231" s="18"/>
      <c r="CS231" s="18"/>
      <c r="CT231" s="18"/>
      <c r="CU231" s="18"/>
      <c r="CV231" s="18"/>
      <c r="CW231" s="18"/>
      <c r="CX231" s="18"/>
      <c r="CY231" s="37"/>
      <c r="CZ231" s="38"/>
      <c r="DA231" s="18"/>
      <c r="DB231" s="37"/>
      <c r="DC231" s="38"/>
      <c r="DD231" s="18"/>
      <c r="DE231" s="37"/>
      <c r="DF231" s="38"/>
      <c r="DG231" s="18"/>
      <c r="DH231" s="37"/>
      <c r="DI231" s="38"/>
      <c r="DJ231" s="18"/>
      <c r="DK231" s="37"/>
      <c r="DL231" s="38"/>
      <c r="DM231" s="18"/>
      <c r="DN231" s="18"/>
      <c r="DO231" s="18"/>
      <c r="DP231" s="18"/>
      <c r="DQ231" s="18"/>
      <c r="DR231" s="18"/>
      <c r="DS231" s="18"/>
      <c r="DT231" s="18"/>
      <c r="DU231" s="18"/>
      <c r="DV231" s="18"/>
      <c r="DW231" s="18"/>
      <c r="DX231" s="18"/>
      <c r="DY231" s="18"/>
      <c r="DZ231" s="18"/>
    </row>
    <row r="232" spans="1:130" x14ac:dyDescent="0.3">
      <c r="A232" s="18"/>
      <c r="B232" s="18"/>
      <c r="C232" s="18"/>
      <c r="D232" s="18"/>
      <c r="E232" s="18"/>
      <c r="F232" s="18"/>
      <c r="G232" s="18"/>
      <c r="H232" s="18"/>
      <c r="I232" s="18"/>
      <c r="J232" s="18"/>
      <c r="K232" s="18"/>
      <c r="L232" s="18"/>
      <c r="M232" s="18"/>
      <c r="N232" s="17"/>
      <c r="O232" s="17"/>
      <c r="P232" s="17"/>
      <c r="Q232" s="17"/>
      <c r="R232" s="17"/>
      <c r="S232" s="17"/>
      <c r="T232" s="17"/>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7"/>
      <c r="BT232" s="17"/>
      <c r="BU232" s="17"/>
      <c r="BV232" s="17"/>
      <c r="BW232" s="17"/>
      <c r="BX232" s="18"/>
      <c r="BY232" s="18"/>
      <c r="BZ232" s="18"/>
      <c r="CA232" s="18"/>
      <c r="CB232" s="17"/>
      <c r="CC232" s="17"/>
      <c r="CD232" s="17"/>
      <c r="CE232" s="18"/>
      <c r="CF232" s="18"/>
      <c r="CG232" s="18"/>
      <c r="CH232" s="18"/>
      <c r="CI232" s="18"/>
      <c r="CJ232" s="18"/>
      <c r="CK232" s="18"/>
      <c r="CL232" s="18"/>
      <c r="CM232" s="18"/>
      <c r="CN232" s="18"/>
      <c r="CO232" s="18"/>
      <c r="CP232" s="18"/>
      <c r="CQ232" s="18"/>
      <c r="CR232" s="18"/>
      <c r="CS232" s="18"/>
      <c r="CT232" s="18"/>
      <c r="CU232" s="18"/>
      <c r="CV232" s="18"/>
      <c r="CW232" s="18"/>
      <c r="CX232" s="18"/>
      <c r="CY232" s="37"/>
      <c r="CZ232" s="38"/>
      <c r="DA232" s="18"/>
      <c r="DB232" s="37"/>
      <c r="DC232" s="38"/>
      <c r="DD232" s="18"/>
      <c r="DE232" s="37"/>
      <c r="DF232" s="38"/>
      <c r="DG232" s="18"/>
      <c r="DH232" s="37"/>
      <c r="DI232" s="38"/>
      <c r="DJ232" s="18"/>
      <c r="DK232" s="37"/>
      <c r="DL232" s="38"/>
      <c r="DM232" s="18"/>
      <c r="DN232" s="18"/>
      <c r="DO232" s="18"/>
      <c r="DP232" s="18"/>
      <c r="DQ232" s="18"/>
      <c r="DR232" s="18"/>
      <c r="DS232" s="18"/>
      <c r="DT232" s="18"/>
      <c r="DU232" s="18"/>
      <c r="DV232" s="18"/>
      <c r="DW232" s="18"/>
      <c r="DX232" s="18"/>
      <c r="DY232" s="18"/>
      <c r="DZ232" s="18"/>
    </row>
    <row r="233" spans="1:130" x14ac:dyDescent="0.3">
      <c r="A233" s="18"/>
      <c r="B233" s="18"/>
      <c r="C233" s="18"/>
      <c r="D233" s="18"/>
      <c r="E233" s="18"/>
      <c r="F233" s="18"/>
      <c r="G233" s="18"/>
      <c r="H233" s="18"/>
      <c r="I233" s="18"/>
      <c r="J233" s="18"/>
      <c r="K233" s="18"/>
      <c r="L233" s="18"/>
      <c r="M233" s="18"/>
      <c r="N233" s="17"/>
      <c r="O233" s="17"/>
      <c r="P233" s="17"/>
      <c r="Q233" s="17"/>
      <c r="R233" s="17"/>
      <c r="S233" s="17"/>
      <c r="T233" s="17"/>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7"/>
      <c r="BT233" s="17"/>
      <c r="BU233" s="17"/>
      <c r="BV233" s="17"/>
      <c r="BW233" s="17"/>
      <c r="BX233" s="18"/>
      <c r="BY233" s="18"/>
      <c r="BZ233" s="18"/>
      <c r="CA233" s="18"/>
      <c r="CB233" s="17"/>
      <c r="CC233" s="17"/>
      <c r="CD233" s="17"/>
      <c r="CE233" s="18"/>
      <c r="CF233" s="18"/>
      <c r="CG233" s="18"/>
      <c r="CH233" s="18"/>
      <c r="CI233" s="18"/>
      <c r="CJ233" s="18"/>
      <c r="CK233" s="18"/>
      <c r="CL233" s="18"/>
      <c r="CM233" s="18"/>
      <c r="CN233" s="18"/>
      <c r="CO233" s="18"/>
      <c r="CP233" s="18"/>
      <c r="CQ233" s="18"/>
      <c r="CR233" s="18"/>
      <c r="CS233" s="18"/>
      <c r="CT233" s="18"/>
      <c r="CU233" s="18"/>
      <c r="CV233" s="18"/>
      <c r="CW233" s="18"/>
      <c r="CX233" s="18"/>
      <c r="CY233" s="37"/>
      <c r="CZ233" s="38"/>
      <c r="DA233" s="18"/>
      <c r="DB233" s="37"/>
      <c r="DC233" s="38"/>
      <c r="DD233" s="18"/>
      <c r="DE233" s="37"/>
      <c r="DF233" s="38"/>
      <c r="DG233" s="18"/>
      <c r="DH233" s="37"/>
      <c r="DI233" s="38"/>
      <c r="DJ233" s="18"/>
      <c r="DK233" s="37"/>
      <c r="DL233" s="38"/>
      <c r="DM233" s="18"/>
      <c r="DN233" s="18"/>
      <c r="DO233" s="18"/>
      <c r="DP233" s="18"/>
      <c r="DQ233" s="18"/>
      <c r="DR233" s="18"/>
      <c r="DS233" s="18"/>
      <c r="DT233" s="18"/>
      <c r="DU233" s="18"/>
      <c r="DV233" s="18"/>
      <c r="DW233" s="18"/>
      <c r="DX233" s="18"/>
      <c r="DY233" s="18"/>
      <c r="DZ233" s="18"/>
    </row>
    <row r="234" spans="1:130" x14ac:dyDescent="0.3">
      <c r="A234" s="18"/>
      <c r="B234" s="18"/>
      <c r="C234" s="18"/>
      <c r="D234" s="18"/>
      <c r="E234" s="18"/>
      <c r="F234" s="18"/>
      <c r="G234" s="18"/>
      <c r="H234" s="18"/>
      <c r="I234" s="18"/>
      <c r="J234" s="18"/>
      <c r="K234" s="18"/>
      <c r="L234" s="18"/>
      <c r="M234" s="18"/>
      <c r="N234" s="17"/>
      <c r="O234" s="17"/>
      <c r="P234" s="17"/>
      <c r="Q234" s="17"/>
      <c r="R234" s="17"/>
      <c r="S234" s="17"/>
      <c r="T234" s="17"/>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7"/>
      <c r="BT234" s="17"/>
      <c r="BU234" s="17"/>
      <c r="BV234" s="17"/>
      <c r="BW234" s="17"/>
      <c r="BX234" s="18"/>
      <c r="BY234" s="18"/>
      <c r="BZ234" s="18"/>
      <c r="CA234" s="18"/>
      <c r="CB234" s="17"/>
      <c r="CC234" s="17"/>
      <c r="CD234" s="17"/>
      <c r="CE234" s="18"/>
      <c r="CF234" s="18"/>
      <c r="CG234" s="18"/>
      <c r="CH234" s="18"/>
      <c r="CI234" s="18"/>
      <c r="CJ234" s="18"/>
      <c r="CK234" s="18"/>
      <c r="CL234" s="18"/>
      <c r="CM234" s="18"/>
      <c r="CN234" s="18"/>
      <c r="CO234" s="18"/>
      <c r="CP234" s="18"/>
      <c r="CQ234" s="18"/>
      <c r="CR234" s="18"/>
      <c r="CS234" s="18"/>
      <c r="CT234" s="18"/>
      <c r="CU234" s="18"/>
      <c r="CV234" s="18"/>
      <c r="CW234" s="18"/>
      <c r="CX234" s="18"/>
      <c r="CY234" s="37"/>
      <c r="CZ234" s="38"/>
      <c r="DA234" s="18"/>
      <c r="DB234" s="37"/>
      <c r="DC234" s="38"/>
      <c r="DD234" s="18"/>
      <c r="DE234" s="37"/>
      <c r="DF234" s="38"/>
      <c r="DG234" s="18"/>
      <c r="DH234" s="37"/>
      <c r="DI234" s="38"/>
      <c r="DJ234" s="18"/>
      <c r="DK234" s="37"/>
      <c r="DL234" s="38"/>
      <c r="DM234" s="18"/>
      <c r="DN234" s="18"/>
      <c r="DO234" s="18"/>
      <c r="DP234" s="18"/>
      <c r="DQ234" s="18"/>
      <c r="DR234" s="18"/>
      <c r="DS234" s="18"/>
      <c r="DT234" s="18"/>
      <c r="DU234" s="18"/>
      <c r="DV234" s="18"/>
      <c r="DW234" s="18"/>
      <c r="DX234" s="18"/>
      <c r="DY234" s="18"/>
      <c r="DZ234" s="18"/>
    </row>
    <row r="235" spans="1:130" x14ac:dyDescent="0.3">
      <c r="A235" s="18"/>
      <c r="B235" s="18"/>
      <c r="C235" s="18"/>
      <c r="D235" s="18"/>
      <c r="E235" s="18"/>
      <c r="F235" s="18"/>
      <c r="G235" s="18"/>
      <c r="H235" s="18"/>
      <c r="I235" s="18"/>
      <c r="J235" s="18"/>
      <c r="K235" s="18"/>
      <c r="L235" s="18"/>
      <c r="M235" s="18"/>
      <c r="N235" s="17"/>
      <c r="O235" s="17"/>
      <c r="P235" s="17"/>
      <c r="Q235" s="17"/>
      <c r="R235" s="17"/>
      <c r="S235" s="17"/>
      <c r="T235" s="17"/>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7"/>
      <c r="BT235" s="17"/>
      <c r="BU235" s="17"/>
      <c r="BV235" s="17"/>
      <c r="BW235" s="17"/>
      <c r="BX235" s="18"/>
      <c r="BY235" s="18"/>
      <c r="BZ235" s="18"/>
      <c r="CA235" s="18"/>
      <c r="CB235" s="17"/>
      <c r="CC235" s="17"/>
      <c r="CD235" s="17"/>
      <c r="CE235" s="18"/>
      <c r="CF235" s="18"/>
      <c r="CG235" s="18"/>
      <c r="CH235" s="18"/>
      <c r="CI235" s="18"/>
      <c r="CJ235" s="18"/>
      <c r="CK235" s="18"/>
      <c r="CL235" s="18"/>
      <c r="CM235" s="18"/>
      <c r="CN235" s="18"/>
      <c r="CO235" s="18"/>
      <c r="CP235" s="18"/>
      <c r="CQ235" s="18"/>
      <c r="CR235" s="18"/>
      <c r="CS235" s="18"/>
      <c r="CT235" s="18"/>
      <c r="CU235" s="18"/>
      <c r="CV235" s="18"/>
      <c r="CW235" s="18"/>
      <c r="CX235" s="18"/>
      <c r="CY235" s="37"/>
      <c r="CZ235" s="38"/>
      <c r="DA235" s="18"/>
      <c r="DB235" s="37"/>
      <c r="DC235" s="38"/>
      <c r="DD235" s="18"/>
      <c r="DE235" s="37"/>
      <c r="DF235" s="38"/>
      <c r="DG235" s="18"/>
      <c r="DH235" s="37"/>
      <c r="DI235" s="38"/>
      <c r="DJ235" s="18"/>
      <c r="DK235" s="37"/>
      <c r="DL235" s="38"/>
      <c r="DM235" s="18"/>
      <c r="DN235" s="18"/>
      <c r="DO235" s="18"/>
      <c r="DP235" s="18"/>
      <c r="DQ235" s="18"/>
      <c r="DR235" s="18"/>
      <c r="DS235" s="18"/>
      <c r="DT235" s="18"/>
      <c r="DU235" s="18"/>
      <c r="DV235" s="18"/>
      <c r="DW235" s="18"/>
      <c r="DX235" s="18"/>
      <c r="DY235" s="18"/>
      <c r="DZ235" s="18"/>
    </row>
    <row r="236" spans="1:130" x14ac:dyDescent="0.3">
      <c r="A236" s="18"/>
      <c r="B236" s="18"/>
      <c r="C236" s="18"/>
      <c r="D236" s="18"/>
      <c r="E236" s="18"/>
      <c r="F236" s="18"/>
      <c r="G236" s="18"/>
      <c r="H236" s="18"/>
      <c r="I236" s="18"/>
      <c r="J236" s="18"/>
      <c r="K236" s="18"/>
      <c r="L236" s="18"/>
      <c r="M236" s="18"/>
      <c r="N236" s="17"/>
      <c r="O236" s="17"/>
      <c r="P236" s="17"/>
      <c r="Q236" s="17"/>
      <c r="R236" s="17"/>
      <c r="S236" s="17"/>
      <c r="T236" s="17"/>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7"/>
      <c r="BT236" s="17"/>
      <c r="BU236" s="17"/>
      <c r="BV236" s="17"/>
      <c r="BW236" s="17"/>
      <c r="BX236" s="18"/>
      <c r="BY236" s="18"/>
      <c r="BZ236" s="18"/>
      <c r="CA236" s="18"/>
      <c r="CB236" s="17"/>
      <c r="CC236" s="17"/>
      <c r="CD236" s="17"/>
      <c r="CE236" s="18"/>
      <c r="CF236" s="18"/>
      <c r="CG236" s="18"/>
      <c r="CH236" s="18"/>
      <c r="CI236" s="18"/>
      <c r="CJ236" s="18"/>
      <c r="CK236" s="18"/>
      <c r="CL236" s="18"/>
      <c r="CM236" s="18"/>
      <c r="CN236" s="18"/>
      <c r="CO236" s="18"/>
      <c r="CP236" s="18"/>
      <c r="CQ236" s="18"/>
      <c r="CR236" s="18"/>
      <c r="CS236" s="18"/>
      <c r="CT236" s="18"/>
      <c r="CU236" s="18"/>
      <c r="CV236" s="18"/>
      <c r="CW236" s="18"/>
      <c r="CX236" s="18"/>
      <c r="CY236" s="37"/>
      <c r="CZ236" s="38"/>
      <c r="DA236" s="18"/>
      <c r="DB236" s="37"/>
      <c r="DC236" s="38"/>
      <c r="DD236" s="18"/>
      <c r="DE236" s="37"/>
      <c r="DF236" s="38"/>
      <c r="DG236" s="18"/>
      <c r="DH236" s="37"/>
      <c r="DI236" s="38"/>
      <c r="DJ236" s="18"/>
      <c r="DK236" s="37"/>
      <c r="DL236" s="38"/>
      <c r="DM236" s="18"/>
      <c r="DN236" s="18"/>
      <c r="DO236" s="18"/>
      <c r="DP236" s="18"/>
      <c r="DQ236" s="18"/>
      <c r="DR236" s="18"/>
      <c r="DS236" s="18"/>
      <c r="DT236" s="18"/>
      <c r="DU236" s="18"/>
      <c r="DV236" s="18"/>
      <c r="DW236" s="18"/>
      <c r="DX236" s="18"/>
      <c r="DY236" s="18"/>
      <c r="DZ236" s="18"/>
    </row>
    <row r="237" spans="1:130" x14ac:dyDescent="0.3">
      <c r="A237" s="18"/>
      <c r="B237" s="18"/>
      <c r="C237" s="18"/>
      <c r="D237" s="18"/>
      <c r="E237" s="18"/>
      <c r="F237" s="18"/>
      <c r="G237" s="18"/>
      <c r="H237" s="18"/>
      <c r="I237" s="18"/>
      <c r="J237" s="18"/>
      <c r="K237" s="18"/>
      <c r="L237" s="18"/>
      <c r="M237" s="18"/>
      <c r="N237" s="17"/>
      <c r="O237" s="17"/>
      <c r="P237" s="17"/>
      <c r="Q237" s="17"/>
      <c r="R237" s="17"/>
      <c r="S237" s="17"/>
      <c r="T237" s="17"/>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7"/>
      <c r="BT237" s="17"/>
      <c r="BU237" s="17"/>
      <c r="BV237" s="17"/>
      <c r="BW237" s="17"/>
      <c r="BX237" s="18"/>
      <c r="BY237" s="18"/>
      <c r="BZ237" s="18"/>
      <c r="CA237" s="18"/>
      <c r="CB237" s="17"/>
      <c r="CC237" s="17"/>
      <c r="CD237" s="17"/>
      <c r="CE237" s="18"/>
      <c r="CF237" s="18"/>
      <c r="CG237" s="18"/>
      <c r="CH237" s="18"/>
      <c r="CI237" s="18"/>
      <c r="CJ237" s="18"/>
      <c r="CK237" s="18"/>
      <c r="CL237" s="18"/>
      <c r="CM237" s="18"/>
      <c r="CN237" s="18"/>
      <c r="CO237" s="18"/>
      <c r="CP237" s="18"/>
      <c r="CQ237" s="18"/>
      <c r="CR237" s="18"/>
      <c r="CS237" s="18"/>
      <c r="CT237" s="18"/>
      <c r="CU237" s="18"/>
      <c r="CV237" s="18"/>
      <c r="CW237" s="18"/>
      <c r="CX237" s="18"/>
      <c r="CY237" s="37"/>
      <c r="CZ237" s="38"/>
      <c r="DA237" s="18"/>
      <c r="DB237" s="37"/>
      <c r="DC237" s="38"/>
      <c r="DD237" s="18"/>
      <c r="DE237" s="37"/>
      <c r="DF237" s="38"/>
      <c r="DG237" s="18"/>
      <c r="DH237" s="37"/>
      <c r="DI237" s="38"/>
      <c r="DJ237" s="18"/>
      <c r="DK237" s="37"/>
      <c r="DL237" s="38"/>
      <c r="DM237" s="18"/>
      <c r="DN237" s="18"/>
      <c r="DO237" s="18"/>
      <c r="DP237" s="18"/>
      <c r="DQ237" s="18"/>
      <c r="DR237" s="18"/>
      <c r="DS237" s="18"/>
      <c r="DT237" s="18"/>
      <c r="DU237" s="18"/>
      <c r="DV237" s="18"/>
      <c r="DW237" s="18"/>
      <c r="DX237" s="18"/>
      <c r="DY237" s="18"/>
      <c r="DZ237" s="18"/>
    </row>
    <row r="238" spans="1:130" x14ac:dyDescent="0.3">
      <c r="A238" s="18"/>
      <c r="B238" s="18"/>
      <c r="C238" s="18"/>
      <c r="D238" s="18"/>
      <c r="E238" s="18"/>
      <c r="F238" s="18"/>
      <c r="G238" s="18"/>
      <c r="H238" s="18"/>
      <c r="I238" s="18"/>
      <c r="J238" s="18"/>
      <c r="K238" s="18"/>
      <c r="L238" s="18"/>
      <c r="M238" s="18"/>
      <c r="N238" s="17"/>
      <c r="O238" s="17"/>
      <c r="P238" s="17"/>
      <c r="Q238" s="17"/>
      <c r="R238" s="17"/>
      <c r="S238" s="17"/>
      <c r="T238" s="17"/>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7"/>
      <c r="BT238" s="17"/>
      <c r="BU238" s="17"/>
      <c r="BV238" s="17"/>
      <c r="BW238" s="17"/>
      <c r="BX238" s="18"/>
      <c r="BY238" s="18"/>
      <c r="BZ238" s="18"/>
      <c r="CA238" s="18"/>
      <c r="CB238" s="17"/>
      <c r="CC238" s="17"/>
      <c r="CD238" s="17"/>
      <c r="CE238" s="18"/>
      <c r="CF238" s="18"/>
      <c r="CG238" s="18"/>
      <c r="CH238" s="18"/>
      <c r="CI238" s="18"/>
      <c r="CJ238" s="18"/>
      <c r="CK238" s="18"/>
      <c r="CL238" s="18"/>
      <c r="CM238" s="18"/>
      <c r="CN238" s="18"/>
      <c r="CO238" s="18"/>
      <c r="CP238" s="18"/>
      <c r="CQ238" s="18"/>
      <c r="CR238" s="18"/>
      <c r="CS238" s="18"/>
      <c r="CT238" s="18"/>
      <c r="CU238" s="18"/>
      <c r="CV238" s="18"/>
      <c r="CW238" s="18"/>
      <c r="CX238" s="18"/>
      <c r="CY238" s="37"/>
      <c r="CZ238" s="38"/>
      <c r="DA238" s="18"/>
      <c r="DB238" s="37"/>
      <c r="DC238" s="38"/>
      <c r="DD238" s="18"/>
      <c r="DE238" s="37"/>
      <c r="DF238" s="38"/>
      <c r="DG238" s="18"/>
      <c r="DH238" s="37"/>
      <c r="DI238" s="38"/>
      <c r="DJ238" s="18"/>
      <c r="DK238" s="37"/>
      <c r="DL238" s="38"/>
      <c r="DM238" s="18"/>
      <c r="DN238" s="18"/>
      <c r="DO238" s="18"/>
      <c r="DP238" s="18"/>
      <c r="DQ238" s="18"/>
      <c r="DR238" s="18"/>
      <c r="DS238" s="18"/>
      <c r="DT238" s="18"/>
      <c r="DU238" s="18"/>
      <c r="DV238" s="18"/>
      <c r="DW238" s="18"/>
      <c r="DX238" s="18"/>
      <c r="DY238" s="18"/>
      <c r="DZ238" s="18"/>
    </row>
    <row r="239" spans="1:130" x14ac:dyDescent="0.3">
      <c r="A239" s="18"/>
      <c r="B239" s="18"/>
      <c r="C239" s="18"/>
      <c r="D239" s="18"/>
      <c r="E239" s="18"/>
      <c r="F239" s="18"/>
      <c r="G239" s="18"/>
      <c r="H239" s="18"/>
      <c r="I239" s="18"/>
      <c r="J239" s="18"/>
      <c r="K239" s="18"/>
      <c r="L239" s="18"/>
      <c r="M239" s="18"/>
      <c r="N239" s="17"/>
      <c r="O239" s="17"/>
      <c r="P239" s="17"/>
      <c r="Q239" s="17"/>
      <c r="R239" s="17"/>
      <c r="S239" s="17"/>
      <c r="T239" s="17"/>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7"/>
      <c r="BT239" s="17"/>
      <c r="BU239" s="17"/>
      <c r="BV239" s="17"/>
      <c r="BW239" s="17"/>
      <c r="BX239" s="18"/>
      <c r="BY239" s="18"/>
      <c r="BZ239" s="18"/>
      <c r="CA239" s="18"/>
      <c r="CB239" s="17"/>
      <c r="CC239" s="17"/>
      <c r="CD239" s="17"/>
      <c r="CE239" s="18"/>
      <c r="CF239" s="18"/>
      <c r="CG239" s="18"/>
      <c r="CH239" s="18"/>
      <c r="CI239" s="18"/>
      <c r="CJ239" s="18"/>
      <c r="CK239" s="18"/>
      <c r="CL239" s="18"/>
      <c r="CM239" s="18"/>
      <c r="CN239" s="18"/>
      <c r="CO239" s="18"/>
      <c r="CP239" s="18"/>
      <c r="CQ239" s="18"/>
      <c r="CR239" s="18"/>
      <c r="CS239" s="18"/>
      <c r="CT239" s="18"/>
      <c r="CU239" s="18"/>
      <c r="CV239" s="18"/>
      <c r="CW239" s="18"/>
      <c r="CX239" s="18"/>
      <c r="CY239" s="37"/>
      <c r="CZ239" s="38"/>
      <c r="DA239" s="18"/>
      <c r="DB239" s="37"/>
      <c r="DC239" s="38"/>
      <c r="DD239" s="18"/>
      <c r="DE239" s="37"/>
      <c r="DF239" s="38"/>
      <c r="DG239" s="18"/>
      <c r="DH239" s="37"/>
      <c r="DI239" s="38"/>
      <c r="DJ239" s="18"/>
      <c r="DK239" s="37"/>
      <c r="DL239" s="38"/>
      <c r="DM239" s="18"/>
      <c r="DN239" s="18"/>
      <c r="DO239" s="18"/>
      <c r="DP239" s="18"/>
      <c r="DQ239" s="18"/>
      <c r="DR239" s="18"/>
      <c r="DS239" s="18"/>
      <c r="DT239" s="18"/>
      <c r="DU239" s="18"/>
      <c r="DV239" s="18"/>
      <c r="DW239" s="18"/>
      <c r="DX239" s="18"/>
      <c r="DY239" s="18"/>
      <c r="DZ239" s="18"/>
    </row>
    <row r="240" spans="1:130" x14ac:dyDescent="0.3">
      <c r="A240" s="18"/>
      <c r="B240" s="18"/>
      <c r="C240" s="18"/>
      <c r="D240" s="18"/>
      <c r="E240" s="18"/>
      <c r="F240" s="18"/>
      <c r="G240" s="18"/>
      <c r="H240" s="18"/>
      <c r="I240" s="18"/>
      <c r="J240" s="18"/>
      <c r="K240" s="18"/>
      <c r="L240" s="18"/>
      <c r="M240" s="18"/>
      <c r="N240" s="17"/>
      <c r="O240" s="17"/>
      <c r="P240" s="17"/>
      <c r="Q240" s="17"/>
      <c r="R240" s="17"/>
      <c r="S240" s="17"/>
      <c r="T240" s="17"/>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7"/>
      <c r="BT240" s="17"/>
      <c r="BU240" s="17"/>
      <c r="BV240" s="17"/>
      <c r="BW240" s="17"/>
      <c r="BX240" s="18"/>
      <c r="BY240" s="18"/>
      <c r="BZ240" s="18"/>
      <c r="CA240" s="18"/>
      <c r="CB240" s="17"/>
      <c r="CC240" s="17"/>
      <c r="CD240" s="17"/>
      <c r="CE240" s="18"/>
      <c r="CF240" s="18"/>
      <c r="CG240" s="18"/>
      <c r="CH240" s="18"/>
      <c r="CI240" s="18"/>
      <c r="CJ240" s="18"/>
      <c r="CK240" s="18"/>
      <c r="CL240" s="18"/>
      <c r="CM240" s="18"/>
      <c r="CN240" s="18"/>
      <c r="CO240" s="18"/>
      <c r="CP240" s="18"/>
      <c r="CQ240" s="18"/>
      <c r="CR240" s="18"/>
      <c r="CS240" s="18"/>
      <c r="CT240" s="18"/>
      <c r="CU240" s="18"/>
      <c r="CV240" s="18"/>
      <c r="CW240" s="18"/>
      <c r="CX240" s="18"/>
      <c r="CY240" s="37"/>
      <c r="CZ240" s="38"/>
      <c r="DA240" s="18"/>
      <c r="DB240" s="37"/>
      <c r="DC240" s="38"/>
      <c r="DD240" s="18"/>
      <c r="DE240" s="37"/>
      <c r="DF240" s="38"/>
      <c r="DG240" s="18"/>
      <c r="DH240" s="37"/>
      <c r="DI240" s="38"/>
      <c r="DJ240" s="18"/>
      <c r="DK240" s="37"/>
      <c r="DL240" s="38"/>
      <c r="DM240" s="18"/>
      <c r="DN240" s="18"/>
      <c r="DO240" s="18"/>
      <c r="DP240" s="18"/>
      <c r="DQ240" s="18"/>
      <c r="DR240" s="18"/>
      <c r="DS240" s="18"/>
      <c r="DT240" s="18"/>
      <c r="DU240" s="18"/>
      <c r="DV240" s="18"/>
      <c r="DW240" s="18"/>
      <c r="DX240" s="18"/>
      <c r="DY240" s="18"/>
      <c r="DZ240" s="18"/>
    </row>
    <row r="241" spans="1:130" x14ac:dyDescent="0.3">
      <c r="A241" s="18"/>
      <c r="B241" s="18"/>
      <c r="C241" s="18"/>
      <c r="D241" s="18"/>
      <c r="E241" s="18"/>
      <c r="F241" s="18"/>
      <c r="G241" s="18"/>
      <c r="H241" s="18"/>
      <c r="I241" s="18"/>
      <c r="J241" s="18"/>
      <c r="K241" s="18"/>
      <c r="L241" s="18"/>
      <c r="M241" s="18"/>
      <c r="N241" s="17"/>
      <c r="O241" s="17"/>
      <c r="P241" s="17"/>
      <c r="Q241" s="17"/>
      <c r="R241" s="17"/>
      <c r="S241" s="17"/>
      <c r="T241" s="17"/>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7"/>
      <c r="BT241" s="17"/>
      <c r="BU241" s="17"/>
      <c r="BV241" s="17"/>
      <c r="BW241" s="17"/>
      <c r="BX241" s="18"/>
      <c r="BY241" s="18"/>
      <c r="BZ241" s="18"/>
      <c r="CA241" s="18"/>
      <c r="CB241" s="17"/>
      <c r="CC241" s="17"/>
      <c r="CD241" s="17"/>
      <c r="CE241" s="18"/>
      <c r="CF241" s="18"/>
      <c r="CG241" s="18"/>
      <c r="CH241" s="18"/>
      <c r="CI241" s="18"/>
      <c r="CJ241" s="18"/>
      <c r="CK241" s="18"/>
      <c r="CL241" s="18"/>
      <c r="CM241" s="18"/>
      <c r="CN241" s="18"/>
      <c r="CO241" s="18"/>
      <c r="CP241" s="18"/>
      <c r="CQ241" s="18"/>
      <c r="CR241" s="18"/>
      <c r="CS241" s="18"/>
      <c r="CT241" s="18"/>
      <c r="CU241" s="18"/>
      <c r="CV241" s="18"/>
      <c r="CW241" s="18"/>
      <c r="CX241" s="18"/>
      <c r="CY241" s="37"/>
      <c r="CZ241" s="38"/>
      <c r="DA241" s="18"/>
      <c r="DB241" s="37"/>
      <c r="DC241" s="38"/>
      <c r="DD241" s="18"/>
      <c r="DE241" s="37"/>
      <c r="DF241" s="38"/>
      <c r="DG241" s="18"/>
      <c r="DH241" s="37"/>
      <c r="DI241" s="38"/>
      <c r="DJ241" s="18"/>
      <c r="DK241" s="37"/>
      <c r="DL241" s="38"/>
      <c r="DM241" s="18"/>
      <c r="DN241" s="18"/>
      <c r="DO241" s="18"/>
      <c r="DP241" s="18"/>
      <c r="DQ241" s="18"/>
      <c r="DR241" s="18"/>
      <c r="DS241" s="18"/>
      <c r="DT241" s="18"/>
      <c r="DU241" s="18"/>
      <c r="DV241" s="18"/>
      <c r="DW241" s="18"/>
      <c r="DX241" s="18"/>
      <c r="DY241" s="18"/>
      <c r="DZ241" s="18"/>
    </row>
    <row r="242" spans="1:130" x14ac:dyDescent="0.3">
      <c r="A242" s="18"/>
      <c r="B242" s="18"/>
      <c r="C242" s="18"/>
      <c r="D242" s="18"/>
      <c r="E242" s="18"/>
      <c r="F242" s="18"/>
      <c r="G242" s="18"/>
      <c r="H242" s="18"/>
      <c r="I242" s="18"/>
      <c r="J242" s="18"/>
      <c r="K242" s="18"/>
      <c r="L242" s="18"/>
      <c r="M242" s="18"/>
      <c r="N242" s="17"/>
      <c r="O242" s="17"/>
      <c r="P242" s="17"/>
      <c r="Q242" s="17"/>
      <c r="R242" s="17"/>
      <c r="S242" s="17"/>
      <c r="T242" s="17"/>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7"/>
      <c r="BT242" s="17"/>
      <c r="BU242" s="17"/>
      <c r="BV242" s="17"/>
      <c r="BW242" s="17"/>
      <c r="BX242" s="18"/>
      <c r="BY242" s="18"/>
      <c r="BZ242" s="18"/>
      <c r="CA242" s="18"/>
      <c r="CB242" s="17"/>
      <c r="CC242" s="17"/>
      <c r="CD242" s="17"/>
      <c r="CE242" s="18"/>
      <c r="CF242" s="18"/>
      <c r="CG242" s="18"/>
      <c r="CH242" s="18"/>
      <c r="CI242" s="18"/>
      <c r="CJ242" s="18"/>
      <c r="CK242" s="18"/>
      <c r="CL242" s="18"/>
      <c r="CM242" s="18"/>
      <c r="CN242" s="18"/>
      <c r="CO242" s="18"/>
      <c r="CP242" s="18"/>
      <c r="CQ242" s="18"/>
      <c r="CR242" s="18"/>
      <c r="CS242" s="18"/>
      <c r="CT242" s="18"/>
      <c r="CU242" s="18"/>
      <c r="CV242" s="18"/>
      <c r="CW242" s="18"/>
      <c r="CX242" s="18"/>
      <c r="CY242" s="37"/>
      <c r="CZ242" s="38"/>
      <c r="DA242" s="18"/>
      <c r="DB242" s="37"/>
      <c r="DC242" s="38"/>
      <c r="DD242" s="18"/>
      <c r="DE242" s="37"/>
      <c r="DF242" s="38"/>
      <c r="DG242" s="18"/>
      <c r="DH242" s="37"/>
      <c r="DI242" s="38"/>
      <c r="DJ242" s="18"/>
      <c r="DK242" s="37"/>
      <c r="DL242" s="38"/>
      <c r="DM242" s="18"/>
      <c r="DN242" s="18"/>
      <c r="DO242" s="18"/>
      <c r="DP242" s="18"/>
      <c r="DQ242" s="18"/>
      <c r="DR242" s="18"/>
      <c r="DS242" s="18"/>
      <c r="DT242" s="18"/>
      <c r="DU242" s="18"/>
      <c r="DV242" s="18"/>
      <c r="DW242" s="18"/>
      <c r="DX242" s="18"/>
      <c r="DY242" s="18"/>
      <c r="DZ242" s="18"/>
    </row>
    <row r="243" spans="1:130" x14ac:dyDescent="0.3">
      <c r="A243" s="18"/>
      <c r="B243" s="18"/>
      <c r="C243" s="18"/>
      <c r="D243" s="18"/>
      <c r="E243" s="18"/>
      <c r="F243" s="18"/>
      <c r="G243" s="18"/>
      <c r="H243" s="18"/>
      <c r="I243" s="18"/>
      <c r="J243" s="18"/>
      <c r="K243" s="18"/>
      <c r="L243" s="18"/>
      <c r="M243" s="18"/>
      <c r="N243" s="17"/>
      <c r="O243" s="17"/>
      <c r="P243" s="17"/>
      <c r="Q243" s="17"/>
      <c r="R243" s="17"/>
      <c r="S243" s="17"/>
      <c r="T243" s="17"/>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7"/>
      <c r="BT243" s="17"/>
      <c r="BU243" s="17"/>
      <c r="BV243" s="17"/>
      <c r="BW243" s="17"/>
      <c r="BX243" s="18"/>
      <c r="BY243" s="18"/>
      <c r="BZ243" s="18"/>
      <c r="CA243" s="18"/>
      <c r="CB243" s="17"/>
      <c r="CC243" s="17"/>
      <c r="CD243" s="17"/>
      <c r="CE243" s="18"/>
      <c r="CF243" s="18"/>
      <c r="CG243" s="18"/>
      <c r="CH243" s="18"/>
      <c r="CI243" s="18"/>
      <c r="CJ243" s="18"/>
      <c r="CK243" s="18"/>
      <c r="CL243" s="18"/>
      <c r="CM243" s="18"/>
      <c r="CN243" s="18"/>
      <c r="CO243" s="18"/>
      <c r="CP243" s="18"/>
      <c r="CQ243" s="18"/>
      <c r="CR243" s="18"/>
      <c r="CS243" s="18"/>
      <c r="CT243" s="18"/>
      <c r="CU243" s="18"/>
      <c r="CV243" s="18"/>
      <c r="CW243" s="18"/>
      <c r="CX243" s="18"/>
      <c r="CY243" s="37"/>
      <c r="CZ243" s="38"/>
      <c r="DA243" s="18"/>
      <c r="DB243" s="37"/>
      <c r="DC243" s="38"/>
      <c r="DD243" s="18"/>
      <c r="DE243" s="37"/>
      <c r="DF243" s="38"/>
      <c r="DG243" s="18"/>
      <c r="DH243" s="37"/>
      <c r="DI243" s="38"/>
      <c r="DJ243" s="18"/>
      <c r="DK243" s="37"/>
      <c r="DL243" s="38"/>
      <c r="DM243" s="18"/>
      <c r="DN243" s="18"/>
      <c r="DO243" s="18"/>
      <c r="DP243" s="18"/>
      <c r="DQ243" s="18"/>
      <c r="DR243" s="18"/>
      <c r="DS243" s="18"/>
      <c r="DT243" s="18"/>
      <c r="DU243" s="18"/>
      <c r="DV243" s="18"/>
      <c r="DW243" s="18"/>
      <c r="DX243" s="18"/>
      <c r="DY243" s="18"/>
      <c r="DZ243" s="18"/>
    </row>
    <row r="244" spans="1:130" x14ac:dyDescent="0.3">
      <c r="A244" s="18"/>
      <c r="B244" s="18"/>
      <c r="C244" s="18"/>
      <c r="D244" s="18"/>
      <c r="E244" s="18"/>
      <c r="F244" s="18"/>
      <c r="G244" s="18"/>
      <c r="H244" s="18"/>
      <c r="I244" s="18"/>
      <c r="J244" s="18"/>
      <c r="K244" s="18"/>
      <c r="L244" s="18"/>
      <c r="M244" s="18"/>
      <c r="N244" s="17"/>
      <c r="O244" s="17"/>
      <c r="P244" s="17"/>
      <c r="Q244" s="17"/>
      <c r="R244" s="17"/>
      <c r="S244" s="17"/>
      <c r="T244" s="17"/>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7"/>
      <c r="BT244" s="17"/>
      <c r="BU244" s="17"/>
      <c r="BV244" s="17"/>
      <c r="BW244" s="17"/>
      <c r="BX244" s="18"/>
      <c r="BY244" s="18"/>
      <c r="BZ244" s="18"/>
      <c r="CA244" s="18"/>
      <c r="CB244" s="17"/>
      <c r="CC244" s="17"/>
      <c r="CD244" s="17"/>
      <c r="CE244" s="18"/>
      <c r="CF244" s="18"/>
      <c r="CG244" s="18"/>
      <c r="CH244" s="18"/>
      <c r="CI244" s="18"/>
      <c r="CJ244" s="18"/>
      <c r="CK244" s="18"/>
      <c r="CL244" s="18"/>
      <c r="CM244" s="18"/>
      <c r="CN244" s="18"/>
      <c r="CO244" s="18"/>
      <c r="CP244" s="18"/>
      <c r="CQ244" s="18"/>
      <c r="CR244" s="18"/>
      <c r="CS244" s="18"/>
      <c r="CT244" s="18"/>
      <c r="CU244" s="18"/>
      <c r="CV244" s="18"/>
      <c r="CW244" s="18"/>
      <c r="CX244" s="18"/>
      <c r="CY244" s="37"/>
      <c r="CZ244" s="38"/>
      <c r="DA244" s="18"/>
      <c r="DB244" s="37"/>
      <c r="DC244" s="38"/>
      <c r="DD244" s="18"/>
      <c r="DE244" s="37"/>
      <c r="DF244" s="38"/>
      <c r="DG244" s="18"/>
      <c r="DH244" s="37"/>
      <c r="DI244" s="38"/>
      <c r="DJ244" s="18"/>
      <c r="DK244" s="37"/>
      <c r="DL244" s="38"/>
      <c r="DM244" s="18"/>
      <c r="DN244" s="18"/>
      <c r="DO244" s="18"/>
      <c r="DP244" s="18"/>
      <c r="DQ244" s="18"/>
      <c r="DR244" s="18"/>
      <c r="DS244" s="18"/>
      <c r="DT244" s="18"/>
      <c r="DU244" s="18"/>
      <c r="DV244" s="18"/>
      <c r="DW244" s="18"/>
      <c r="DX244" s="18"/>
      <c r="DY244" s="18"/>
      <c r="DZ244" s="18"/>
    </row>
    <row r="245" spans="1:130" x14ac:dyDescent="0.3">
      <c r="A245" s="18"/>
      <c r="B245" s="18"/>
      <c r="C245" s="18"/>
      <c r="D245" s="18"/>
      <c r="E245" s="18"/>
      <c r="F245" s="18"/>
      <c r="G245" s="18"/>
      <c r="H245" s="18"/>
      <c r="I245" s="18"/>
      <c r="J245" s="18"/>
      <c r="K245" s="18"/>
      <c r="L245" s="18"/>
      <c r="M245" s="18"/>
      <c r="N245" s="17"/>
      <c r="O245" s="17"/>
      <c r="P245" s="17"/>
      <c r="Q245" s="17"/>
      <c r="R245" s="17"/>
      <c r="S245" s="17"/>
      <c r="T245" s="17"/>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7"/>
      <c r="BT245" s="17"/>
      <c r="BU245" s="17"/>
      <c r="BV245" s="17"/>
      <c r="BW245" s="17"/>
      <c r="BX245" s="18"/>
      <c r="BY245" s="18"/>
      <c r="BZ245" s="18"/>
      <c r="CA245" s="18"/>
      <c r="CB245" s="17"/>
      <c r="CC245" s="17"/>
      <c r="CD245" s="17"/>
      <c r="CE245" s="18"/>
      <c r="CF245" s="18"/>
      <c r="CG245" s="18"/>
      <c r="CH245" s="18"/>
      <c r="CI245" s="18"/>
      <c r="CJ245" s="18"/>
      <c r="CK245" s="18"/>
      <c r="CL245" s="18"/>
      <c r="CM245" s="18"/>
      <c r="CN245" s="18"/>
      <c r="CO245" s="18"/>
      <c r="CP245" s="18"/>
      <c r="CQ245" s="18"/>
      <c r="CR245" s="18"/>
      <c r="CS245" s="18"/>
      <c r="CT245" s="18"/>
      <c r="CU245" s="18"/>
      <c r="CV245" s="18"/>
      <c r="CW245" s="18"/>
      <c r="CX245" s="18"/>
      <c r="CY245" s="37"/>
      <c r="CZ245" s="38"/>
      <c r="DA245" s="18"/>
      <c r="DB245" s="37"/>
      <c r="DC245" s="38"/>
      <c r="DD245" s="18"/>
      <c r="DE245" s="37"/>
      <c r="DF245" s="38"/>
      <c r="DG245" s="18"/>
      <c r="DH245" s="37"/>
      <c r="DI245" s="38"/>
      <c r="DJ245" s="18"/>
      <c r="DK245" s="37"/>
      <c r="DL245" s="38"/>
      <c r="DM245" s="18"/>
      <c r="DN245" s="18"/>
      <c r="DO245" s="18"/>
      <c r="DP245" s="18"/>
      <c r="DQ245" s="18"/>
      <c r="DR245" s="18"/>
      <c r="DS245" s="18"/>
      <c r="DT245" s="18"/>
      <c r="DU245" s="18"/>
      <c r="DV245" s="18"/>
      <c r="DW245" s="18"/>
      <c r="DX245" s="18"/>
      <c r="DY245" s="18"/>
      <c r="DZ245" s="18"/>
    </row>
    <row r="246" spans="1:130" x14ac:dyDescent="0.3">
      <c r="A246" s="18"/>
      <c r="B246" s="18"/>
      <c r="C246" s="18"/>
      <c r="D246" s="18"/>
      <c r="E246" s="18"/>
      <c r="F246" s="18"/>
      <c r="G246" s="18"/>
      <c r="H246" s="18"/>
      <c r="I246" s="18"/>
      <c r="J246" s="18"/>
      <c r="K246" s="18"/>
      <c r="L246" s="18"/>
      <c r="M246" s="18"/>
      <c r="N246" s="17"/>
      <c r="O246" s="17"/>
      <c r="P246" s="17"/>
      <c r="Q246" s="17"/>
      <c r="R246" s="17"/>
      <c r="S246" s="17"/>
      <c r="T246" s="17"/>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7"/>
      <c r="BT246" s="17"/>
      <c r="BU246" s="17"/>
      <c r="BV246" s="17"/>
      <c r="BW246" s="17"/>
      <c r="BX246" s="18"/>
      <c r="BY246" s="18"/>
      <c r="BZ246" s="18"/>
      <c r="CA246" s="18"/>
      <c r="CB246" s="17"/>
      <c r="CC246" s="17"/>
      <c r="CD246" s="17"/>
      <c r="CE246" s="18"/>
      <c r="CF246" s="18"/>
      <c r="CG246" s="18"/>
      <c r="CH246" s="18"/>
      <c r="CI246" s="18"/>
      <c r="CJ246" s="18"/>
      <c r="CK246" s="18"/>
      <c r="CL246" s="18"/>
      <c r="CM246" s="18"/>
      <c r="CN246" s="18"/>
      <c r="CO246" s="18"/>
      <c r="CP246" s="18"/>
      <c r="CQ246" s="18"/>
      <c r="CR246" s="18"/>
      <c r="CS246" s="18"/>
      <c r="CT246" s="18"/>
      <c r="CU246" s="18"/>
      <c r="CV246" s="18"/>
      <c r="CW246" s="18"/>
      <c r="CX246" s="18"/>
      <c r="CY246" s="37"/>
      <c r="CZ246" s="38"/>
      <c r="DA246" s="18"/>
      <c r="DB246" s="37"/>
      <c r="DC246" s="38"/>
      <c r="DD246" s="18"/>
      <c r="DE246" s="37"/>
      <c r="DF246" s="38"/>
      <c r="DG246" s="18"/>
      <c r="DH246" s="37"/>
      <c r="DI246" s="38"/>
      <c r="DJ246" s="18"/>
      <c r="DK246" s="37"/>
      <c r="DL246" s="38"/>
      <c r="DM246" s="18"/>
      <c r="DN246" s="18"/>
      <c r="DO246" s="18"/>
      <c r="DP246" s="18"/>
      <c r="DQ246" s="18"/>
      <c r="DR246" s="18"/>
      <c r="DS246" s="18"/>
      <c r="DT246" s="18"/>
      <c r="DU246" s="18"/>
      <c r="DV246" s="18"/>
      <c r="DW246" s="18"/>
      <c r="DX246" s="18"/>
      <c r="DY246" s="18"/>
      <c r="DZ246" s="18"/>
    </row>
    <row r="247" spans="1:130" x14ac:dyDescent="0.3">
      <c r="A247" s="18"/>
      <c r="B247" s="18"/>
      <c r="C247" s="18"/>
      <c r="D247" s="18"/>
      <c r="E247" s="18"/>
      <c r="F247" s="18"/>
      <c r="G247" s="18"/>
      <c r="H247" s="18"/>
      <c r="I247" s="18"/>
      <c r="J247" s="18"/>
      <c r="K247" s="18"/>
      <c r="L247" s="18"/>
      <c r="M247" s="18"/>
      <c r="N247" s="17"/>
      <c r="O247" s="17"/>
      <c r="P247" s="17"/>
      <c r="Q247" s="17"/>
      <c r="R247" s="17"/>
      <c r="S247" s="17"/>
      <c r="T247" s="17"/>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7"/>
      <c r="BT247" s="17"/>
      <c r="BU247" s="17"/>
      <c r="BV247" s="17"/>
      <c r="BW247" s="17"/>
      <c r="BX247" s="18"/>
      <c r="BY247" s="18"/>
      <c r="BZ247" s="18"/>
      <c r="CA247" s="18"/>
      <c r="CB247" s="17"/>
      <c r="CC247" s="17"/>
      <c r="CD247" s="17"/>
      <c r="CE247" s="18"/>
      <c r="CF247" s="18"/>
      <c r="CG247" s="18"/>
      <c r="CH247" s="18"/>
      <c r="CI247" s="18"/>
      <c r="CJ247" s="18"/>
      <c r="CK247" s="18"/>
      <c r="CL247" s="18"/>
      <c r="CM247" s="18"/>
      <c r="CN247" s="18"/>
      <c r="CO247" s="18"/>
      <c r="CP247" s="18"/>
      <c r="CQ247" s="18"/>
      <c r="CR247" s="18"/>
      <c r="CS247" s="18"/>
      <c r="CT247" s="18"/>
      <c r="CU247" s="18"/>
      <c r="CV247" s="18"/>
      <c r="CW247" s="18"/>
      <c r="CX247" s="18"/>
      <c r="CY247" s="37"/>
      <c r="CZ247" s="38"/>
      <c r="DA247" s="18"/>
      <c r="DB247" s="37"/>
      <c r="DC247" s="38"/>
      <c r="DD247" s="18"/>
      <c r="DE247" s="37"/>
      <c r="DF247" s="38"/>
      <c r="DG247" s="18"/>
      <c r="DH247" s="37"/>
      <c r="DI247" s="38"/>
      <c r="DJ247" s="18"/>
      <c r="DK247" s="37"/>
      <c r="DL247" s="38"/>
      <c r="DM247" s="18"/>
      <c r="DN247" s="18"/>
      <c r="DO247" s="18"/>
      <c r="DP247" s="18"/>
      <c r="DQ247" s="18"/>
      <c r="DR247" s="18"/>
      <c r="DS247" s="18"/>
      <c r="DT247" s="18"/>
      <c r="DU247" s="18"/>
      <c r="DV247" s="18"/>
      <c r="DW247" s="18"/>
      <c r="DX247" s="18"/>
      <c r="DY247" s="18"/>
      <c r="DZ247" s="18"/>
    </row>
    <row r="248" spans="1:130" x14ac:dyDescent="0.3">
      <c r="A248" s="18"/>
      <c r="B248" s="18"/>
      <c r="C248" s="18"/>
      <c r="D248" s="18"/>
      <c r="E248" s="18"/>
      <c r="F248" s="18"/>
      <c r="G248" s="18"/>
      <c r="H248" s="18"/>
      <c r="I248" s="18"/>
      <c r="J248" s="18"/>
      <c r="K248" s="18"/>
      <c r="L248" s="18"/>
      <c r="M248" s="18"/>
      <c r="N248" s="17"/>
      <c r="O248" s="17"/>
      <c r="P248" s="17"/>
      <c r="Q248" s="17"/>
      <c r="R248" s="17"/>
      <c r="S248" s="17"/>
      <c r="T248" s="17"/>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7"/>
      <c r="BT248" s="17"/>
      <c r="BU248" s="17"/>
      <c r="BV248" s="17"/>
      <c r="BW248" s="17"/>
      <c r="BX248" s="18"/>
      <c r="BY248" s="18"/>
      <c r="BZ248" s="18"/>
      <c r="CA248" s="18"/>
      <c r="CB248" s="17"/>
      <c r="CC248" s="17"/>
      <c r="CD248" s="17"/>
      <c r="CE248" s="18"/>
      <c r="CF248" s="18"/>
      <c r="CG248" s="18"/>
      <c r="CH248" s="18"/>
      <c r="CI248" s="18"/>
      <c r="CJ248" s="18"/>
      <c r="CK248" s="18"/>
      <c r="CL248" s="18"/>
      <c r="CM248" s="18"/>
      <c r="CN248" s="18"/>
      <c r="CO248" s="18"/>
      <c r="CP248" s="18"/>
      <c r="CQ248" s="18"/>
      <c r="CR248" s="18"/>
      <c r="CS248" s="18"/>
      <c r="CT248" s="18"/>
      <c r="CU248" s="18"/>
      <c r="CV248" s="18"/>
      <c r="CW248" s="18"/>
      <c r="CX248" s="18"/>
      <c r="CY248" s="37"/>
      <c r="CZ248" s="38"/>
      <c r="DA248" s="18"/>
      <c r="DB248" s="37"/>
      <c r="DC248" s="38"/>
      <c r="DD248" s="18"/>
      <c r="DE248" s="37"/>
      <c r="DF248" s="38"/>
      <c r="DG248" s="18"/>
      <c r="DH248" s="37"/>
      <c r="DI248" s="38"/>
      <c r="DJ248" s="18"/>
      <c r="DK248" s="37"/>
      <c r="DL248" s="38"/>
      <c r="DM248" s="18"/>
      <c r="DN248" s="18"/>
      <c r="DO248" s="18"/>
      <c r="DP248" s="18"/>
      <c r="DQ248" s="18"/>
      <c r="DR248" s="18"/>
      <c r="DS248" s="18"/>
      <c r="DT248" s="18"/>
      <c r="DU248" s="18"/>
      <c r="DV248" s="18"/>
      <c r="DW248" s="18"/>
      <c r="DX248" s="18"/>
      <c r="DY248" s="18"/>
      <c r="DZ248" s="18"/>
    </row>
    <row r="249" spans="1:130" x14ac:dyDescent="0.3">
      <c r="A249" s="18"/>
      <c r="B249" s="18"/>
      <c r="C249" s="18"/>
      <c r="D249" s="18"/>
      <c r="E249" s="18"/>
      <c r="F249" s="18"/>
      <c r="G249" s="18"/>
      <c r="H249" s="18"/>
      <c r="I249" s="18"/>
      <c r="J249" s="18"/>
      <c r="K249" s="18"/>
      <c r="L249" s="18"/>
      <c r="M249" s="18"/>
      <c r="N249" s="17"/>
      <c r="O249" s="17"/>
      <c r="P249" s="17"/>
      <c r="Q249" s="17"/>
      <c r="R249" s="17"/>
      <c r="S249" s="17"/>
      <c r="T249" s="17"/>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7"/>
      <c r="BT249" s="17"/>
      <c r="BU249" s="17"/>
      <c r="BV249" s="17"/>
      <c r="BW249" s="17"/>
      <c r="BX249" s="18"/>
      <c r="BY249" s="18"/>
      <c r="BZ249" s="18"/>
      <c r="CA249" s="18"/>
      <c r="CB249" s="17"/>
      <c r="CC249" s="17"/>
      <c r="CD249" s="17"/>
      <c r="CE249" s="18"/>
      <c r="CF249" s="18"/>
      <c r="CG249" s="18"/>
      <c r="CH249" s="18"/>
      <c r="CI249" s="18"/>
      <c r="CJ249" s="18"/>
      <c r="CK249" s="18"/>
      <c r="CL249" s="18"/>
      <c r="CM249" s="18"/>
      <c r="CN249" s="18"/>
      <c r="CO249" s="18"/>
      <c r="CP249" s="18"/>
      <c r="CQ249" s="18"/>
      <c r="CR249" s="18"/>
      <c r="CS249" s="18"/>
      <c r="CT249" s="18"/>
      <c r="CU249" s="18"/>
      <c r="CV249" s="18"/>
      <c r="CW249" s="18"/>
      <c r="CX249" s="18"/>
      <c r="CY249" s="37"/>
      <c r="CZ249" s="38"/>
      <c r="DA249" s="18"/>
      <c r="DB249" s="37"/>
      <c r="DC249" s="38"/>
      <c r="DD249" s="18"/>
      <c r="DE249" s="37"/>
      <c r="DF249" s="38"/>
      <c r="DG249" s="18"/>
      <c r="DH249" s="37"/>
      <c r="DI249" s="38"/>
      <c r="DJ249" s="18"/>
      <c r="DK249" s="37"/>
      <c r="DL249" s="38"/>
      <c r="DM249" s="18"/>
      <c r="DN249" s="18"/>
      <c r="DO249" s="18"/>
      <c r="DP249" s="18"/>
      <c r="DQ249" s="18"/>
      <c r="DR249" s="18"/>
      <c r="DS249" s="18"/>
      <c r="DT249" s="18"/>
      <c r="DU249" s="18"/>
      <c r="DV249" s="18"/>
      <c r="DW249" s="18"/>
      <c r="DX249" s="18"/>
      <c r="DY249" s="18"/>
      <c r="DZ249" s="18"/>
    </row>
    <row r="250" spans="1:130" x14ac:dyDescent="0.3">
      <c r="A250" s="18"/>
      <c r="B250" s="18"/>
      <c r="C250" s="18"/>
      <c r="D250" s="18"/>
      <c r="E250" s="18"/>
      <c r="F250" s="18"/>
      <c r="G250" s="18"/>
      <c r="H250" s="18"/>
      <c r="I250" s="18"/>
      <c r="J250" s="18"/>
      <c r="K250" s="18"/>
      <c r="L250" s="18"/>
      <c r="M250" s="18"/>
      <c r="N250" s="17"/>
      <c r="O250" s="17"/>
      <c r="P250" s="17"/>
      <c r="Q250" s="17"/>
      <c r="R250" s="17"/>
      <c r="S250" s="17"/>
      <c r="T250" s="17"/>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7"/>
      <c r="BT250" s="17"/>
      <c r="BU250" s="17"/>
      <c r="BV250" s="17"/>
      <c r="BW250" s="17"/>
      <c r="BX250" s="18"/>
      <c r="BY250" s="18"/>
      <c r="BZ250" s="18"/>
      <c r="CA250" s="18"/>
      <c r="CB250" s="17"/>
      <c r="CC250" s="17"/>
      <c r="CD250" s="17"/>
      <c r="CE250" s="18"/>
      <c r="CF250" s="18"/>
      <c r="CG250" s="18"/>
      <c r="CH250" s="18"/>
      <c r="CI250" s="18"/>
      <c r="CJ250" s="18"/>
      <c r="CK250" s="18"/>
      <c r="CL250" s="18"/>
      <c r="CM250" s="18"/>
      <c r="CN250" s="18"/>
      <c r="CO250" s="18"/>
      <c r="CP250" s="18"/>
      <c r="CQ250" s="18"/>
      <c r="CR250" s="18"/>
      <c r="CS250" s="18"/>
      <c r="CT250" s="18"/>
      <c r="CU250" s="18"/>
      <c r="CV250" s="18"/>
      <c r="CW250" s="18"/>
      <c r="CX250" s="18"/>
      <c r="CY250" s="37"/>
      <c r="CZ250" s="38"/>
      <c r="DA250" s="18"/>
      <c r="DB250" s="37"/>
      <c r="DC250" s="38"/>
      <c r="DD250" s="18"/>
      <c r="DE250" s="37"/>
      <c r="DF250" s="38"/>
      <c r="DG250" s="18"/>
      <c r="DH250" s="37"/>
      <c r="DI250" s="38"/>
      <c r="DJ250" s="18"/>
      <c r="DK250" s="37"/>
      <c r="DL250" s="38"/>
      <c r="DM250" s="18"/>
      <c r="DN250" s="18"/>
      <c r="DO250" s="18"/>
      <c r="DP250" s="18"/>
      <c r="DQ250" s="18"/>
      <c r="DR250" s="18"/>
      <c r="DS250" s="18"/>
      <c r="DT250" s="18"/>
      <c r="DU250" s="18"/>
      <c r="DV250" s="18"/>
      <c r="DW250" s="18"/>
      <c r="DX250" s="18"/>
      <c r="DY250" s="18"/>
      <c r="DZ250" s="18"/>
    </row>
    <row r="251" spans="1:130" x14ac:dyDescent="0.3">
      <c r="A251" s="18"/>
      <c r="B251" s="18"/>
      <c r="C251" s="18"/>
      <c r="D251" s="18"/>
      <c r="E251" s="18"/>
      <c r="F251" s="18"/>
      <c r="G251" s="18"/>
      <c r="H251" s="18"/>
      <c r="I251" s="18"/>
      <c r="J251" s="18"/>
      <c r="K251" s="18"/>
      <c r="L251" s="18"/>
      <c r="M251" s="18"/>
      <c r="N251" s="17"/>
      <c r="O251" s="17"/>
      <c r="P251" s="17"/>
      <c r="Q251" s="17"/>
      <c r="R251" s="17"/>
      <c r="S251" s="17"/>
      <c r="T251" s="17"/>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7"/>
      <c r="BT251" s="17"/>
      <c r="BU251" s="17"/>
      <c r="BV251" s="17"/>
      <c r="BW251" s="17"/>
      <c r="BX251" s="18"/>
      <c r="BY251" s="18"/>
      <c r="BZ251" s="18"/>
      <c r="CA251" s="18"/>
      <c r="CB251" s="17"/>
      <c r="CC251" s="17"/>
      <c r="CD251" s="17"/>
      <c r="CE251" s="18"/>
      <c r="CF251" s="18"/>
      <c r="CG251" s="18"/>
      <c r="CH251" s="18"/>
      <c r="CI251" s="18"/>
      <c r="CJ251" s="18"/>
      <c r="CK251" s="18"/>
      <c r="CL251" s="18"/>
      <c r="CM251" s="18"/>
      <c r="CN251" s="18"/>
      <c r="CO251" s="18"/>
      <c r="CP251" s="18"/>
      <c r="CQ251" s="18"/>
      <c r="CR251" s="18"/>
      <c r="CS251" s="18"/>
      <c r="CT251" s="18"/>
      <c r="CU251" s="18"/>
      <c r="CV251" s="18"/>
      <c r="CW251" s="18"/>
      <c r="CX251" s="18"/>
      <c r="CY251" s="37"/>
      <c r="CZ251" s="38"/>
      <c r="DA251" s="18"/>
      <c r="DB251" s="37"/>
      <c r="DC251" s="38"/>
      <c r="DD251" s="18"/>
      <c r="DE251" s="37"/>
      <c r="DF251" s="38"/>
      <c r="DG251" s="18"/>
      <c r="DH251" s="37"/>
      <c r="DI251" s="38"/>
      <c r="DJ251" s="18"/>
      <c r="DK251" s="37"/>
      <c r="DL251" s="38"/>
      <c r="DM251" s="18"/>
      <c r="DN251" s="18"/>
      <c r="DO251" s="18"/>
      <c r="DP251" s="18"/>
      <c r="DQ251" s="18"/>
      <c r="DR251" s="18"/>
      <c r="DS251" s="18"/>
      <c r="DT251" s="18"/>
      <c r="DU251" s="18"/>
      <c r="DV251" s="18"/>
      <c r="DW251" s="18"/>
      <c r="DX251" s="18"/>
      <c r="DY251" s="18"/>
      <c r="DZ251" s="18"/>
    </row>
    <row r="252" spans="1:130" x14ac:dyDescent="0.3">
      <c r="A252" s="18"/>
      <c r="B252" s="18"/>
      <c r="C252" s="18"/>
      <c r="D252" s="18"/>
      <c r="E252" s="18"/>
      <c r="F252" s="18"/>
      <c r="G252" s="18"/>
      <c r="H252" s="18"/>
      <c r="I252" s="18"/>
      <c r="J252" s="18"/>
      <c r="K252" s="18"/>
      <c r="L252" s="18"/>
      <c r="M252" s="18"/>
      <c r="N252" s="17"/>
      <c r="O252" s="17"/>
      <c r="P252" s="17"/>
      <c r="Q252" s="17"/>
      <c r="R252" s="17"/>
      <c r="S252" s="17"/>
      <c r="T252" s="17"/>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7"/>
      <c r="BT252" s="17"/>
      <c r="BU252" s="17"/>
      <c r="BV252" s="17"/>
      <c r="BW252" s="17"/>
      <c r="BX252" s="18"/>
      <c r="BY252" s="18"/>
      <c r="BZ252" s="18"/>
      <c r="CA252" s="18"/>
      <c r="CB252" s="17"/>
      <c r="CC252" s="17"/>
      <c r="CD252" s="17"/>
      <c r="CE252" s="18"/>
      <c r="CF252" s="18"/>
      <c r="CG252" s="18"/>
      <c r="CH252" s="18"/>
      <c r="CI252" s="18"/>
      <c r="CJ252" s="18"/>
      <c r="CK252" s="18"/>
      <c r="CL252" s="18"/>
      <c r="CM252" s="18"/>
      <c r="CN252" s="18"/>
      <c r="CO252" s="18"/>
      <c r="CP252" s="18"/>
      <c r="CQ252" s="18"/>
      <c r="CR252" s="18"/>
      <c r="CS252" s="18"/>
      <c r="CT252" s="18"/>
      <c r="CU252" s="18"/>
      <c r="CV252" s="18"/>
      <c r="CW252" s="18"/>
      <c r="CX252" s="18"/>
      <c r="CY252" s="37"/>
      <c r="CZ252" s="38"/>
      <c r="DA252" s="18"/>
      <c r="DB252" s="37"/>
      <c r="DC252" s="38"/>
      <c r="DD252" s="18"/>
      <c r="DE252" s="37"/>
      <c r="DF252" s="38"/>
      <c r="DG252" s="18"/>
      <c r="DH252" s="37"/>
      <c r="DI252" s="38"/>
      <c r="DJ252" s="18"/>
      <c r="DK252" s="37"/>
      <c r="DL252" s="38"/>
      <c r="DM252" s="18"/>
      <c r="DN252" s="18"/>
      <c r="DO252" s="18"/>
      <c r="DP252" s="18"/>
      <c r="DQ252" s="18"/>
      <c r="DR252" s="18"/>
      <c r="DS252" s="18"/>
      <c r="DT252" s="18"/>
      <c r="DU252" s="18"/>
      <c r="DV252" s="18"/>
      <c r="DW252" s="18"/>
      <c r="DX252" s="18"/>
      <c r="DY252" s="18"/>
      <c r="DZ252" s="18"/>
    </row>
    <row r="253" spans="1:130" x14ac:dyDescent="0.3">
      <c r="A253" s="18"/>
      <c r="B253" s="18"/>
      <c r="C253" s="18"/>
      <c r="D253" s="18"/>
      <c r="E253" s="18"/>
      <c r="F253" s="18"/>
      <c r="G253" s="18"/>
      <c r="H253" s="18"/>
      <c r="I253" s="18"/>
      <c r="J253" s="18"/>
      <c r="K253" s="18"/>
      <c r="L253" s="18"/>
      <c r="M253" s="18"/>
      <c r="N253" s="17"/>
      <c r="O253" s="17"/>
      <c r="P253" s="17"/>
      <c r="Q253" s="17"/>
      <c r="R253" s="17"/>
      <c r="S253" s="17"/>
      <c r="T253" s="17"/>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7"/>
      <c r="BT253" s="17"/>
      <c r="BU253" s="17"/>
      <c r="BV253" s="17"/>
      <c r="BW253" s="17"/>
      <c r="BX253" s="18"/>
      <c r="BY253" s="18"/>
      <c r="BZ253" s="18"/>
      <c r="CA253" s="18"/>
      <c r="CB253" s="17"/>
      <c r="CC253" s="17"/>
      <c r="CD253" s="17"/>
      <c r="CE253" s="18"/>
      <c r="CF253" s="18"/>
      <c r="CG253" s="18"/>
      <c r="CH253" s="18"/>
      <c r="CI253" s="18"/>
      <c r="CJ253" s="18"/>
      <c r="CK253" s="18"/>
      <c r="CL253" s="18"/>
      <c r="CM253" s="18"/>
      <c r="CN253" s="18"/>
      <c r="CO253" s="18"/>
      <c r="CP253" s="18"/>
      <c r="CQ253" s="18"/>
      <c r="CR253" s="18"/>
      <c r="CS253" s="18"/>
      <c r="CT253" s="18"/>
      <c r="CU253" s="18"/>
      <c r="CV253" s="18"/>
      <c r="CW253" s="18"/>
      <c r="CX253" s="18"/>
      <c r="CY253" s="37"/>
      <c r="CZ253" s="38"/>
      <c r="DA253" s="18"/>
      <c r="DB253" s="37"/>
      <c r="DC253" s="38"/>
      <c r="DD253" s="18"/>
      <c r="DE253" s="37"/>
      <c r="DF253" s="38"/>
      <c r="DG253" s="18"/>
      <c r="DH253" s="37"/>
      <c r="DI253" s="38"/>
      <c r="DJ253" s="18"/>
      <c r="DK253" s="37"/>
      <c r="DL253" s="38"/>
      <c r="DM253" s="18"/>
      <c r="DN253" s="18"/>
      <c r="DO253" s="18"/>
      <c r="DP253" s="18"/>
      <c r="DQ253" s="18"/>
      <c r="DR253" s="18"/>
      <c r="DS253" s="18"/>
      <c r="DT253" s="18"/>
      <c r="DU253" s="18"/>
      <c r="DV253" s="18"/>
      <c r="DW253" s="18"/>
      <c r="DX253" s="18"/>
      <c r="DY253" s="18"/>
      <c r="DZ253" s="18"/>
    </row>
    <row r="254" spans="1:130" x14ac:dyDescent="0.3">
      <c r="A254" s="18"/>
      <c r="B254" s="18"/>
      <c r="C254" s="18"/>
      <c r="D254" s="18"/>
      <c r="E254" s="18"/>
      <c r="F254" s="18"/>
      <c r="G254" s="18"/>
      <c r="H254" s="18"/>
      <c r="I254" s="18"/>
      <c r="J254" s="18"/>
      <c r="K254" s="18"/>
      <c r="L254" s="18"/>
      <c r="M254" s="18"/>
      <c r="N254" s="17"/>
      <c r="O254" s="17"/>
      <c r="P254" s="17"/>
      <c r="Q254" s="17"/>
      <c r="R254" s="17"/>
      <c r="S254" s="17"/>
      <c r="T254" s="17"/>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7"/>
      <c r="BT254" s="17"/>
      <c r="BU254" s="17"/>
      <c r="BV254" s="17"/>
      <c r="BW254" s="17"/>
      <c r="BX254" s="18"/>
      <c r="BY254" s="18"/>
      <c r="BZ254" s="18"/>
      <c r="CA254" s="18"/>
      <c r="CB254" s="17"/>
      <c r="CC254" s="17"/>
      <c r="CD254" s="17"/>
      <c r="CE254" s="18"/>
      <c r="CF254" s="18"/>
      <c r="CG254" s="18"/>
      <c r="CH254" s="18"/>
      <c r="CI254" s="18"/>
      <c r="CJ254" s="18"/>
      <c r="CK254" s="18"/>
      <c r="CL254" s="18"/>
      <c r="CM254" s="18"/>
      <c r="CN254" s="18"/>
      <c r="CO254" s="18"/>
      <c r="CP254" s="18"/>
      <c r="CQ254" s="18"/>
      <c r="CR254" s="18"/>
      <c r="CS254" s="18"/>
      <c r="CT254" s="18"/>
      <c r="CU254" s="18"/>
      <c r="CV254" s="18"/>
      <c r="CW254" s="18"/>
      <c r="CX254" s="18"/>
      <c r="CY254" s="37"/>
      <c r="CZ254" s="38"/>
      <c r="DA254" s="18"/>
      <c r="DB254" s="37"/>
      <c r="DC254" s="38"/>
      <c r="DD254" s="18"/>
      <c r="DE254" s="37"/>
      <c r="DF254" s="38"/>
      <c r="DG254" s="18"/>
      <c r="DH254" s="37"/>
      <c r="DI254" s="38"/>
      <c r="DJ254" s="18"/>
      <c r="DK254" s="37"/>
      <c r="DL254" s="38"/>
      <c r="DM254" s="18"/>
      <c r="DN254" s="18"/>
      <c r="DO254" s="18"/>
      <c r="DP254" s="18"/>
      <c r="DQ254" s="18"/>
      <c r="DR254" s="18"/>
      <c r="DS254" s="18"/>
      <c r="DT254" s="18"/>
      <c r="DU254" s="18"/>
      <c r="DV254" s="18"/>
      <c r="DW254" s="18"/>
      <c r="DX254" s="18"/>
      <c r="DY254" s="18"/>
      <c r="DZ254" s="18"/>
    </row>
    <row r="255" spans="1:130" x14ac:dyDescent="0.3">
      <c r="A255" s="18"/>
      <c r="B255" s="18"/>
      <c r="C255" s="18"/>
      <c r="D255" s="18"/>
      <c r="E255" s="18"/>
      <c r="F255" s="18"/>
      <c r="G255" s="18"/>
      <c r="H255" s="18"/>
      <c r="I255" s="18"/>
      <c r="J255" s="18"/>
      <c r="K255" s="18"/>
      <c r="L255" s="18"/>
      <c r="M255" s="18"/>
      <c r="N255" s="17"/>
      <c r="O255" s="17"/>
      <c r="P255" s="17"/>
      <c r="Q255" s="17"/>
      <c r="R255" s="17"/>
      <c r="S255" s="17"/>
      <c r="T255" s="17"/>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7"/>
      <c r="BT255" s="17"/>
      <c r="BU255" s="17"/>
      <c r="BV255" s="17"/>
      <c r="BW255" s="17"/>
      <c r="BX255" s="18"/>
      <c r="BY255" s="18"/>
      <c r="BZ255" s="18"/>
      <c r="CA255" s="18"/>
      <c r="CB255" s="17"/>
      <c r="CC255" s="17"/>
      <c r="CD255" s="17"/>
      <c r="CE255" s="18"/>
      <c r="CF255" s="18"/>
      <c r="CG255" s="18"/>
      <c r="CH255" s="18"/>
      <c r="CI255" s="18"/>
      <c r="CJ255" s="18"/>
      <c r="CK255" s="18"/>
      <c r="CL255" s="18"/>
      <c r="CM255" s="18"/>
      <c r="CN255" s="18"/>
      <c r="CO255" s="18"/>
      <c r="CP255" s="18"/>
      <c r="CQ255" s="18"/>
      <c r="CR255" s="18"/>
      <c r="CS255" s="18"/>
      <c r="CT255" s="18"/>
      <c r="CU255" s="18"/>
      <c r="CV255" s="18"/>
      <c r="CW255" s="18"/>
      <c r="CX255" s="18"/>
      <c r="CY255" s="37"/>
      <c r="CZ255" s="38"/>
      <c r="DA255" s="18"/>
      <c r="DB255" s="37"/>
      <c r="DC255" s="38"/>
      <c r="DD255" s="18"/>
      <c r="DE255" s="37"/>
      <c r="DF255" s="38"/>
      <c r="DG255" s="18"/>
      <c r="DH255" s="37"/>
      <c r="DI255" s="38"/>
      <c r="DJ255" s="18"/>
      <c r="DK255" s="37"/>
      <c r="DL255" s="38"/>
      <c r="DM255" s="18"/>
      <c r="DN255" s="18"/>
      <c r="DO255" s="18"/>
      <c r="DP255" s="18"/>
      <c r="DQ255" s="18"/>
      <c r="DR255" s="18"/>
      <c r="DS255" s="18"/>
      <c r="DT255" s="18"/>
      <c r="DU255" s="18"/>
      <c r="DV255" s="18"/>
      <c r="DW255" s="18"/>
      <c r="DX255" s="18"/>
      <c r="DY255" s="18"/>
      <c r="DZ255" s="18"/>
    </row>
    <row r="256" spans="1:130" x14ac:dyDescent="0.3">
      <c r="A256" s="18"/>
      <c r="B256" s="18"/>
      <c r="C256" s="18"/>
      <c r="D256" s="18"/>
      <c r="E256" s="18"/>
      <c r="F256" s="18"/>
      <c r="G256" s="18"/>
      <c r="H256" s="18"/>
      <c r="I256" s="18"/>
      <c r="J256" s="18"/>
      <c r="K256" s="18"/>
      <c r="L256" s="18"/>
      <c r="M256" s="18"/>
      <c r="N256" s="17"/>
      <c r="O256" s="17"/>
      <c r="P256" s="17"/>
      <c r="Q256" s="17"/>
      <c r="R256" s="17"/>
      <c r="S256" s="17"/>
      <c r="T256" s="17"/>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7"/>
      <c r="BT256" s="17"/>
      <c r="BU256" s="17"/>
      <c r="BV256" s="17"/>
      <c r="BW256" s="17"/>
      <c r="BX256" s="18"/>
      <c r="BY256" s="18"/>
      <c r="BZ256" s="18"/>
      <c r="CA256" s="18"/>
      <c r="CB256" s="17"/>
      <c r="CC256" s="17"/>
      <c r="CD256" s="17"/>
      <c r="CE256" s="18"/>
      <c r="CF256" s="18"/>
      <c r="CG256" s="18"/>
      <c r="CH256" s="18"/>
      <c r="CI256" s="18"/>
      <c r="CJ256" s="18"/>
      <c r="CK256" s="18"/>
      <c r="CL256" s="18"/>
      <c r="CM256" s="18"/>
      <c r="CN256" s="18"/>
      <c r="CO256" s="18"/>
      <c r="CP256" s="18"/>
      <c r="CQ256" s="18"/>
      <c r="CR256" s="18"/>
      <c r="CS256" s="18"/>
      <c r="CT256" s="18"/>
      <c r="CU256" s="18"/>
      <c r="CV256" s="18"/>
      <c r="CW256" s="18"/>
      <c r="CX256" s="18"/>
      <c r="CY256" s="37"/>
      <c r="CZ256" s="38"/>
      <c r="DA256" s="18"/>
      <c r="DB256" s="37"/>
      <c r="DC256" s="38"/>
      <c r="DD256" s="18"/>
      <c r="DE256" s="37"/>
      <c r="DF256" s="38"/>
      <c r="DG256" s="18"/>
      <c r="DH256" s="37"/>
      <c r="DI256" s="38"/>
      <c r="DJ256" s="18"/>
      <c r="DK256" s="37"/>
      <c r="DL256" s="38"/>
      <c r="DM256" s="18"/>
      <c r="DN256" s="18"/>
      <c r="DO256" s="18"/>
      <c r="DP256" s="18"/>
      <c r="DQ256" s="18"/>
      <c r="DR256" s="18"/>
      <c r="DS256" s="18"/>
      <c r="DT256" s="18"/>
      <c r="DU256" s="18"/>
      <c r="DV256" s="18"/>
      <c r="DW256" s="18"/>
      <c r="DX256" s="18"/>
      <c r="DY256" s="18"/>
      <c r="DZ256" s="18"/>
    </row>
    <row r="257" spans="1:130" x14ac:dyDescent="0.3">
      <c r="A257" s="18"/>
      <c r="B257" s="18"/>
      <c r="C257" s="18"/>
      <c r="D257" s="18"/>
      <c r="E257" s="18"/>
      <c r="F257" s="18"/>
      <c r="G257" s="18"/>
      <c r="H257" s="18"/>
      <c r="I257" s="18"/>
      <c r="J257" s="18"/>
      <c r="K257" s="18"/>
      <c r="L257" s="18"/>
      <c r="M257" s="18"/>
      <c r="N257" s="17"/>
      <c r="O257" s="17"/>
      <c r="P257" s="17"/>
      <c r="Q257" s="17"/>
      <c r="R257" s="17"/>
      <c r="S257" s="17"/>
      <c r="T257" s="17"/>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7"/>
      <c r="BT257" s="17"/>
      <c r="BU257" s="17"/>
      <c r="BV257" s="17"/>
      <c r="BW257" s="17"/>
      <c r="BX257" s="18"/>
      <c r="BY257" s="18"/>
      <c r="BZ257" s="18"/>
      <c r="CA257" s="18"/>
      <c r="CB257" s="17"/>
      <c r="CC257" s="17"/>
      <c r="CD257" s="17"/>
      <c r="CE257" s="18"/>
      <c r="CF257" s="18"/>
      <c r="CG257" s="18"/>
      <c r="CH257" s="18"/>
      <c r="CI257" s="18"/>
      <c r="CJ257" s="18"/>
      <c r="CK257" s="18"/>
      <c r="CL257" s="18"/>
      <c r="CM257" s="18"/>
      <c r="CN257" s="18"/>
      <c r="CO257" s="18"/>
      <c r="CP257" s="18"/>
      <c r="CQ257" s="18"/>
      <c r="CR257" s="18"/>
      <c r="CS257" s="18"/>
      <c r="CT257" s="18"/>
      <c r="CU257" s="18"/>
      <c r="CV257" s="18"/>
      <c r="CW257" s="18"/>
      <c r="CX257" s="18"/>
      <c r="CY257" s="37"/>
      <c r="CZ257" s="38"/>
      <c r="DA257" s="18"/>
      <c r="DB257" s="37"/>
      <c r="DC257" s="38"/>
      <c r="DD257" s="18"/>
      <c r="DE257" s="37"/>
      <c r="DF257" s="38"/>
      <c r="DG257" s="18"/>
      <c r="DH257" s="37"/>
      <c r="DI257" s="38"/>
      <c r="DJ257" s="18"/>
      <c r="DK257" s="37"/>
      <c r="DL257" s="38"/>
      <c r="DM257" s="18"/>
      <c r="DN257" s="18"/>
      <c r="DO257" s="18"/>
      <c r="DP257" s="18"/>
      <c r="DQ257" s="18"/>
      <c r="DR257" s="18"/>
      <c r="DS257" s="18"/>
      <c r="DT257" s="18"/>
      <c r="DU257" s="18"/>
      <c r="DV257" s="18"/>
      <c r="DW257" s="18"/>
      <c r="DX257" s="18"/>
      <c r="DY257" s="18"/>
      <c r="DZ257" s="18"/>
    </row>
    <row r="258" spans="1:130" x14ac:dyDescent="0.3">
      <c r="A258" s="18"/>
      <c r="B258" s="18"/>
      <c r="C258" s="18"/>
      <c r="D258" s="18"/>
      <c r="E258" s="18"/>
      <c r="F258" s="18"/>
      <c r="G258" s="18"/>
      <c r="H258" s="18"/>
      <c r="I258" s="18"/>
      <c r="J258" s="18"/>
      <c r="K258" s="18"/>
      <c r="L258" s="18"/>
      <c r="M258" s="18"/>
      <c r="N258" s="17"/>
      <c r="O258" s="17"/>
      <c r="P258" s="17"/>
      <c r="Q258" s="17"/>
      <c r="R258" s="17"/>
      <c r="S258" s="17"/>
      <c r="T258" s="17"/>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7"/>
      <c r="BT258" s="17"/>
      <c r="BU258" s="17"/>
      <c r="BV258" s="17"/>
      <c r="BW258" s="17"/>
      <c r="BX258" s="18"/>
      <c r="BY258" s="18"/>
      <c r="BZ258" s="18"/>
      <c r="CA258" s="18"/>
      <c r="CB258" s="17"/>
      <c r="CC258" s="17"/>
      <c r="CD258" s="17"/>
      <c r="CE258" s="18"/>
      <c r="CF258" s="18"/>
      <c r="CG258" s="18"/>
      <c r="CH258" s="18"/>
      <c r="CI258" s="18"/>
      <c r="CJ258" s="18"/>
      <c r="CK258" s="18"/>
      <c r="CL258" s="18"/>
      <c r="CM258" s="18"/>
      <c r="CN258" s="18"/>
      <c r="CO258" s="18"/>
      <c r="CP258" s="18"/>
      <c r="CQ258" s="18"/>
      <c r="CR258" s="18"/>
      <c r="CS258" s="18"/>
      <c r="CT258" s="18"/>
      <c r="CU258" s="18"/>
      <c r="CV258" s="18"/>
      <c r="CW258" s="18"/>
      <c r="CX258" s="18"/>
      <c r="CY258" s="37"/>
      <c r="CZ258" s="38"/>
      <c r="DA258" s="18"/>
      <c r="DB258" s="37"/>
      <c r="DC258" s="38"/>
      <c r="DD258" s="18"/>
      <c r="DE258" s="37"/>
      <c r="DF258" s="38"/>
      <c r="DG258" s="18"/>
      <c r="DH258" s="37"/>
      <c r="DI258" s="38"/>
      <c r="DJ258" s="18"/>
      <c r="DK258" s="37"/>
      <c r="DL258" s="38"/>
      <c r="DM258" s="18"/>
      <c r="DN258" s="18"/>
      <c r="DO258" s="18"/>
      <c r="DP258" s="18"/>
      <c r="DQ258" s="18"/>
      <c r="DR258" s="18"/>
      <c r="DS258" s="18"/>
      <c r="DT258" s="18"/>
      <c r="DU258" s="18"/>
      <c r="DV258" s="18"/>
      <c r="DW258" s="18"/>
      <c r="DX258" s="18"/>
      <c r="DY258" s="18"/>
      <c r="DZ258" s="18"/>
    </row>
    <row r="259" spans="1:130" x14ac:dyDescent="0.3">
      <c r="A259" s="18"/>
      <c r="B259" s="18"/>
      <c r="C259" s="18"/>
      <c r="D259" s="18"/>
      <c r="E259" s="18"/>
      <c r="F259" s="18"/>
      <c r="G259" s="18"/>
      <c r="H259" s="18"/>
      <c r="I259" s="18"/>
      <c r="J259" s="18"/>
      <c r="K259" s="18"/>
      <c r="L259" s="18"/>
      <c r="M259" s="18"/>
      <c r="N259" s="17"/>
      <c r="O259" s="17"/>
      <c r="P259" s="17"/>
      <c r="Q259" s="17"/>
      <c r="R259" s="17"/>
      <c r="S259" s="17"/>
      <c r="T259" s="17"/>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7"/>
      <c r="BT259" s="17"/>
      <c r="BU259" s="17"/>
      <c r="BV259" s="17"/>
      <c r="BW259" s="17"/>
      <c r="BX259" s="18"/>
      <c r="BY259" s="18"/>
      <c r="BZ259" s="18"/>
      <c r="CA259" s="18"/>
      <c r="CB259" s="17"/>
      <c r="CC259" s="17"/>
      <c r="CD259" s="17"/>
      <c r="CE259" s="18"/>
      <c r="CF259" s="18"/>
      <c r="CG259" s="18"/>
      <c r="CH259" s="18"/>
      <c r="CI259" s="18"/>
      <c r="CJ259" s="18"/>
      <c r="CK259" s="18"/>
      <c r="CL259" s="18"/>
      <c r="CM259" s="18"/>
      <c r="CN259" s="18"/>
      <c r="CO259" s="18"/>
      <c r="CP259" s="18"/>
      <c r="CQ259" s="18"/>
      <c r="CR259" s="18"/>
      <c r="CS259" s="18"/>
      <c r="CT259" s="18"/>
      <c r="CU259" s="18"/>
      <c r="CV259" s="18"/>
      <c r="CW259" s="18"/>
      <c r="CX259" s="18"/>
      <c r="CY259" s="37"/>
      <c r="CZ259" s="38"/>
      <c r="DA259" s="18"/>
      <c r="DB259" s="37"/>
      <c r="DC259" s="38"/>
      <c r="DD259" s="18"/>
      <c r="DE259" s="37"/>
      <c r="DF259" s="38"/>
      <c r="DG259" s="18"/>
      <c r="DH259" s="37"/>
      <c r="DI259" s="38"/>
      <c r="DJ259" s="18"/>
      <c r="DK259" s="37"/>
      <c r="DL259" s="38"/>
      <c r="DM259" s="18"/>
      <c r="DN259" s="18"/>
      <c r="DO259" s="18"/>
      <c r="DP259" s="18"/>
      <c r="DQ259" s="18"/>
      <c r="DR259" s="18"/>
      <c r="DS259" s="18"/>
      <c r="DT259" s="18"/>
      <c r="DU259" s="18"/>
      <c r="DV259" s="18"/>
      <c r="DW259" s="18"/>
      <c r="DX259" s="18"/>
      <c r="DY259" s="18"/>
      <c r="DZ259" s="18"/>
    </row>
    <row r="260" spans="1:130" x14ac:dyDescent="0.3">
      <c r="A260" s="18"/>
      <c r="B260" s="18"/>
      <c r="C260" s="18"/>
      <c r="D260" s="18"/>
      <c r="E260" s="18"/>
      <c r="F260" s="18"/>
      <c r="G260" s="18"/>
      <c r="H260" s="18"/>
      <c r="I260" s="18"/>
      <c r="J260" s="18"/>
      <c r="K260" s="18"/>
      <c r="L260" s="18"/>
      <c r="M260" s="18"/>
      <c r="N260" s="17"/>
      <c r="O260" s="17"/>
      <c r="P260" s="17"/>
      <c r="Q260" s="17"/>
      <c r="R260" s="17"/>
      <c r="S260" s="17"/>
      <c r="T260" s="17"/>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7"/>
      <c r="BT260" s="17"/>
      <c r="BU260" s="17"/>
      <c r="BV260" s="17"/>
      <c r="BW260" s="17"/>
      <c r="BX260" s="18"/>
      <c r="BY260" s="18"/>
      <c r="BZ260" s="18"/>
      <c r="CA260" s="18"/>
      <c r="CB260" s="17"/>
      <c r="CC260" s="17"/>
      <c r="CD260" s="17"/>
      <c r="CE260" s="18"/>
      <c r="CF260" s="18"/>
      <c r="CG260" s="18"/>
      <c r="CH260" s="18"/>
      <c r="CI260" s="18"/>
      <c r="CJ260" s="18"/>
      <c r="CK260" s="18"/>
      <c r="CL260" s="18"/>
      <c r="CM260" s="18"/>
      <c r="CN260" s="18"/>
      <c r="CO260" s="18"/>
      <c r="CP260" s="18"/>
      <c r="CQ260" s="18"/>
      <c r="CR260" s="18"/>
      <c r="CS260" s="18"/>
      <c r="CT260" s="18"/>
      <c r="CU260" s="18"/>
      <c r="CV260" s="18"/>
      <c r="CW260" s="18"/>
      <c r="CX260" s="18"/>
      <c r="CY260" s="37"/>
      <c r="CZ260" s="38"/>
      <c r="DA260" s="18"/>
      <c r="DB260" s="37"/>
      <c r="DC260" s="38"/>
      <c r="DD260" s="18"/>
      <c r="DE260" s="37"/>
      <c r="DF260" s="38"/>
      <c r="DG260" s="18"/>
      <c r="DH260" s="37"/>
      <c r="DI260" s="38"/>
      <c r="DJ260" s="18"/>
      <c r="DK260" s="37"/>
      <c r="DL260" s="38"/>
      <c r="DM260" s="18"/>
      <c r="DN260" s="18"/>
      <c r="DO260" s="18"/>
      <c r="DP260" s="18"/>
      <c r="DQ260" s="18"/>
      <c r="DR260" s="18"/>
      <c r="DS260" s="18"/>
      <c r="DT260" s="18"/>
      <c r="DU260" s="18"/>
      <c r="DV260" s="18"/>
      <c r="DW260" s="18"/>
      <c r="DX260" s="18"/>
      <c r="DY260" s="18"/>
      <c r="DZ260" s="18"/>
    </row>
    <row r="261" spans="1:130" x14ac:dyDescent="0.3">
      <c r="A261" s="18"/>
      <c r="B261" s="18"/>
      <c r="C261" s="18"/>
      <c r="D261" s="18"/>
      <c r="E261" s="18"/>
      <c r="F261" s="18"/>
      <c r="G261" s="18"/>
      <c r="H261" s="18"/>
      <c r="I261" s="18"/>
      <c r="J261" s="18"/>
      <c r="K261" s="18"/>
      <c r="L261" s="18"/>
      <c r="M261" s="18"/>
      <c r="N261" s="17"/>
      <c r="O261" s="17"/>
      <c r="P261" s="17"/>
      <c r="Q261" s="17"/>
      <c r="R261" s="17"/>
      <c r="S261" s="17"/>
      <c r="T261" s="17"/>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7"/>
      <c r="BT261" s="17"/>
      <c r="BU261" s="17"/>
      <c r="BV261" s="17"/>
      <c r="BW261" s="17"/>
      <c r="BX261" s="18"/>
      <c r="BY261" s="18"/>
      <c r="BZ261" s="18"/>
      <c r="CA261" s="18"/>
      <c r="CB261" s="17"/>
      <c r="CC261" s="17"/>
      <c r="CD261" s="17"/>
      <c r="CE261" s="18"/>
      <c r="CF261" s="18"/>
      <c r="CG261" s="18"/>
      <c r="CH261" s="18"/>
      <c r="CI261" s="18"/>
      <c r="CJ261" s="18"/>
      <c r="CK261" s="18"/>
      <c r="CL261" s="18"/>
      <c r="CM261" s="18"/>
      <c r="CN261" s="18"/>
      <c r="CO261" s="18"/>
      <c r="CP261" s="18"/>
      <c r="CQ261" s="18"/>
      <c r="CR261" s="18"/>
      <c r="CS261" s="18"/>
      <c r="CT261" s="18"/>
      <c r="CU261" s="18"/>
      <c r="CV261" s="18"/>
      <c r="CW261" s="18"/>
      <c r="CX261" s="18"/>
      <c r="CY261" s="37"/>
      <c r="CZ261" s="38"/>
      <c r="DA261" s="18"/>
      <c r="DB261" s="37"/>
      <c r="DC261" s="38"/>
      <c r="DD261" s="18"/>
      <c r="DE261" s="37"/>
      <c r="DF261" s="38"/>
      <c r="DG261" s="18"/>
      <c r="DH261" s="37"/>
      <c r="DI261" s="38"/>
      <c r="DJ261" s="18"/>
      <c r="DK261" s="37"/>
      <c r="DL261" s="38"/>
      <c r="DM261" s="18"/>
      <c r="DN261" s="18"/>
      <c r="DO261" s="18"/>
      <c r="DP261" s="18"/>
      <c r="DQ261" s="18"/>
      <c r="DR261" s="18"/>
      <c r="DS261" s="18"/>
      <c r="DT261" s="18"/>
      <c r="DU261" s="18"/>
      <c r="DV261" s="18"/>
      <c r="DW261" s="18"/>
      <c r="DX261" s="18"/>
      <c r="DY261" s="18"/>
      <c r="DZ261" s="18"/>
    </row>
    <row r="262" spans="1:130" x14ac:dyDescent="0.3">
      <c r="A262" s="18"/>
      <c r="B262" s="18"/>
      <c r="C262" s="18"/>
      <c r="D262" s="18"/>
      <c r="E262" s="18"/>
      <c r="F262" s="18"/>
      <c r="G262" s="18"/>
      <c r="H262" s="18"/>
      <c r="I262" s="18"/>
      <c r="J262" s="18"/>
      <c r="K262" s="18"/>
      <c r="L262" s="18"/>
      <c r="M262" s="18"/>
      <c r="N262" s="17"/>
      <c r="O262" s="17"/>
      <c r="P262" s="17"/>
      <c r="Q262" s="17"/>
      <c r="R262" s="17"/>
      <c r="S262" s="17"/>
      <c r="T262" s="17"/>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7"/>
      <c r="BT262" s="17"/>
      <c r="BU262" s="17"/>
      <c r="BV262" s="17"/>
      <c r="BW262" s="17"/>
      <c r="BX262" s="18"/>
      <c r="BY262" s="18"/>
      <c r="BZ262" s="18"/>
      <c r="CA262" s="18"/>
      <c r="CB262" s="17"/>
      <c r="CC262" s="17"/>
      <c r="CD262" s="17"/>
      <c r="CE262" s="18"/>
      <c r="CF262" s="18"/>
      <c r="CG262" s="18"/>
      <c r="CH262" s="18"/>
      <c r="CI262" s="18"/>
      <c r="CJ262" s="18"/>
      <c r="CK262" s="18"/>
      <c r="CL262" s="18"/>
      <c r="CM262" s="18"/>
      <c r="CN262" s="18"/>
      <c r="CO262" s="18"/>
      <c r="CP262" s="18"/>
      <c r="CQ262" s="18"/>
      <c r="CR262" s="18"/>
      <c r="CS262" s="18"/>
      <c r="CT262" s="18"/>
      <c r="CU262" s="18"/>
      <c r="CV262" s="18"/>
      <c r="CW262" s="18"/>
      <c r="CX262" s="18"/>
      <c r="CY262" s="37"/>
      <c r="CZ262" s="38"/>
      <c r="DA262" s="18"/>
      <c r="DB262" s="37"/>
      <c r="DC262" s="38"/>
      <c r="DD262" s="18"/>
      <c r="DE262" s="37"/>
      <c r="DF262" s="38"/>
      <c r="DG262" s="18"/>
      <c r="DH262" s="37"/>
      <c r="DI262" s="38"/>
      <c r="DJ262" s="18"/>
      <c r="DK262" s="37"/>
      <c r="DL262" s="38"/>
      <c r="DM262" s="18"/>
      <c r="DN262" s="18"/>
      <c r="DO262" s="18"/>
      <c r="DP262" s="18"/>
      <c r="DQ262" s="18"/>
      <c r="DR262" s="18"/>
      <c r="DS262" s="18"/>
      <c r="DT262" s="18"/>
      <c r="DU262" s="18"/>
      <c r="DV262" s="18"/>
      <c r="DW262" s="18"/>
      <c r="DX262" s="18"/>
      <c r="DY262" s="18"/>
      <c r="DZ262" s="18"/>
    </row>
    <row r="263" spans="1:130" x14ac:dyDescent="0.3">
      <c r="A263" s="18"/>
      <c r="B263" s="18"/>
      <c r="C263" s="18"/>
      <c r="D263" s="18"/>
      <c r="E263" s="18"/>
      <c r="F263" s="18"/>
      <c r="G263" s="18"/>
      <c r="H263" s="18"/>
      <c r="I263" s="18"/>
      <c r="J263" s="18"/>
      <c r="K263" s="18"/>
      <c r="L263" s="18"/>
      <c r="M263" s="18"/>
      <c r="N263" s="17"/>
      <c r="O263" s="17"/>
      <c r="P263" s="17"/>
      <c r="Q263" s="17"/>
      <c r="R263" s="17"/>
      <c r="S263" s="17"/>
      <c r="T263" s="17"/>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7"/>
      <c r="BT263" s="17"/>
      <c r="BU263" s="17"/>
      <c r="BV263" s="17"/>
      <c r="BW263" s="17"/>
      <c r="BX263" s="18"/>
      <c r="BY263" s="18"/>
      <c r="BZ263" s="18"/>
      <c r="CA263" s="18"/>
      <c r="CB263" s="17"/>
      <c r="CC263" s="17"/>
      <c r="CD263" s="17"/>
      <c r="CE263" s="18"/>
      <c r="CF263" s="18"/>
      <c r="CG263" s="18"/>
      <c r="CH263" s="18"/>
      <c r="CI263" s="18"/>
      <c r="CJ263" s="18"/>
      <c r="CK263" s="18"/>
      <c r="CL263" s="18"/>
      <c r="CM263" s="18"/>
      <c r="CN263" s="18"/>
      <c r="CO263" s="18"/>
      <c r="CP263" s="18"/>
      <c r="CQ263" s="18"/>
      <c r="CR263" s="18"/>
      <c r="CS263" s="18"/>
      <c r="CT263" s="18"/>
      <c r="CU263" s="18"/>
      <c r="CV263" s="18"/>
      <c r="CW263" s="18"/>
      <c r="CX263" s="18"/>
      <c r="CY263" s="37"/>
      <c r="CZ263" s="38"/>
      <c r="DA263" s="18"/>
      <c r="DB263" s="37"/>
      <c r="DC263" s="38"/>
      <c r="DD263" s="18"/>
      <c r="DE263" s="37"/>
      <c r="DF263" s="38"/>
      <c r="DG263" s="18"/>
      <c r="DH263" s="37"/>
      <c r="DI263" s="38"/>
      <c r="DJ263" s="18"/>
      <c r="DK263" s="37"/>
      <c r="DL263" s="38"/>
      <c r="DM263" s="18"/>
      <c r="DN263" s="18"/>
      <c r="DO263" s="18"/>
      <c r="DP263" s="18"/>
      <c r="DQ263" s="18"/>
      <c r="DR263" s="18"/>
      <c r="DS263" s="18"/>
      <c r="DT263" s="18"/>
      <c r="DU263" s="18"/>
      <c r="DV263" s="18"/>
      <c r="DW263" s="18"/>
      <c r="DX263" s="18"/>
      <c r="DY263" s="18"/>
      <c r="DZ263" s="18"/>
    </row>
    <row r="264" spans="1:130" x14ac:dyDescent="0.3">
      <c r="A264" s="18"/>
      <c r="B264" s="18"/>
      <c r="C264" s="18"/>
      <c r="D264" s="18"/>
      <c r="E264" s="18"/>
      <c r="F264" s="18"/>
      <c r="G264" s="18"/>
      <c r="H264" s="18"/>
      <c r="I264" s="18"/>
      <c r="J264" s="18"/>
      <c r="K264" s="18"/>
      <c r="L264" s="18"/>
      <c r="M264" s="18"/>
      <c r="N264" s="17"/>
      <c r="O264" s="17"/>
      <c r="P264" s="17"/>
      <c r="Q264" s="17"/>
      <c r="R264" s="17"/>
      <c r="S264" s="17"/>
      <c r="T264" s="17"/>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7"/>
      <c r="BT264" s="17"/>
      <c r="BU264" s="17"/>
      <c r="BV264" s="17"/>
      <c r="BW264" s="17"/>
      <c r="BX264" s="18"/>
      <c r="BY264" s="18"/>
      <c r="BZ264" s="18"/>
      <c r="CA264" s="18"/>
      <c r="CB264" s="17"/>
      <c r="CC264" s="17"/>
      <c r="CD264" s="17"/>
      <c r="CE264" s="18"/>
      <c r="CF264" s="18"/>
      <c r="CG264" s="18"/>
      <c r="CH264" s="18"/>
      <c r="CI264" s="18"/>
      <c r="CJ264" s="18"/>
      <c r="CK264" s="18"/>
      <c r="CL264" s="18"/>
      <c r="CM264" s="18"/>
      <c r="CN264" s="18"/>
      <c r="CO264" s="18"/>
      <c r="CP264" s="18"/>
      <c r="CQ264" s="18"/>
      <c r="CR264" s="18"/>
      <c r="CS264" s="18"/>
      <c r="CT264" s="18"/>
      <c r="CU264" s="18"/>
      <c r="CV264" s="18"/>
      <c r="CW264" s="18"/>
      <c r="CX264" s="18"/>
      <c r="CY264" s="37"/>
      <c r="CZ264" s="38"/>
      <c r="DA264" s="18"/>
      <c r="DB264" s="37"/>
      <c r="DC264" s="38"/>
      <c r="DD264" s="18"/>
      <c r="DE264" s="37"/>
      <c r="DF264" s="38"/>
      <c r="DG264" s="18"/>
      <c r="DH264" s="37"/>
      <c r="DI264" s="38"/>
      <c r="DJ264" s="18"/>
      <c r="DK264" s="37"/>
      <c r="DL264" s="38"/>
      <c r="DM264" s="18"/>
      <c r="DN264" s="18"/>
      <c r="DO264" s="18"/>
      <c r="DP264" s="18"/>
      <c r="DQ264" s="18"/>
      <c r="DR264" s="18"/>
      <c r="DS264" s="18"/>
      <c r="DT264" s="18"/>
      <c r="DU264" s="18"/>
      <c r="DV264" s="18"/>
      <c r="DW264" s="18"/>
      <c r="DX264" s="18"/>
      <c r="DY264" s="18"/>
      <c r="DZ264" s="18"/>
    </row>
    <row r="265" spans="1:130" x14ac:dyDescent="0.3">
      <c r="A265" s="18"/>
      <c r="B265" s="18"/>
      <c r="C265" s="18"/>
      <c r="D265" s="18"/>
      <c r="E265" s="18"/>
      <c r="F265" s="18"/>
      <c r="G265" s="18"/>
      <c r="H265" s="18"/>
      <c r="I265" s="18"/>
      <c r="J265" s="18"/>
      <c r="K265" s="18"/>
      <c r="L265" s="18"/>
      <c r="M265" s="18"/>
      <c r="N265" s="17"/>
      <c r="O265" s="17"/>
      <c r="P265" s="17"/>
      <c r="Q265" s="17"/>
      <c r="R265" s="17"/>
      <c r="S265" s="17"/>
      <c r="T265" s="17"/>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7"/>
      <c r="BT265" s="17"/>
      <c r="BU265" s="17"/>
      <c r="BV265" s="17"/>
      <c r="BW265" s="17"/>
      <c r="BX265" s="18"/>
      <c r="BY265" s="18"/>
      <c r="BZ265" s="18"/>
      <c r="CA265" s="18"/>
      <c r="CB265" s="17"/>
      <c r="CC265" s="17"/>
      <c r="CD265" s="17"/>
      <c r="CE265" s="18"/>
      <c r="CF265" s="18"/>
      <c r="CG265" s="18"/>
      <c r="CH265" s="18"/>
      <c r="CI265" s="18"/>
      <c r="CJ265" s="18"/>
      <c r="CK265" s="18"/>
      <c r="CL265" s="18"/>
      <c r="CM265" s="18"/>
      <c r="CN265" s="18"/>
      <c r="CO265" s="18"/>
      <c r="CP265" s="18"/>
      <c r="CQ265" s="18"/>
      <c r="CR265" s="18"/>
      <c r="CS265" s="18"/>
      <c r="CT265" s="18"/>
      <c r="CU265" s="18"/>
      <c r="CV265" s="18"/>
      <c r="CW265" s="18"/>
      <c r="CX265" s="18"/>
      <c r="CY265" s="37"/>
      <c r="CZ265" s="38"/>
      <c r="DA265" s="18"/>
      <c r="DB265" s="37"/>
      <c r="DC265" s="38"/>
      <c r="DD265" s="18"/>
      <c r="DE265" s="37"/>
      <c r="DF265" s="38"/>
      <c r="DG265" s="18"/>
      <c r="DH265" s="37"/>
      <c r="DI265" s="38"/>
      <c r="DJ265" s="18"/>
      <c r="DK265" s="37"/>
      <c r="DL265" s="38"/>
      <c r="DM265" s="18"/>
      <c r="DN265" s="18"/>
      <c r="DO265" s="18"/>
      <c r="DP265" s="18"/>
      <c r="DQ265" s="18"/>
      <c r="DR265" s="18"/>
      <c r="DS265" s="18"/>
      <c r="DT265" s="18"/>
      <c r="DU265" s="18"/>
      <c r="DV265" s="18"/>
      <c r="DW265" s="18"/>
      <c r="DX265" s="18"/>
      <c r="DY265" s="18"/>
      <c r="DZ265" s="18"/>
    </row>
    <row r="266" spans="1:130" x14ac:dyDescent="0.3">
      <c r="A266" s="18"/>
      <c r="B266" s="18"/>
      <c r="C266" s="18"/>
      <c r="D266" s="18"/>
      <c r="E266" s="18"/>
      <c r="F266" s="18"/>
      <c r="G266" s="18"/>
      <c r="H266" s="18"/>
      <c r="I266" s="18"/>
      <c r="J266" s="18"/>
      <c r="K266" s="18"/>
      <c r="L266" s="18"/>
      <c r="M266" s="18"/>
      <c r="N266" s="17"/>
      <c r="O266" s="17"/>
      <c r="P266" s="17"/>
      <c r="Q266" s="17"/>
      <c r="R266" s="17"/>
      <c r="S266" s="17"/>
      <c r="T266" s="17"/>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7"/>
      <c r="BT266" s="17"/>
      <c r="BU266" s="17"/>
      <c r="BV266" s="17"/>
      <c r="BW266" s="17"/>
      <c r="BX266" s="18"/>
      <c r="BY266" s="18"/>
      <c r="BZ266" s="18"/>
      <c r="CA266" s="18"/>
      <c r="CB266" s="17"/>
      <c r="CC266" s="17"/>
      <c r="CD266" s="17"/>
      <c r="CE266" s="18"/>
      <c r="CF266" s="18"/>
      <c r="CG266" s="18"/>
      <c r="CH266" s="18"/>
      <c r="CI266" s="18"/>
      <c r="CJ266" s="18"/>
      <c r="CK266" s="18"/>
      <c r="CL266" s="18"/>
      <c r="CM266" s="18"/>
      <c r="CN266" s="18"/>
      <c r="CO266" s="18"/>
      <c r="CP266" s="18"/>
      <c r="CQ266" s="18"/>
      <c r="CR266" s="18"/>
      <c r="CS266" s="18"/>
      <c r="CT266" s="18"/>
      <c r="CU266" s="18"/>
      <c r="CV266" s="18"/>
      <c r="CW266" s="18"/>
      <c r="CX266" s="18"/>
      <c r="CY266" s="37"/>
      <c r="CZ266" s="38"/>
      <c r="DA266" s="18"/>
      <c r="DB266" s="37"/>
      <c r="DC266" s="38"/>
      <c r="DD266" s="18"/>
      <c r="DE266" s="37"/>
      <c r="DF266" s="38"/>
      <c r="DG266" s="18"/>
      <c r="DH266" s="37"/>
      <c r="DI266" s="38"/>
      <c r="DJ266" s="18"/>
      <c r="DK266" s="37"/>
      <c r="DL266" s="38"/>
      <c r="DM266" s="18"/>
      <c r="DN266" s="18"/>
      <c r="DO266" s="18"/>
      <c r="DP266" s="18"/>
      <c r="DQ266" s="18"/>
      <c r="DR266" s="18"/>
      <c r="DS266" s="18"/>
      <c r="DT266" s="18"/>
      <c r="DU266" s="18"/>
      <c r="DV266" s="18"/>
      <c r="DW266" s="18"/>
      <c r="DX266" s="18"/>
      <c r="DY266" s="18"/>
      <c r="DZ266" s="18"/>
    </row>
    <row r="267" spans="1:130" x14ac:dyDescent="0.3">
      <c r="A267" s="18"/>
      <c r="B267" s="18"/>
      <c r="C267" s="18"/>
      <c r="D267" s="18"/>
      <c r="E267" s="18"/>
      <c r="F267" s="18"/>
      <c r="G267" s="18"/>
      <c r="H267" s="18"/>
      <c r="I267" s="18"/>
      <c r="J267" s="18"/>
      <c r="K267" s="18"/>
      <c r="L267" s="18"/>
      <c r="M267" s="18"/>
      <c r="N267" s="17"/>
      <c r="O267" s="17"/>
      <c r="P267" s="17"/>
      <c r="Q267" s="17"/>
      <c r="R267" s="17"/>
      <c r="S267" s="17"/>
      <c r="T267" s="17"/>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7"/>
      <c r="BT267" s="17"/>
      <c r="BU267" s="17"/>
      <c r="BV267" s="17"/>
      <c r="BW267" s="17"/>
      <c r="BX267" s="18"/>
      <c r="BY267" s="18"/>
      <c r="BZ267" s="18"/>
      <c r="CA267" s="18"/>
      <c r="CB267" s="17"/>
      <c r="CC267" s="17"/>
      <c r="CD267" s="17"/>
      <c r="CE267" s="18"/>
      <c r="CF267" s="18"/>
      <c r="CG267" s="18"/>
      <c r="CH267" s="18"/>
      <c r="CI267" s="18"/>
      <c r="CJ267" s="18"/>
      <c r="CK267" s="18"/>
      <c r="CL267" s="18"/>
      <c r="CM267" s="18"/>
      <c r="CN267" s="18"/>
      <c r="CO267" s="18"/>
      <c r="CP267" s="18"/>
      <c r="CQ267" s="18"/>
      <c r="CR267" s="18"/>
      <c r="CS267" s="18"/>
      <c r="CT267" s="18"/>
      <c r="CU267" s="18"/>
      <c r="CV267" s="18"/>
      <c r="CW267" s="18"/>
      <c r="CX267" s="18"/>
      <c r="CY267" s="37"/>
      <c r="CZ267" s="38"/>
      <c r="DA267" s="18"/>
      <c r="DB267" s="37"/>
      <c r="DC267" s="38"/>
      <c r="DD267" s="18"/>
      <c r="DE267" s="37"/>
      <c r="DF267" s="38"/>
      <c r="DG267" s="18"/>
      <c r="DH267" s="37"/>
      <c r="DI267" s="38"/>
      <c r="DJ267" s="18"/>
      <c r="DK267" s="37"/>
      <c r="DL267" s="38"/>
      <c r="DM267" s="18"/>
      <c r="DN267" s="18"/>
      <c r="DO267" s="18"/>
      <c r="DP267" s="18"/>
      <c r="DQ267" s="18"/>
      <c r="DR267" s="18"/>
      <c r="DS267" s="18"/>
      <c r="DT267" s="18"/>
      <c r="DU267" s="18"/>
      <c r="DV267" s="18"/>
      <c r="DW267" s="18"/>
      <c r="DX267" s="18"/>
      <c r="DY267" s="18"/>
      <c r="DZ267" s="18"/>
    </row>
    <row r="268" spans="1:130" x14ac:dyDescent="0.3">
      <c r="A268" s="18"/>
      <c r="B268" s="18"/>
      <c r="C268" s="18"/>
      <c r="D268" s="18"/>
      <c r="E268" s="18"/>
      <c r="F268" s="18"/>
      <c r="G268" s="18"/>
      <c r="H268" s="18"/>
      <c r="I268" s="18"/>
      <c r="J268" s="18"/>
      <c r="K268" s="18"/>
      <c r="L268" s="18"/>
      <c r="M268" s="18"/>
      <c r="N268" s="17"/>
      <c r="O268" s="17"/>
      <c r="P268" s="17"/>
      <c r="Q268" s="17"/>
      <c r="R268" s="17"/>
      <c r="S268" s="17"/>
      <c r="T268" s="17"/>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7"/>
      <c r="BT268" s="17"/>
      <c r="BU268" s="17"/>
      <c r="BV268" s="17"/>
      <c r="BW268" s="17"/>
      <c r="BX268" s="18"/>
      <c r="BY268" s="18"/>
      <c r="BZ268" s="18"/>
      <c r="CA268" s="18"/>
      <c r="CB268" s="17"/>
      <c r="CC268" s="17"/>
      <c r="CD268" s="17"/>
      <c r="CE268" s="18"/>
      <c r="CF268" s="18"/>
      <c r="CG268" s="18"/>
      <c r="CH268" s="18"/>
      <c r="CI268" s="18"/>
      <c r="CJ268" s="18"/>
      <c r="CK268" s="18"/>
      <c r="CL268" s="18"/>
      <c r="CM268" s="18"/>
      <c r="CN268" s="18"/>
      <c r="CO268" s="18"/>
      <c r="CP268" s="18"/>
      <c r="CQ268" s="18"/>
      <c r="CR268" s="18"/>
      <c r="CS268" s="18"/>
      <c r="CT268" s="18"/>
      <c r="CU268" s="18"/>
      <c r="CV268" s="18"/>
      <c r="CW268" s="18"/>
      <c r="CX268" s="18"/>
      <c r="CY268" s="37"/>
      <c r="CZ268" s="38"/>
      <c r="DA268" s="18"/>
      <c r="DB268" s="37"/>
      <c r="DC268" s="38"/>
      <c r="DD268" s="18"/>
      <c r="DE268" s="37"/>
      <c r="DF268" s="38"/>
      <c r="DG268" s="18"/>
      <c r="DH268" s="37"/>
      <c r="DI268" s="38"/>
      <c r="DJ268" s="18"/>
      <c r="DK268" s="37"/>
      <c r="DL268" s="38"/>
      <c r="DM268" s="18"/>
      <c r="DN268" s="18"/>
      <c r="DO268" s="18"/>
      <c r="DP268" s="18"/>
      <c r="DQ268" s="18"/>
      <c r="DR268" s="18"/>
      <c r="DS268" s="18"/>
      <c r="DT268" s="18"/>
      <c r="DU268" s="18"/>
      <c r="DV268" s="18"/>
      <c r="DW268" s="18"/>
      <c r="DX268" s="18"/>
      <c r="DY268" s="18"/>
      <c r="DZ268" s="18"/>
    </row>
    <row r="269" spans="1:130" x14ac:dyDescent="0.3">
      <c r="A269" s="18"/>
      <c r="B269" s="18"/>
      <c r="C269" s="18"/>
      <c r="D269" s="18"/>
      <c r="E269" s="18"/>
      <c r="F269" s="18"/>
      <c r="G269" s="18"/>
      <c r="H269" s="18"/>
      <c r="I269" s="18"/>
      <c r="J269" s="18"/>
      <c r="K269" s="18"/>
      <c r="L269" s="18"/>
      <c r="M269" s="18"/>
      <c r="N269" s="17"/>
      <c r="O269" s="17"/>
      <c r="P269" s="17"/>
      <c r="Q269" s="17"/>
      <c r="R269" s="17"/>
      <c r="S269" s="17"/>
      <c r="T269" s="17"/>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7"/>
      <c r="BT269" s="17"/>
      <c r="BU269" s="17"/>
      <c r="BV269" s="17"/>
      <c r="BW269" s="17"/>
      <c r="BX269" s="18"/>
      <c r="BY269" s="18"/>
      <c r="BZ269" s="18"/>
      <c r="CA269" s="18"/>
      <c r="CB269" s="17"/>
      <c r="CC269" s="17"/>
      <c r="CD269" s="17"/>
      <c r="CE269" s="18"/>
      <c r="CF269" s="18"/>
      <c r="CG269" s="18"/>
      <c r="CH269" s="18"/>
      <c r="CI269" s="18"/>
      <c r="CJ269" s="18"/>
      <c r="CK269" s="18"/>
      <c r="CL269" s="18"/>
      <c r="CM269" s="18"/>
      <c r="CN269" s="18"/>
      <c r="CO269" s="18"/>
      <c r="CP269" s="18"/>
      <c r="CQ269" s="18"/>
      <c r="CR269" s="18"/>
      <c r="CS269" s="18"/>
      <c r="CT269" s="18"/>
      <c r="CU269" s="18"/>
      <c r="CV269" s="18"/>
      <c r="CW269" s="18"/>
      <c r="CX269" s="18"/>
      <c r="CY269" s="37"/>
      <c r="CZ269" s="38"/>
      <c r="DA269" s="18"/>
      <c r="DB269" s="37"/>
      <c r="DC269" s="38"/>
      <c r="DD269" s="18"/>
      <c r="DE269" s="37"/>
      <c r="DF269" s="38"/>
      <c r="DG269" s="18"/>
      <c r="DH269" s="37"/>
      <c r="DI269" s="38"/>
      <c r="DJ269" s="18"/>
      <c r="DK269" s="37"/>
      <c r="DL269" s="38"/>
      <c r="DM269" s="18"/>
      <c r="DN269" s="18"/>
      <c r="DO269" s="18"/>
      <c r="DP269" s="18"/>
      <c r="DQ269" s="18"/>
      <c r="DR269" s="18"/>
      <c r="DS269" s="18"/>
      <c r="DT269" s="18"/>
      <c r="DU269" s="18"/>
      <c r="DV269" s="18"/>
      <c r="DW269" s="18"/>
      <c r="DX269" s="18"/>
      <c r="DY269" s="18"/>
      <c r="DZ269" s="18"/>
    </row>
    <row r="270" spans="1:130" x14ac:dyDescent="0.3">
      <c r="A270" s="18"/>
      <c r="B270" s="18"/>
      <c r="C270" s="18"/>
      <c r="D270" s="18"/>
      <c r="E270" s="18"/>
      <c r="F270" s="18"/>
      <c r="G270" s="18"/>
      <c r="H270" s="18"/>
      <c r="I270" s="18"/>
      <c r="J270" s="18"/>
      <c r="K270" s="18"/>
      <c r="L270" s="18"/>
      <c r="M270" s="18"/>
      <c r="N270" s="17"/>
      <c r="O270" s="17"/>
      <c r="P270" s="17"/>
      <c r="Q270" s="17"/>
      <c r="R270" s="17"/>
      <c r="S270" s="17"/>
      <c r="T270" s="17"/>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7"/>
      <c r="BT270" s="17"/>
      <c r="BU270" s="17"/>
      <c r="BV270" s="17"/>
      <c r="BW270" s="17"/>
      <c r="BX270" s="18"/>
      <c r="BY270" s="18"/>
      <c r="BZ270" s="18"/>
      <c r="CA270" s="18"/>
      <c r="CB270" s="17"/>
      <c r="CC270" s="17"/>
      <c r="CD270" s="17"/>
      <c r="CE270" s="18"/>
      <c r="CF270" s="18"/>
      <c r="CG270" s="18"/>
      <c r="CH270" s="18"/>
      <c r="CI270" s="18"/>
      <c r="CJ270" s="18"/>
      <c r="CK270" s="18"/>
      <c r="CL270" s="18"/>
      <c r="CM270" s="18"/>
      <c r="CN270" s="18"/>
      <c r="CO270" s="18"/>
      <c r="CP270" s="18"/>
      <c r="CQ270" s="18"/>
      <c r="CR270" s="18"/>
      <c r="CS270" s="18"/>
      <c r="CT270" s="18"/>
      <c r="CU270" s="18"/>
      <c r="CV270" s="18"/>
      <c r="CW270" s="18"/>
      <c r="CX270" s="18"/>
      <c r="CY270" s="37"/>
      <c r="CZ270" s="38"/>
      <c r="DA270" s="18"/>
      <c r="DB270" s="37"/>
      <c r="DC270" s="38"/>
      <c r="DD270" s="18"/>
      <c r="DE270" s="37"/>
      <c r="DF270" s="38"/>
      <c r="DG270" s="18"/>
      <c r="DH270" s="37"/>
      <c r="DI270" s="38"/>
      <c r="DJ270" s="18"/>
      <c r="DK270" s="37"/>
      <c r="DL270" s="38"/>
      <c r="DM270" s="18"/>
      <c r="DN270" s="18"/>
      <c r="DO270" s="18"/>
      <c r="DP270" s="18"/>
      <c r="DQ270" s="18"/>
      <c r="DR270" s="18"/>
      <c r="DS270" s="18"/>
      <c r="DT270" s="18"/>
      <c r="DU270" s="18"/>
      <c r="DV270" s="18"/>
      <c r="DW270" s="18"/>
      <c r="DX270" s="18"/>
      <c r="DY270" s="18"/>
      <c r="DZ270" s="18"/>
    </row>
    <row r="271" spans="1:130" x14ac:dyDescent="0.3">
      <c r="A271" s="18"/>
      <c r="B271" s="18"/>
      <c r="C271" s="18"/>
      <c r="D271" s="18"/>
      <c r="E271" s="18"/>
      <c r="F271" s="18"/>
      <c r="G271" s="18"/>
      <c r="H271" s="18"/>
      <c r="I271" s="18"/>
      <c r="J271" s="18"/>
      <c r="K271" s="18"/>
      <c r="L271" s="18"/>
      <c r="M271" s="18"/>
      <c r="N271" s="17"/>
      <c r="O271" s="17"/>
      <c r="P271" s="17"/>
      <c r="Q271" s="17"/>
      <c r="R271" s="17"/>
      <c r="S271" s="17"/>
      <c r="T271" s="17"/>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7"/>
      <c r="BT271" s="17"/>
      <c r="BU271" s="17"/>
      <c r="BV271" s="17"/>
      <c r="BW271" s="17"/>
      <c r="BX271" s="18"/>
      <c r="BY271" s="18"/>
      <c r="BZ271" s="18"/>
      <c r="CA271" s="18"/>
      <c r="CB271" s="17"/>
      <c r="CC271" s="17"/>
      <c r="CD271" s="17"/>
      <c r="CE271" s="18"/>
      <c r="CF271" s="18"/>
      <c r="CG271" s="18"/>
      <c r="CH271" s="18"/>
      <c r="CI271" s="18"/>
      <c r="CJ271" s="18"/>
      <c r="CK271" s="18"/>
      <c r="CL271" s="18"/>
      <c r="CM271" s="18"/>
      <c r="CN271" s="18"/>
      <c r="CO271" s="18"/>
      <c r="CP271" s="18"/>
      <c r="CQ271" s="18"/>
      <c r="CR271" s="18"/>
      <c r="CS271" s="18"/>
      <c r="CT271" s="18"/>
      <c r="CU271" s="18"/>
      <c r="CV271" s="18"/>
      <c r="CW271" s="18"/>
      <c r="CX271" s="18"/>
      <c r="CY271" s="37"/>
      <c r="CZ271" s="38"/>
      <c r="DA271" s="18"/>
      <c r="DB271" s="37"/>
      <c r="DC271" s="38"/>
      <c r="DD271" s="18"/>
      <c r="DE271" s="37"/>
      <c r="DF271" s="38"/>
      <c r="DG271" s="18"/>
      <c r="DH271" s="37"/>
      <c r="DI271" s="38"/>
      <c r="DJ271" s="18"/>
      <c r="DK271" s="37"/>
      <c r="DL271" s="38"/>
      <c r="DM271" s="18"/>
      <c r="DN271" s="18"/>
      <c r="DO271" s="18"/>
      <c r="DP271" s="18"/>
      <c r="DQ271" s="18"/>
      <c r="DR271" s="18"/>
      <c r="DS271" s="18"/>
      <c r="DT271" s="18"/>
      <c r="DU271" s="18"/>
      <c r="DV271" s="18"/>
      <c r="DW271" s="18"/>
      <c r="DX271" s="18"/>
      <c r="DY271" s="18"/>
      <c r="DZ271" s="18"/>
    </row>
    <row r="272" spans="1:130" x14ac:dyDescent="0.3">
      <c r="A272" s="18"/>
      <c r="B272" s="18"/>
      <c r="C272" s="18"/>
      <c r="D272" s="18"/>
      <c r="E272" s="18"/>
      <c r="F272" s="18"/>
      <c r="G272" s="18"/>
      <c r="H272" s="18"/>
      <c r="I272" s="18"/>
      <c r="J272" s="18"/>
      <c r="K272" s="18"/>
      <c r="L272" s="18"/>
      <c r="M272" s="18"/>
      <c r="N272" s="17"/>
      <c r="O272" s="17"/>
      <c r="P272" s="17"/>
      <c r="Q272" s="17"/>
      <c r="R272" s="17"/>
      <c r="S272" s="17"/>
      <c r="T272" s="17"/>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7"/>
      <c r="BT272" s="17"/>
      <c r="BU272" s="17"/>
      <c r="BV272" s="17"/>
      <c r="BW272" s="17"/>
      <c r="BX272" s="18"/>
      <c r="BY272" s="18"/>
      <c r="BZ272" s="18"/>
      <c r="CA272" s="18"/>
      <c r="CB272" s="17"/>
      <c r="CC272" s="17"/>
      <c r="CD272" s="17"/>
      <c r="CE272" s="18"/>
      <c r="CF272" s="18"/>
      <c r="CG272" s="18"/>
      <c r="CH272" s="18"/>
      <c r="CI272" s="18"/>
      <c r="CJ272" s="18"/>
      <c r="CK272" s="18"/>
      <c r="CL272" s="18"/>
      <c r="CM272" s="18"/>
      <c r="CN272" s="18"/>
      <c r="CO272" s="18"/>
      <c r="CP272" s="18"/>
      <c r="CQ272" s="18"/>
      <c r="CR272" s="18"/>
      <c r="CS272" s="18"/>
      <c r="CT272" s="18"/>
      <c r="CU272" s="18"/>
      <c r="CV272" s="18"/>
      <c r="CW272" s="18"/>
      <c r="CX272" s="18"/>
      <c r="CY272" s="37"/>
      <c r="CZ272" s="38"/>
      <c r="DA272" s="18"/>
      <c r="DB272" s="37"/>
      <c r="DC272" s="38"/>
      <c r="DD272" s="18"/>
      <c r="DE272" s="37"/>
      <c r="DF272" s="38"/>
      <c r="DG272" s="18"/>
      <c r="DH272" s="37"/>
      <c r="DI272" s="38"/>
      <c r="DJ272" s="18"/>
      <c r="DK272" s="37"/>
      <c r="DL272" s="38"/>
      <c r="DM272" s="18"/>
      <c r="DN272" s="18"/>
      <c r="DO272" s="18"/>
      <c r="DP272" s="18"/>
      <c r="DQ272" s="18"/>
      <c r="DR272" s="18"/>
      <c r="DS272" s="18"/>
      <c r="DT272" s="18"/>
      <c r="DU272" s="18"/>
      <c r="DV272" s="18"/>
      <c r="DW272" s="18"/>
      <c r="DX272" s="18"/>
      <c r="DY272" s="18"/>
      <c r="DZ272" s="18"/>
    </row>
    <row r="273" spans="1:130" x14ac:dyDescent="0.3">
      <c r="A273" s="18"/>
      <c r="B273" s="18"/>
      <c r="C273" s="18"/>
      <c r="D273" s="18"/>
      <c r="E273" s="18"/>
      <c r="F273" s="18"/>
      <c r="G273" s="18"/>
      <c r="H273" s="18"/>
      <c r="I273" s="18"/>
      <c r="J273" s="18"/>
      <c r="K273" s="18"/>
      <c r="L273" s="18"/>
      <c r="M273" s="18"/>
      <c r="N273" s="17"/>
      <c r="O273" s="17"/>
      <c r="P273" s="17"/>
      <c r="Q273" s="17"/>
      <c r="R273" s="17"/>
      <c r="S273" s="17"/>
      <c r="T273" s="17"/>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7"/>
      <c r="BT273" s="17"/>
      <c r="BU273" s="17"/>
      <c r="BV273" s="17"/>
      <c r="BW273" s="17"/>
      <c r="BX273" s="18"/>
      <c r="BY273" s="18"/>
      <c r="BZ273" s="18"/>
      <c r="CA273" s="18"/>
      <c r="CB273" s="17"/>
      <c r="CC273" s="17"/>
      <c r="CD273" s="17"/>
      <c r="CE273" s="18"/>
      <c r="CF273" s="18"/>
      <c r="CG273" s="18"/>
      <c r="CH273" s="18"/>
      <c r="CI273" s="18"/>
      <c r="CJ273" s="18"/>
      <c r="CK273" s="18"/>
      <c r="CL273" s="18"/>
      <c r="CM273" s="18"/>
      <c r="CN273" s="18"/>
      <c r="CO273" s="18"/>
      <c r="CP273" s="18"/>
      <c r="CQ273" s="18"/>
      <c r="CR273" s="18"/>
      <c r="CS273" s="18"/>
      <c r="CT273" s="18"/>
      <c r="CU273" s="18"/>
      <c r="CV273" s="18"/>
      <c r="CW273" s="18"/>
      <c r="CX273" s="18"/>
      <c r="CY273" s="37"/>
      <c r="CZ273" s="38"/>
      <c r="DA273" s="18"/>
      <c r="DB273" s="37"/>
      <c r="DC273" s="38"/>
      <c r="DD273" s="18"/>
      <c r="DE273" s="37"/>
      <c r="DF273" s="38"/>
      <c r="DG273" s="18"/>
      <c r="DH273" s="37"/>
      <c r="DI273" s="38"/>
      <c r="DJ273" s="18"/>
      <c r="DK273" s="37"/>
      <c r="DL273" s="38"/>
      <c r="DM273" s="18"/>
      <c r="DN273" s="18"/>
      <c r="DO273" s="18"/>
      <c r="DP273" s="18"/>
      <c r="DQ273" s="18"/>
      <c r="DR273" s="18"/>
      <c r="DS273" s="18"/>
      <c r="DT273" s="18"/>
      <c r="DU273" s="18"/>
      <c r="DV273" s="18"/>
      <c r="DW273" s="18"/>
      <c r="DX273" s="18"/>
      <c r="DY273" s="18"/>
      <c r="DZ273" s="18"/>
    </row>
    <row r="274" spans="1:130" x14ac:dyDescent="0.3">
      <c r="A274" s="18"/>
      <c r="B274" s="18"/>
      <c r="C274" s="18"/>
      <c r="D274" s="18"/>
      <c r="E274" s="18"/>
      <c r="F274" s="18"/>
      <c r="G274" s="18"/>
      <c r="H274" s="18"/>
      <c r="I274" s="18"/>
      <c r="J274" s="18"/>
      <c r="K274" s="18"/>
      <c r="L274" s="18"/>
      <c r="M274" s="18"/>
      <c r="N274" s="17"/>
      <c r="O274" s="17"/>
      <c r="P274" s="17"/>
      <c r="Q274" s="17"/>
      <c r="R274" s="17"/>
      <c r="S274" s="17"/>
      <c r="T274" s="17"/>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7"/>
      <c r="BT274" s="17"/>
      <c r="BU274" s="17"/>
      <c r="BV274" s="17"/>
      <c r="BW274" s="17"/>
      <c r="BX274" s="18"/>
      <c r="BY274" s="18"/>
      <c r="BZ274" s="18"/>
      <c r="CA274" s="18"/>
      <c r="CB274" s="17"/>
      <c r="CC274" s="17"/>
      <c r="CD274" s="17"/>
      <c r="CE274" s="18"/>
      <c r="CF274" s="18"/>
      <c r="CG274" s="18"/>
      <c r="CH274" s="18"/>
      <c r="CI274" s="18"/>
      <c r="CJ274" s="18"/>
      <c r="CK274" s="18"/>
      <c r="CL274" s="18"/>
      <c r="CM274" s="18"/>
      <c r="CN274" s="18"/>
      <c r="CO274" s="18"/>
      <c r="CP274" s="18"/>
      <c r="CQ274" s="18"/>
      <c r="CR274" s="18"/>
      <c r="CS274" s="18"/>
      <c r="CT274" s="18"/>
      <c r="CU274" s="18"/>
      <c r="CV274" s="18"/>
      <c r="CW274" s="18"/>
      <c r="CX274" s="18"/>
      <c r="CY274" s="37"/>
      <c r="CZ274" s="38"/>
      <c r="DA274" s="18"/>
      <c r="DB274" s="37"/>
      <c r="DC274" s="38"/>
      <c r="DD274" s="18"/>
      <c r="DE274" s="37"/>
      <c r="DF274" s="38"/>
      <c r="DG274" s="18"/>
      <c r="DH274" s="37"/>
      <c r="DI274" s="38"/>
      <c r="DJ274" s="18"/>
      <c r="DK274" s="37"/>
      <c r="DL274" s="38"/>
      <c r="DM274" s="18"/>
      <c r="DN274" s="18"/>
      <c r="DO274" s="18"/>
      <c r="DP274" s="18"/>
      <c r="DQ274" s="18"/>
      <c r="DR274" s="18"/>
      <c r="DS274" s="18"/>
      <c r="DT274" s="18"/>
      <c r="DU274" s="18"/>
      <c r="DV274" s="18"/>
      <c r="DW274" s="18"/>
      <c r="DX274" s="18"/>
      <c r="DY274" s="18"/>
      <c r="DZ274" s="18"/>
    </row>
    <row r="275" spans="1:130" x14ac:dyDescent="0.3">
      <c r="A275" s="18"/>
      <c r="B275" s="18"/>
      <c r="C275" s="18"/>
      <c r="D275" s="18"/>
      <c r="E275" s="18"/>
      <c r="F275" s="18"/>
      <c r="G275" s="18"/>
      <c r="H275" s="18"/>
      <c r="I275" s="18"/>
      <c r="J275" s="18"/>
      <c r="K275" s="18"/>
      <c r="L275" s="18"/>
      <c r="M275" s="18"/>
      <c r="N275" s="17"/>
      <c r="O275" s="17"/>
      <c r="P275" s="17"/>
      <c r="Q275" s="17"/>
      <c r="R275" s="17"/>
      <c r="S275" s="17"/>
      <c r="T275" s="17"/>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7"/>
      <c r="BT275" s="17"/>
      <c r="BU275" s="17"/>
      <c r="BV275" s="17"/>
      <c r="BW275" s="17"/>
      <c r="BX275" s="18"/>
      <c r="BY275" s="18"/>
      <c r="BZ275" s="18"/>
      <c r="CA275" s="18"/>
      <c r="CB275" s="17"/>
      <c r="CC275" s="17"/>
      <c r="CD275" s="17"/>
      <c r="CE275" s="18"/>
      <c r="CF275" s="18"/>
      <c r="CG275" s="18"/>
      <c r="CH275" s="18"/>
      <c r="CI275" s="18"/>
      <c r="CJ275" s="18"/>
      <c r="CK275" s="18"/>
      <c r="CL275" s="18"/>
      <c r="CM275" s="18"/>
      <c r="CN275" s="18"/>
      <c r="CO275" s="18"/>
      <c r="CP275" s="18"/>
      <c r="CQ275" s="18"/>
      <c r="CR275" s="18"/>
      <c r="CS275" s="18"/>
      <c r="CT275" s="18"/>
      <c r="CU275" s="18"/>
      <c r="CV275" s="18"/>
      <c r="CW275" s="18"/>
      <c r="CX275" s="18"/>
      <c r="CY275" s="37"/>
      <c r="CZ275" s="38"/>
      <c r="DA275" s="18"/>
      <c r="DB275" s="37"/>
      <c r="DC275" s="38"/>
      <c r="DD275" s="18"/>
      <c r="DE275" s="37"/>
      <c r="DF275" s="38"/>
      <c r="DG275" s="18"/>
      <c r="DH275" s="37"/>
      <c r="DI275" s="38"/>
      <c r="DJ275" s="18"/>
      <c r="DK275" s="37"/>
      <c r="DL275" s="38"/>
      <c r="DM275" s="18"/>
      <c r="DN275" s="18"/>
      <c r="DO275" s="18"/>
      <c r="DP275" s="18"/>
      <c r="DQ275" s="18"/>
      <c r="DR275" s="18"/>
      <c r="DS275" s="18"/>
      <c r="DT275" s="18"/>
      <c r="DU275" s="18"/>
      <c r="DV275" s="18"/>
      <c r="DW275" s="18"/>
      <c r="DX275" s="18"/>
      <c r="DY275" s="18"/>
      <c r="DZ275" s="18"/>
    </row>
    <row r="276" spans="1:130" x14ac:dyDescent="0.3">
      <c r="A276" s="18"/>
      <c r="B276" s="18"/>
      <c r="C276" s="18"/>
      <c r="D276" s="18"/>
      <c r="E276" s="18"/>
      <c r="F276" s="18"/>
      <c r="G276" s="18"/>
      <c r="H276" s="18"/>
      <c r="I276" s="18"/>
      <c r="J276" s="18"/>
      <c r="K276" s="18"/>
      <c r="L276" s="18"/>
      <c r="M276" s="18"/>
      <c r="N276" s="17"/>
      <c r="O276" s="17"/>
      <c r="P276" s="17"/>
      <c r="Q276" s="17"/>
      <c r="R276" s="17"/>
      <c r="S276" s="17"/>
      <c r="T276" s="17"/>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7"/>
      <c r="BT276" s="17"/>
      <c r="BU276" s="17"/>
      <c r="BV276" s="17"/>
      <c r="BW276" s="17"/>
      <c r="BX276" s="18"/>
      <c r="BY276" s="18"/>
      <c r="BZ276" s="18"/>
      <c r="CA276" s="18"/>
      <c r="CB276" s="17"/>
      <c r="CC276" s="17"/>
      <c r="CD276" s="17"/>
      <c r="CE276" s="18"/>
      <c r="CF276" s="18"/>
      <c r="CG276" s="18"/>
      <c r="CH276" s="18"/>
      <c r="CI276" s="18"/>
      <c r="CJ276" s="18"/>
      <c r="CK276" s="18"/>
      <c r="CL276" s="18"/>
      <c r="CM276" s="18"/>
      <c r="CN276" s="18"/>
      <c r="CO276" s="18"/>
      <c r="CP276" s="18"/>
      <c r="CQ276" s="18"/>
      <c r="CR276" s="18"/>
      <c r="CS276" s="18"/>
      <c r="CT276" s="18"/>
      <c r="CU276" s="18"/>
      <c r="CV276" s="18"/>
      <c r="CW276" s="18"/>
      <c r="CX276" s="18"/>
      <c r="CY276" s="37"/>
      <c r="CZ276" s="38"/>
      <c r="DA276" s="18"/>
      <c r="DB276" s="37"/>
      <c r="DC276" s="38"/>
      <c r="DD276" s="18"/>
      <c r="DE276" s="37"/>
      <c r="DF276" s="38"/>
      <c r="DG276" s="18"/>
      <c r="DH276" s="37"/>
      <c r="DI276" s="38"/>
      <c r="DJ276" s="18"/>
      <c r="DK276" s="37"/>
      <c r="DL276" s="38"/>
      <c r="DM276" s="18"/>
      <c r="DN276" s="18"/>
      <c r="DO276" s="18"/>
      <c r="DP276" s="18"/>
      <c r="DQ276" s="18"/>
      <c r="DR276" s="18"/>
      <c r="DS276" s="18"/>
      <c r="DT276" s="18"/>
      <c r="DU276" s="18"/>
      <c r="DV276" s="18"/>
      <c r="DW276" s="18"/>
      <c r="DX276" s="18"/>
      <c r="DY276" s="18"/>
      <c r="DZ276" s="18"/>
    </row>
    <row r="277" spans="1:130" x14ac:dyDescent="0.3">
      <c r="A277" s="18"/>
      <c r="B277" s="18"/>
      <c r="C277" s="18"/>
      <c r="D277" s="18"/>
      <c r="E277" s="18"/>
      <c r="F277" s="18"/>
      <c r="G277" s="18"/>
      <c r="H277" s="18"/>
      <c r="I277" s="18"/>
      <c r="J277" s="18"/>
      <c r="K277" s="18"/>
      <c r="L277" s="18"/>
      <c r="M277" s="18"/>
      <c r="N277" s="17"/>
      <c r="O277" s="17"/>
      <c r="P277" s="17"/>
      <c r="Q277" s="17"/>
      <c r="R277" s="17"/>
      <c r="S277" s="17"/>
      <c r="T277" s="17"/>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7"/>
      <c r="BT277" s="17"/>
      <c r="BU277" s="17"/>
      <c r="BV277" s="17"/>
      <c r="BW277" s="17"/>
      <c r="BX277" s="18"/>
      <c r="BY277" s="18"/>
      <c r="BZ277" s="18"/>
      <c r="CA277" s="18"/>
      <c r="CB277" s="17"/>
      <c r="CC277" s="17"/>
      <c r="CD277" s="17"/>
      <c r="CE277" s="18"/>
      <c r="CF277" s="18"/>
      <c r="CG277" s="18"/>
      <c r="CH277" s="18"/>
      <c r="CI277" s="18"/>
      <c r="CJ277" s="18"/>
      <c r="CK277" s="18"/>
      <c r="CL277" s="18"/>
      <c r="CM277" s="18"/>
      <c r="CN277" s="18"/>
      <c r="CO277" s="18"/>
      <c r="CP277" s="18"/>
      <c r="CQ277" s="18"/>
      <c r="CR277" s="18"/>
      <c r="CS277" s="18"/>
      <c r="CT277" s="18"/>
      <c r="CU277" s="18"/>
      <c r="CV277" s="18"/>
      <c r="CW277" s="18"/>
      <c r="CX277" s="18"/>
      <c r="CY277" s="37"/>
      <c r="CZ277" s="38"/>
      <c r="DA277" s="18"/>
      <c r="DB277" s="37"/>
      <c r="DC277" s="38"/>
      <c r="DD277" s="18"/>
      <c r="DE277" s="37"/>
      <c r="DF277" s="38"/>
      <c r="DG277" s="18"/>
      <c r="DH277" s="37"/>
      <c r="DI277" s="38"/>
      <c r="DJ277" s="18"/>
      <c r="DK277" s="37"/>
      <c r="DL277" s="38"/>
      <c r="DM277" s="18"/>
      <c r="DN277" s="18"/>
      <c r="DO277" s="18"/>
      <c r="DP277" s="18"/>
      <c r="DQ277" s="18"/>
      <c r="DR277" s="18"/>
      <c r="DS277" s="18"/>
      <c r="DT277" s="18"/>
      <c r="DU277" s="18"/>
      <c r="DV277" s="18"/>
      <c r="DW277" s="18"/>
      <c r="DX277" s="18"/>
      <c r="DY277" s="18"/>
      <c r="DZ277" s="18"/>
    </row>
    <row r="278" spans="1:130" x14ac:dyDescent="0.3">
      <c r="A278" s="18"/>
      <c r="B278" s="18"/>
      <c r="C278" s="18"/>
      <c r="D278" s="18"/>
      <c r="E278" s="18"/>
      <c r="F278" s="18"/>
      <c r="G278" s="18"/>
      <c r="H278" s="18"/>
      <c r="I278" s="18"/>
      <c r="J278" s="18"/>
      <c r="K278" s="18"/>
      <c r="L278" s="18"/>
      <c r="M278" s="18"/>
      <c r="N278" s="17"/>
      <c r="O278" s="17"/>
      <c r="P278" s="17"/>
      <c r="Q278" s="17"/>
      <c r="R278" s="17"/>
      <c r="S278" s="17"/>
      <c r="T278" s="17"/>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7"/>
      <c r="BT278" s="17"/>
      <c r="BU278" s="17"/>
      <c r="BV278" s="17"/>
      <c r="BW278" s="17"/>
      <c r="BX278" s="18"/>
      <c r="BY278" s="18"/>
      <c r="BZ278" s="18"/>
      <c r="CA278" s="18"/>
      <c r="CB278" s="17"/>
      <c r="CC278" s="17"/>
      <c r="CD278" s="17"/>
      <c r="CE278" s="18"/>
      <c r="CF278" s="18"/>
      <c r="CG278" s="18"/>
      <c r="CH278" s="18"/>
      <c r="CI278" s="18"/>
      <c r="CJ278" s="18"/>
      <c r="CK278" s="18"/>
      <c r="CL278" s="18"/>
      <c r="CM278" s="18"/>
      <c r="CN278" s="18"/>
      <c r="CO278" s="18"/>
      <c r="CP278" s="18"/>
      <c r="CQ278" s="18"/>
      <c r="CR278" s="18"/>
      <c r="CS278" s="18"/>
      <c r="CT278" s="18"/>
      <c r="CU278" s="18"/>
      <c r="CV278" s="18"/>
      <c r="CW278" s="18"/>
      <c r="CX278" s="18"/>
      <c r="CY278" s="37"/>
      <c r="CZ278" s="38"/>
      <c r="DA278" s="18"/>
      <c r="DB278" s="37"/>
      <c r="DC278" s="38"/>
      <c r="DD278" s="18"/>
      <c r="DE278" s="37"/>
      <c r="DF278" s="38"/>
      <c r="DG278" s="18"/>
      <c r="DH278" s="37"/>
      <c r="DI278" s="38"/>
      <c r="DJ278" s="18"/>
      <c r="DK278" s="37"/>
      <c r="DL278" s="38"/>
      <c r="DM278" s="18"/>
      <c r="DN278" s="18"/>
      <c r="DO278" s="18"/>
      <c r="DP278" s="18"/>
      <c r="DQ278" s="18"/>
      <c r="DR278" s="18"/>
      <c r="DS278" s="18"/>
      <c r="DT278" s="18"/>
      <c r="DU278" s="18"/>
      <c r="DV278" s="18"/>
      <c r="DW278" s="18"/>
      <c r="DX278" s="18"/>
      <c r="DY278" s="18"/>
      <c r="DZ278" s="18"/>
    </row>
    <row r="279" spans="1:130" x14ac:dyDescent="0.3">
      <c r="A279" s="18"/>
      <c r="B279" s="18"/>
      <c r="C279" s="18"/>
      <c r="D279" s="18"/>
      <c r="E279" s="18"/>
      <c r="F279" s="18"/>
      <c r="G279" s="18"/>
      <c r="H279" s="18"/>
      <c r="I279" s="18"/>
      <c r="J279" s="18"/>
      <c r="K279" s="18"/>
      <c r="L279" s="18"/>
      <c r="M279" s="18"/>
      <c r="N279" s="17"/>
      <c r="O279" s="17"/>
      <c r="P279" s="17"/>
      <c r="Q279" s="17"/>
      <c r="R279" s="17"/>
      <c r="S279" s="17"/>
      <c r="T279" s="17"/>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7"/>
      <c r="BT279" s="17"/>
      <c r="BU279" s="17"/>
      <c r="BV279" s="17"/>
      <c r="BW279" s="17"/>
      <c r="BX279" s="18"/>
      <c r="BY279" s="18"/>
      <c r="BZ279" s="18"/>
      <c r="CA279" s="18"/>
      <c r="CB279" s="17"/>
      <c r="CC279" s="17"/>
      <c r="CD279" s="17"/>
      <c r="CE279" s="18"/>
      <c r="CF279" s="18"/>
      <c r="CG279" s="18"/>
      <c r="CH279" s="18"/>
      <c r="CI279" s="18"/>
      <c r="CJ279" s="18"/>
      <c r="CK279" s="18"/>
      <c r="CL279" s="18"/>
      <c r="CM279" s="18"/>
      <c r="CN279" s="18"/>
      <c r="CO279" s="18"/>
      <c r="CP279" s="18"/>
      <c r="CQ279" s="18"/>
      <c r="CR279" s="18"/>
      <c r="CS279" s="18"/>
      <c r="CT279" s="18"/>
      <c r="CU279" s="18"/>
      <c r="CV279" s="18"/>
      <c r="CW279" s="18"/>
      <c r="CX279" s="18"/>
      <c r="CY279" s="37"/>
      <c r="CZ279" s="38"/>
      <c r="DA279" s="18"/>
      <c r="DB279" s="37"/>
      <c r="DC279" s="38"/>
      <c r="DD279" s="18"/>
      <c r="DE279" s="37"/>
      <c r="DF279" s="38"/>
      <c r="DG279" s="18"/>
      <c r="DH279" s="37"/>
      <c r="DI279" s="38"/>
      <c r="DJ279" s="18"/>
      <c r="DK279" s="37"/>
      <c r="DL279" s="38"/>
      <c r="DM279" s="18"/>
      <c r="DN279" s="18"/>
      <c r="DO279" s="18"/>
      <c r="DP279" s="18"/>
      <c r="DQ279" s="18"/>
      <c r="DR279" s="18"/>
      <c r="DS279" s="18"/>
      <c r="DT279" s="18"/>
      <c r="DU279" s="18"/>
      <c r="DV279" s="18"/>
      <c r="DW279" s="18"/>
      <c r="DX279" s="18"/>
      <c r="DY279" s="18"/>
      <c r="DZ279" s="18"/>
    </row>
    <row r="280" spans="1:130" x14ac:dyDescent="0.3">
      <c r="A280" s="18"/>
      <c r="B280" s="18"/>
      <c r="C280" s="18"/>
      <c r="D280" s="18"/>
      <c r="E280" s="18"/>
      <c r="F280" s="18"/>
      <c r="G280" s="18"/>
      <c r="H280" s="18"/>
      <c r="I280" s="18"/>
      <c r="J280" s="18"/>
      <c r="K280" s="18"/>
      <c r="L280" s="18"/>
      <c r="M280" s="18"/>
      <c r="N280" s="17"/>
      <c r="O280" s="17"/>
      <c r="P280" s="17"/>
      <c r="Q280" s="17"/>
      <c r="R280" s="17"/>
      <c r="S280" s="17"/>
      <c r="T280" s="17"/>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7"/>
      <c r="BT280" s="17"/>
      <c r="BU280" s="17"/>
      <c r="BV280" s="17"/>
      <c r="BW280" s="17"/>
      <c r="BX280" s="18"/>
      <c r="BY280" s="18"/>
      <c r="BZ280" s="18"/>
      <c r="CA280" s="18"/>
      <c r="CB280" s="17"/>
      <c r="CC280" s="17"/>
      <c r="CD280" s="17"/>
      <c r="CE280" s="18"/>
      <c r="CF280" s="18"/>
      <c r="CG280" s="18"/>
      <c r="CH280" s="18"/>
      <c r="CI280" s="18"/>
      <c r="CJ280" s="18"/>
      <c r="CK280" s="18"/>
      <c r="CL280" s="18"/>
      <c r="CM280" s="18"/>
      <c r="CN280" s="18"/>
      <c r="CO280" s="18"/>
      <c r="CP280" s="18"/>
      <c r="CQ280" s="18"/>
      <c r="CR280" s="18"/>
      <c r="CS280" s="18"/>
      <c r="CT280" s="18"/>
      <c r="CU280" s="18"/>
      <c r="CV280" s="18"/>
      <c r="CW280" s="18"/>
      <c r="CX280" s="18"/>
      <c r="CY280" s="37"/>
      <c r="CZ280" s="38"/>
      <c r="DA280" s="18"/>
      <c r="DB280" s="37"/>
      <c r="DC280" s="38"/>
      <c r="DD280" s="18"/>
      <c r="DE280" s="37"/>
      <c r="DF280" s="38"/>
      <c r="DG280" s="18"/>
      <c r="DH280" s="37"/>
      <c r="DI280" s="38"/>
      <c r="DJ280" s="18"/>
      <c r="DK280" s="37"/>
      <c r="DL280" s="38"/>
      <c r="DM280" s="18"/>
      <c r="DN280" s="18"/>
      <c r="DO280" s="18"/>
      <c r="DP280" s="18"/>
      <c r="DQ280" s="18"/>
      <c r="DR280" s="18"/>
      <c r="DS280" s="18"/>
      <c r="DT280" s="18"/>
      <c r="DU280" s="18"/>
      <c r="DV280" s="18"/>
      <c r="DW280" s="18"/>
      <c r="DX280" s="18"/>
      <c r="DY280" s="18"/>
      <c r="DZ280" s="18"/>
    </row>
    <row r="281" spans="1:130" x14ac:dyDescent="0.3">
      <c r="A281" s="18"/>
      <c r="B281" s="18"/>
      <c r="C281" s="18"/>
      <c r="D281" s="18"/>
      <c r="E281" s="18"/>
      <c r="F281" s="18"/>
      <c r="G281" s="18"/>
      <c r="H281" s="18"/>
      <c r="I281" s="18"/>
      <c r="J281" s="18"/>
      <c r="K281" s="18"/>
      <c r="L281" s="18"/>
      <c r="M281" s="18"/>
      <c r="N281" s="17"/>
      <c r="O281" s="17"/>
      <c r="P281" s="17"/>
      <c r="Q281" s="17"/>
      <c r="R281" s="17"/>
      <c r="S281" s="17"/>
      <c r="T281" s="17"/>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7"/>
      <c r="BT281" s="17"/>
      <c r="BU281" s="17"/>
      <c r="BV281" s="17"/>
      <c r="BW281" s="17"/>
      <c r="BX281" s="18"/>
      <c r="BY281" s="18"/>
      <c r="BZ281" s="18"/>
      <c r="CA281" s="18"/>
      <c r="CB281" s="17"/>
      <c r="CC281" s="17"/>
      <c r="CD281" s="17"/>
      <c r="CE281" s="18"/>
      <c r="CF281" s="18"/>
      <c r="CG281" s="18"/>
      <c r="CH281" s="18"/>
      <c r="CI281" s="18"/>
      <c r="CJ281" s="18"/>
      <c r="CK281" s="18"/>
      <c r="CL281" s="18"/>
      <c r="CM281" s="18"/>
      <c r="CN281" s="18"/>
      <c r="CO281" s="18"/>
      <c r="CP281" s="18"/>
      <c r="CQ281" s="18"/>
      <c r="CR281" s="18"/>
      <c r="CS281" s="18"/>
      <c r="CT281" s="18"/>
      <c r="CU281" s="18"/>
      <c r="CV281" s="18"/>
      <c r="CW281" s="18"/>
      <c r="CX281" s="18"/>
      <c r="CY281" s="37"/>
      <c r="CZ281" s="38"/>
      <c r="DA281" s="18"/>
      <c r="DB281" s="37"/>
      <c r="DC281" s="38"/>
      <c r="DD281" s="18"/>
      <c r="DE281" s="37"/>
      <c r="DF281" s="38"/>
      <c r="DG281" s="18"/>
      <c r="DH281" s="37"/>
      <c r="DI281" s="38"/>
      <c r="DJ281" s="18"/>
      <c r="DK281" s="37"/>
      <c r="DL281" s="38"/>
      <c r="DM281" s="18"/>
      <c r="DN281" s="18"/>
      <c r="DO281" s="18"/>
      <c r="DP281" s="18"/>
      <c r="DQ281" s="18"/>
      <c r="DR281" s="18"/>
      <c r="DS281" s="18"/>
      <c r="DT281" s="18"/>
      <c r="DU281" s="18"/>
      <c r="DV281" s="18"/>
      <c r="DW281" s="18"/>
      <c r="DX281" s="18"/>
      <c r="DY281" s="18"/>
      <c r="DZ281" s="18"/>
    </row>
    <row r="282" spans="1:130" x14ac:dyDescent="0.3">
      <c r="A282" s="18"/>
      <c r="B282" s="18"/>
      <c r="C282" s="18"/>
      <c r="D282" s="18"/>
      <c r="E282" s="18"/>
      <c r="F282" s="18"/>
      <c r="G282" s="18"/>
      <c r="H282" s="18"/>
      <c r="I282" s="18"/>
      <c r="J282" s="18"/>
      <c r="K282" s="18"/>
      <c r="L282" s="18"/>
      <c r="M282" s="18"/>
      <c r="N282" s="17"/>
      <c r="O282" s="17"/>
      <c r="P282" s="17"/>
      <c r="Q282" s="17"/>
      <c r="R282" s="17"/>
      <c r="S282" s="17"/>
      <c r="T282" s="17"/>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7"/>
      <c r="BT282" s="17"/>
      <c r="BU282" s="17"/>
      <c r="BV282" s="17"/>
      <c r="BW282" s="17"/>
      <c r="BX282" s="18"/>
      <c r="BY282" s="18"/>
      <c r="BZ282" s="18"/>
      <c r="CA282" s="18"/>
      <c r="CB282" s="17"/>
      <c r="CC282" s="17"/>
      <c r="CD282" s="17"/>
      <c r="CE282" s="18"/>
      <c r="CF282" s="18"/>
      <c r="CG282" s="18"/>
      <c r="CH282" s="18"/>
      <c r="CI282" s="18"/>
      <c r="CJ282" s="18"/>
      <c r="CK282" s="18"/>
      <c r="CL282" s="18"/>
      <c r="CM282" s="18"/>
      <c r="CN282" s="18"/>
      <c r="CO282" s="18"/>
      <c r="CP282" s="18"/>
      <c r="CQ282" s="18"/>
      <c r="CR282" s="18"/>
      <c r="CS282" s="18"/>
      <c r="CT282" s="18"/>
      <c r="CU282" s="18"/>
      <c r="CV282" s="18"/>
      <c r="CW282" s="18"/>
      <c r="CX282" s="18"/>
      <c r="CY282" s="37"/>
      <c r="CZ282" s="38"/>
      <c r="DA282" s="18"/>
      <c r="DB282" s="37"/>
      <c r="DC282" s="38"/>
      <c r="DD282" s="18"/>
      <c r="DE282" s="37"/>
      <c r="DF282" s="38"/>
      <c r="DG282" s="18"/>
      <c r="DH282" s="37"/>
      <c r="DI282" s="38"/>
      <c r="DJ282" s="18"/>
      <c r="DK282" s="37"/>
      <c r="DL282" s="38"/>
      <c r="DM282" s="18"/>
      <c r="DN282" s="18"/>
      <c r="DO282" s="18"/>
      <c r="DP282" s="18"/>
      <c r="DQ282" s="18"/>
      <c r="DR282" s="18"/>
      <c r="DS282" s="18"/>
      <c r="DT282" s="18"/>
      <c r="DU282" s="18"/>
      <c r="DV282" s="18"/>
      <c r="DW282" s="18"/>
      <c r="DX282" s="18"/>
      <c r="DY282" s="18"/>
      <c r="DZ282" s="18"/>
    </row>
    <row r="283" spans="1:130" x14ac:dyDescent="0.3">
      <c r="A283" s="18"/>
      <c r="B283" s="18"/>
      <c r="C283" s="18"/>
      <c r="D283" s="18"/>
      <c r="E283" s="18"/>
      <c r="F283" s="18"/>
      <c r="G283" s="18"/>
      <c r="H283" s="18"/>
      <c r="I283" s="18"/>
      <c r="J283" s="18"/>
      <c r="K283" s="18"/>
      <c r="L283" s="18"/>
      <c r="M283" s="18"/>
      <c r="N283" s="17"/>
      <c r="O283" s="17"/>
      <c r="P283" s="17"/>
      <c r="Q283" s="17"/>
      <c r="R283" s="17"/>
      <c r="S283" s="17"/>
      <c r="T283" s="17"/>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7"/>
      <c r="BT283" s="17"/>
      <c r="BU283" s="17"/>
      <c r="BV283" s="17"/>
      <c r="BW283" s="17"/>
      <c r="BX283" s="18"/>
      <c r="BY283" s="18"/>
      <c r="BZ283" s="18"/>
      <c r="CA283" s="18"/>
      <c r="CB283" s="17"/>
      <c r="CC283" s="17"/>
      <c r="CD283" s="17"/>
      <c r="CE283" s="18"/>
      <c r="CF283" s="18"/>
      <c r="CG283" s="18"/>
      <c r="CH283" s="18"/>
      <c r="CI283" s="18"/>
      <c r="CJ283" s="18"/>
      <c r="CK283" s="18"/>
      <c r="CL283" s="18"/>
      <c r="CM283" s="18"/>
      <c r="CN283" s="18"/>
      <c r="CO283" s="18"/>
      <c r="CP283" s="18"/>
      <c r="CQ283" s="18"/>
      <c r="CR283" s="18"/>
      <c r="CS283" s="18"/>
      <c r="CT283" s="18"/>
      <c r="CU283" s="18"/>
      <c r="CV283" s="18"/>
      <c r="CW283" s="18"/>
      <c r="CX283" s="18"/>
      <c r="CY283" s="37"/>
      <c r="CZ283" s="38"/>
      <c r="DA283" s="18"/>
      <c r="DB283" s="37"/>
      <c r="DC283" s="38"/>
      <c r="DD283" s="18"/>
      <c r="DE283" s="37"/>
      <c r="DF283" s="38"/>
      <c r="DG283" s="18"/>
      <c r="DH283" s="37"/>
      <c r="DI283" s="38"/>
      <c r="DJ283" s="18"/>
      <c r="DK283" s="37"/>
      <c r="DL283" s="38"/>
      <c r="DM283" s="18"/>
      <c r="DN283" s="18"/>
      <c r="DO283" s="18"/>
      <c r="DP283" s="18"/>
      <c r="DQ283" s="18"/>
      <c r="DR283" s="18"/>
      <c r="DS283" s="18"/>
      <c r="DT283" s="18"/>
      <c r="DU283" s="18"/>
      <c r="DV283" s="18"/>
      <c r="DW283" s="18"/>
      <c r="DX283" s="18"/>
      <c r="DY283" s="18"/>
      <c r="DZ283" s="18"/>
    </row>
    <row r="284" spans="1:130" x14ac:dyDescent="0.3">
      <c r="A284" s="18"/>
      <c r="B284" s="18"/>
      <c r="C284" s="18"/>
      <c r="D284" s="18"/>
      <c r="E284" s="18"/>
      <c r="F284" s="18"/>
      <c r="G284" s="18"/>
      <c r="H284" s="18"/>
      <c r="I284" s="18"/>
      <c r="J284" s="18"/>
      <c r="K284" s="18"/>
      <c r="L284" s="18"/>
      <c r="M284" s="18"/>
      <c r="N284" s="17"/>
      <c r="O284" s="17"/>
      <c r="P284" s="17"/>
      <c r="Q284" s="17"/>
      <c r="R284" s="17"/>
      <c r="S284" s="17"/>
      <c r="T284" s="17"/>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7"/>
      <c r="BT284" s="17"/>
      <c r="BU284" s="17"/>
      <c r="BV284" s="17"/>
      <c r="BW284" s="17"/>
      <c r="BX284" s="18"/>
      <c r="BY284" s="18"/>
      <c r="BZ284" s="18"/>
      <c r="CA284" s="18"/>
      <c r="CB284" s="17"/>
      <c r="CC284" s="17"/>
      <c r="CD284" s="17"/>
      <c r="CE284" s="18"/>
      <c r="CF284" s="18"/>
      <c r="CG284" s="18"/>
      <c r="CH284" s="18"/>
      <c r="CI284" s="18"/>
      <c r="CJ284" s="18"/>
      <c r="CK284" s="18"/>
      <c r="CL284" s="18"/>
      <c r="CM284" s="18"/>
      <c r="CN284" s="18"/>
      <c r="CO284" s="18"/>
      <c r="CP284" s="18"/>
      <c r="CQ284" s="18"/>
      <c r="CR284" s="18"/>
      <c r="CS284" s="18"/>
      <c r="CT284" s="18"/>
      <c r="CU284" s="18"/>
      <c r="CV284" s="18"/>
      <c r="CW284" s="18"/>
      <c r="CX284" s="18"/>
      <c r="CY284" s="37"/>
      <c r="CZ284" s="38"/>
      <c r="DA284" s="18"/>
      <c r="DB284" s="37"/>
      <c r="DC284" s="38"/>
      <c r="DD284" s="18"/>
      <c r="DE284" s="37"/>
      <c r="DF284" s="38"/>
      <c r="DG284" s="18"/>
      <c r="DH284" s="37"/>
      <c r="DI284" s="38"/>
      <c r="DJ284" s="18"/>
      <c r="DK284" s="37"/>
      <c r="DL284" s="38"/>
      <c r="DM284" s="18"/>
      <c r="DN284" s="18"/>
      <c r="DO284" s="18"/>
      <c r="DP284" s="18"/>
      <c r="DQ284" s="18"/>
      <c r="DR284" s="18"/>
      <c r="DS284" s="18"/>
      <c r="DT284" s="18"/>
      <c r="DU284" s="18"/>
      <c r="DV284" s="18"/>
      <c r="DW284" s="18"/>
      <c r="DX284" s="18"/>
      <c r="DY284" s="18"/>
      <c r="DZ284" s="18"/>
    </row>
    <row r="285" spans="1:130" x14ac:dyDescent="0.3">
      <c r="A285" s="18"/>
      <c r="B285" s="18"/>
      <c r="C285" s="18"/>
      <c r="D285" s="18"/>
      <c r="E285" s="18"/>
      <c r="F285" s="18"/>
      <c r="G285" s="18"/>
      <c r="H285" s="18"/>
      <c r="I285" s="18"/>
      <c r="J285" s="18"/>
      <c r="K285" s="18"/>
      <c r="L285" s="18"/>
      <c r="M285" s="18"/>
      <c r="N285" s="17"/>
      <c r="O285" s="17"/>
      <c r="P285" s="17"/>
      <c r="Q285" s="17"/>
      <c r="R285" s="17"/>
      <c r="S285" s="17"/>
      <c r="T285" s="17"/>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7"/>
      <c r="BT285" s="17"/>
      <c r="BU285" s="17"/>
      <c r="BV285" s="17"/>
      <c r="BW285" s="17"/>
      <c r="BX285" s="18"/>
      <c r="BY285" s="18"/>
      <c r="BZ285" s="18"/>
      <c r="CA285" s="18"/>
      <c r="CB285" s="17"/>
      <c r="CC285" s="17"/>
      <c r="CD285" s="17"/>
      <c r="CE285" s="18"/>
      <c r="CF285" s="18"/>
      <c r="CG285" s="18"/>
      <c r="CH285" s="18"/>
      <c r="CI285" s="18"/>
      <c r="CJ285" s="18"/>
      <c r="CK285" s="18"/>
      <c r="CL285" s="18"/>
      <c r="CM285" s="18"/>
      <c r="CN285" s="18"/>
      <c r="CO285" s="18"/>
      <c r="CP285" s="18"/>
      <c r="CQ285" s="18"/>
      <c r="CR285" s="18"/>
      <c r="CS285" s="18"/>
      <c r="CT285" s="18"/>
      <c r="CU285" s="18"/>
      <c r="CV285" s="18"/>
      <c r="CW285" s="18"/>
      <c r="CX285" s="18"/>
      <c r="CY285" s="37"/>
      <c r="CZ285" s="38"/>
      <c r="DA285" s="18"/>
      <c r="DB285" s="37"/>
      <c r="DC285" s="38"/>
      <c r="DD285" s="18"/>
      <c r="DE285" s="37"/>
      <c r="DF285" s="38"/>
      <c r="DG285" s="18"/>
      <c r="DH285" s="37"/>
      <c r="DI285" s="38"/>
      <c r="DJ285" s="18"/>
      <c r="DK285" s="37"/>
      <c r="DL285" s="38"/>
      <c r="DM285" s="18"/>
      <c r="DN285" s="18"/>
      <c r="DO285" s="18"/>
      <c r="DP285" s="18"/>
      <c r="DQ285" s="18"/>
      <c r="DR285" s="18"/>
      <c r="DS285" s="18"/>
      <c r="DT285" s="18"/>
      <c r="DU285" s="18"/>
      <c r="DV285" s="18"/>
      <c r="DW285" s="18"/>
      <c r="DX285" s="18"/>
      <c r="DY285" s="18"/>
      <c r="DZ285" s="18"/>
    </row>
    <row r="286" spans="1:130" x14ac:dyDescent="0.3">
      <c r="A286" s="18"/>
      <c r="B286" s="18"/>
      <c r="C286" s="18"/>
      <c r="D286" s="18"/>
      <c r="E286" s="18"/>
      <c r="F286" s="18"/>
      <c r="G286" s="18"/>
      <c r="H286" s="18"/>
      <c r="I286" s="18"/>
      <c r="J286" s="18"/>
      <c r="K286" s="18"/>
      <c r="L286" s="18"/>
      <c r="M286" s="18"/>
      <c r="N286" s="17"/>
      <c r="O286" s="17"/>
      <c r="P286" s="17"/>
      <c r="Q286" s="17"/>
      <c r="R286" s="17"/>
      <c r="S286" s="17"/>
      <c r="T286" s="17"/>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7"/>
      <c r="BT286" s="17"/>
      <c r="BU286" s="17"/>
      <c r="BV286" s="17"/>
      <c r="BW286" s="17"/>
      <c r="BX286" s="18"/>
      <c r="BY286" s="18"/>
      <c r="BZ286" s="18"/>
      <c r="CA286" s="18"/>
      <c r="CB286" s="17"/>
      <c r="CC286" s="17"/>
      <c r="CD286" s="17"/>
      <c r="CE286" s="18"/>
      <c r="CF286" s="18"/>
      <c r="CG286" s="18"/>
      <c r="CH286" s="18"/>
      <c r="CI286" s="18"/>
      <c r="CJ286" s="18"/>
      <c r="CK286" s="18"/>
      <c r="CL286" s="18"/>
      <c r="CM286" s="18"/>
      <c r="CN286" s="18"/>
      <c r="CO286" s="18"/>
      <c r="CP286" s="18"/>
      <c r="CQ286" s="18"/>
      <c r="CR286" s="18"/>
      <c r="CS286" s="18"/>
      <c r="CT286" s="18"/>
      <c r="CU286" s="18"/>
      <c r="CV286" s="18"/>
      <c r="CW286" s="18"/>
      <c r="CX286" s="18"/>
      <c r="CY286" s="37"/>
      <c r="CZ286" s="38"/>
      <c r="DA286" s="18"/>
      <c r="DB286" s="37"/>
      <c r="DC286" s="38"/>
      <c r="DD286" s="18"/>
      <c r="DE286" s="37"/>
      <c r="DF286" s="38"/>
      <c r="DG286" s="18"/>
      <c r="DH286" s="37"/>
      <c r="DI286" s="38"/>
      <c r="DJ286" s="18"/>
      <c r="DK286" s="37"/>
      <c r="DL286" s="38"/>
      <c r="DM286" s="18"/>
      <c r="DN286" s="18"/>
      <c r="DO286" s="18"/>
      <c r="DP286" s="18"/>
      <c r="DQ286" s="18"/>
      <c r="DR286" s="18"/>
      <c r="DS286" s="18"/>
      <c r="DT286" s="18"/>
      <c r="DU286" s="18"/>
      <c r="DV286" s="18"/>
      <c r="DW286" s="18"/>
      <c r="DX286" s="18"/>
      <c r="DY286" s="18"/>
      <c r="DZ286" s="18"/>
    </row>
    <row r="287" spans="1:130" x14ac:dyDescent="0.3">
      <c r="A287" s="18"/>
      <c r="B287" s="18"/>
      <c r="C287" s="18"/>
      <c r="D287" s="18"/>
      <c r="E287" s="18"/>
      <c r="F287" s="18"/>
      <c r="G287" s="18"/>
      <c r="H287" s="18"/>
      <c r="I287" s="18"/>
      <c r="J287" s="18"/>
      <c r="K287" s="18"/>
      <c r="L287" s="18"/>
      <c r="M287" s="18"/>
      <c r="N287" s="17"/>
      <c r="O287" s="17"/>
      <c r="P287" s="17"/>
      <c r="Q287" s="17"/>
      <c r="R287" s="17"/>
      <c r="S287" s="17"/>
      <c r="T287" s="17"/>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7"/>
      <c r="BT287" s="17"/>
      <c r="BU287" s="17"/>
      <c r="BV287" s="17"/>
      <c r="BW287" s="17"/>
      <c r="BX287" s="18"/>
      <c r="BY287" s="18"/>
      <c r="BZ287" s="18"/>
      <c r="CA287" s="18"/>
      <c r="CB287" s="17"/>
      <c r="CC287" s="17"/>
      <c r="CD287" s="17"/>
      <c r="CE287" s="18"/>
      <c r="CF287" s="18"/>
      <c r="CG287" s="18"/>
      <c r="CH287" s="18"/>
      <c r="CI287" s="18"/>
      <c r="CJ287" s="18"/>
      <c r="CK287" s="18"/>
      <c r="CL287" s="18"/>
      <c r="CM287" s="18"/>
      <c r="CN287" s="18"/>
      <c r="CO287" s="18"/>
      <c r="CP287" s="18"/>
      <c r="CQ287" s="18"/>
      <c r="CR287" s="18"/>
      <c r="CS287" s="18"/>
      <c r="CT287" s="18"/>
      <c r="CU287" s="18"/>
      <c r="CV287" s="18"/>
      <c r="CW287" s="18"/>
      <c r="CX287" s="18"/>
      <c r="CY287" s="37"/>
      <c r="CZ287" s="38"/>
      <c r="DA287" s="18"/>
      <c r="DB287" s="37"/>
      <c r="DC287" s="38"/>
      <c r="DD287" s="18"/>
      <c r="DE287" s="37"/>
      <c r="DF287" s="38"/>
      <c r="DG287" s="18"/>
      <c r="DH287" s="37"/>
      <c r="DI287" s="38"/>
      <c r="DJ287" s="18"/>
      <c r="DK287" s="37"/>
      <c r="DL287" s="38"/>
      <c r="DM287" s="18"/>
      <c r="DN287" s="18"/>
      <c r="DO287" s="18"/>
      <c r="DP287" s="18"/>
      <c r="DQ287" s="18"/>
      <c r="DR287" s="18"/>
      <c r="DS287" s="18"/>
      <c r="DT287" s="18"/>
      <c r="DU287" s="18"/>
      <c r="DV287" s="18"/>
      <c r="DW287" s="18"/>
      <c r="DX287" s="18"/>
      <c r="DY287" s="18"/>
      <c r="DZ287" s="18"/>
    </row>
    <row r="288" spans="1:130" x14ac:dyDescent="0.3">
      <c r="A288" s="18"/>
      <c r="B288" s="18"/>
      <c r="C288" s="18"/>
      <c r="D288" s="18"/>
      <c r="E288" s="18"/>
      <c r="F288" s="18"/>
      <c r="G288" s="18"/>
      <c r="H288" s="18"/>
      <c r="I288" s="18"/>
      <c r="J288" s="18"/>
      <c r="K288" s="18"/>
      <c r="L288" s="18"/>
      <c r="M288" s="18"/>
      <c r="N288" s="17"/>
      <c r="O288" s="17"/>
      <c r="P288" s="17"/>
      <c r="Q288" s="17"/>
      <c r="R288" s="17"/>
      <c r="S288" s="17"/>
      <c r="T288" s="17"/>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7"/>
      <c r="BT288" s="17"/>
      <c r="BU288" s="17"/>
      <c r="BV288" s="17"/>
      <c r="BW288" s="17"/>
      <c r="BX288" s="18"/>
      <c r="BY288" s="18"/>
      <c r="BZ288" s="18"/>
      <c r="CA288" s="18"/>
      <c r="CB288" s="17"/>
      <c r="CC288" s="17"/>
      <c r="CD288" s="17"/>
      <c r="CE288" s="18"/>
      <c r="CF288" s="18"/>
      <c r="CG288" s="18"/>
      <c r="CH288" s="18"/>
      <c r="CI288" s="18"/>
      <c r="CJ288" s="18"/>
      <c r="CK288" s="18"/>
      <c r="CL288" s="18"/>
      <c r="CM288" s="18"/>
      <c r="CN288" s="18"/>
      <c r="CO288" s="18"/>
      <c r="CP288" s="18"/>
      <c r="CQ288" s="18"/>
      <c r="CR288" s="18"/>
      <c r="CS288" s="18"/>
      <c r="CT288" s="18"/>
      <c r="CU288" s="18"/>
      <c r="CV288" s="18"/>
      <c r="CW288" s="18"/>
      <c r="CX288" s="18"/>
      <c r="CY288" s="37"/>
      <c r="CZ288" s="38"/>
      <c r="DA288" s="18"/>
      <c r="DB288" s="37"/>
      <c r="DC288" s="38"/>
      <c r="DD288" s="18"/>
      <c r="DE288" s="37"/>
      <c r="DF288" s="38"/>
      <c r="DG288" s="18"/>
      <c r="DH288" s="37"/>
      <c r="DI288" s="38"/>
      <c r="DJ288" s="18"/>
      <c r="DK288" s="37"/>
      <c r="DL288" s="38"/>
      <c r="DM288" s="18"/>
      <c r="DN288" s="18"/>
      <c r="DO288" s="18"/>
      <c r="DP288" s="18"/>
      <c r="DQ288" s="18"/>
      <c r="DR288" s="18"/>
      <c r="DS288" s="18"/>
      <c r="DT288" s="18"/>
      <c r="DU288" s="18"/>
      <c r="DV288" s="18"/>
      <c r="DW288" s="18"/>
      <c r="DX288" s="18"/>
      <c r="DY288" s="18"/>
      <c r="DZ288" s="18"/>
    </row>
    <row r="289" spans="1:130" x14ac:dyDescent="0.3">
      <c r="A289" s="18"/>
      <c r="B289" s="18"/>
      <c r="C289" s="18"/>
      <c r="D289" s="18"/>
      <c r="E289" s="18"/>
      <c r="F289" s="18"/>
      <c r="G289" s="18"/>
      <c r="H289" s="18"/>
      <c r="I289" s="18"/>
      <c r="J289" s="18"/>
      <c r="K289" s="18"/>
      <c r="L289" s="18"/>
      <c r="M289" s="18"/>
      <c r="N289" s="17"/>
      <c r="O289" s="17"/>
      <c r="P289" s="17"/>
      <c r="Q289" s="17"/>
      <c r="R289" s="17"/>
      <c r="S289" s="17"/>
      <c r="T289" s="17"/>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7"/>
      <c r="BT289" s="17"/>
      <c r="BU289" s="17"/>
      <c r="BV289" s="17"/>
      <c r="BW289" s="17"/>
      <c r="BX289" s="18"/>
      <c r="BY289" s="18"/>
      <c r="BZ289" s="18"/>
      <c r="CA289" s="18"/>
      <c r="CB289" s="17"/>
      <c r="CC289" s="17"/>
      <c r="CD289" s="17"/>
      <c r="CE289" s="18"/>
      <c r="CF289" s="18"/>
      <c r="CG289" s="18"/>
      <c r="CH289" s="18"/>
      <c r="CI289" s="18"/>
      <c r="CJ289" s="18"/>
      <c r="CK289" s="18"/>
      <c r="CL289" s="18"/>
      <c r="CM289" s="18"/>
      <c r="CN289" s="18"/>
      <c r="CO289" s="18"/>
      <c r="CP289" s="18"/>
      <c r="CQ289" s="18"/>
      <c r="CR289" s="18"/>
      <c r="CS289" s="18"/>
      <c r="CT289" s="18"/>
      <c r="CU289" s="18"/>
      <c r="CV289" s="18"/>
      <c r="CW289" s="18"/>
      <c r="CX289" s="18"/>
      <c r="CY289" s="37"/>
      <c r="CZ289" s="38"/>
      <c r="DA289" s="18"/>
      <c r="DB289" s="37"/>
      <c r="DC289" s="38"/>
      <c r="DD289" s="18"/>
      <c r="DE289" s="37"/>
      <c r="DF289" s="38"/>
      <c r="DG289" s="18"/>
      <c r="DH289" s="37"/>
      <c r="DI289" s="38"/>
      <c r="DJ289" s="18"/>
      <c r="DK289" s="37"/>
      <c r="DL289" s="38"/>
      <c r="DM289" s="18"/>
      <c r="DN289" s="18"/>
      <c r="DO289" s="18"/>
      <c r="DP289" s="18"/>
      <c r="DQ289" s="18"/>
      <c r="DR289" s="18"/>
      <c r="DS289" s="18"/>
      <c r="DT289" s="18"/>
      <c r="DU289" s="18"/>
      <c r="DV289" s="18"/>
      <c r="DW289" s="18"/>
      <c r="DX289" s="18"/>
      <c r="DY289" s="18"/>
      <c r="DZ289" s="18"/>
    </row>
    <row r="290" spans="1:130" x14ac:dyDescent="0.3">
      <c r="A290" s="18"/>
      <c r="B290" s="18"/>
      <c r="C290" s="18"/>
      <c r="D290" s="18"/>
      <c r="E290" s="18"/>
      <c r="F290" s="18"/>
      <c r="G290" s="18"/>
      <c r="H290" s="18"/>
      <c r="I290" s="18"/>
      <c r="J290" s="18"/>
      <c r="K290" s="18"/>
      <c r="L290" s="18"/>
      <c r="M290" s="18"/>
      <c r="N290" s="17"/>
      <c r="O290" s="17"/>
      <c r="P290" s="17"/>
      <c r="Q290" s="17"/>
      <c r="R290" s="17"/>
      <c r="S290" s="17"/>
      <c r="T290" s="17"/>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7"/>
      <c r="BT290" s="17"/>
      <c r="BU290" s="17"/>
      <c r="BV290" s="17"/>
      <c r="BW290" s="17"/>
      <c r="BX290" s="18"/>
      <c r="BY290" s="18"/>
      <c r="BZ290" s="18"/>
      <c r="CA290" s="18"/>
      <c r="CB290" s="17"/>
      <c r="CC290" s="17"/>
      <c r="CD290" s="17"/>
      <c r="CE290" s="18"/>
      <c r="CF290" s="18"/>
      <c r="CG290" s="18"/>
      <c r="CH290" s="18"/>
      <c r="CI290" s="18"/>
      <c r="CJ290" s="18"/>
      <c r="CK290" s="18"/>
      <c r="CL290" s="18"/>
      <c r="CM290" s="18"/>
      <c r="CN290" s="18"/>
      <c r="CO290" s="18"/>
      <c r="CP290" s="18"/>
      <c r="CQ290" s="18"/>
      <c r="CR290" s="18"/>
      <c r="CS290" s="18"/>
      <c r="CT290" s="18"/>
      <c r="CU290" s="18"/>
      <c r="CV290" s="18"/>
      <c r="CW290" s="18"/>
      <c r="CX290" s="18"/>
      <c r="CY290" s="37"/>
      <c r="CZ290" s="38"/>
      <c r="DA290" s="18"/>
      <c r="DB290" s="37"/>
      <c r="DC290" s="38"/>
      <c r="DD290" s="18"/>
      <c r="DE290" s="37"/>
      <c r="DF290" s="38"/>
      <c r="DG290" s="18"/>
      <c r="DH290" s="37"/>
      <c r="DI290" s="38"/>
      <c r="DJ290" s="18"/>
      <c r="DK290" s="37"/>
      <c r="DL290" s="38"/>
      <c r="DM290" s="18"/>
      <c r="DN290" s="18"/>
      <c r="DO290" s="18"/>
      <c r="DP290" s="18"/>
      <c r="DQ290" s="18"/>
      <c r="DR290" s="18"/>
      <c r="DS290" s="18"/>
      <c r="DT290" s="18"/>
      <c r="DU290" s="18"/>
      <c r="DV290" s="18"/>
      <c r="DW290" s="18"/>
      <c r="DX290" s="18"/>
      <c r="DY290" s="18"/>
      <c r="DZ290" s="18"/>
    </row>
    <row r="291" spans="1:130" x14ac:dyDescent="0.3">
      <c r="A291" s="18"/>
      <c r="B291" s="18"/>
      <c r="C291" s="18"/>
      <c r="D291" s="18"/>
      <c r="E291" s="18"/>
      <c r="F291" s="18"/>
      <c r="G291" s="18"/>
      <c r="H291" s="18"/>
      <c r="I291" s="18"/>
      <c r="J291" s="18"/>
      <c r="K291" s="18"/>
      <c r="L291" s="18"/>
      <c r="M291" s="18"/>
      <c r="N291" s="17"/>
      <c r="O291" s="17"/>
      <c r="P291" s="17"/>
      <c r="Q291" s="17"/>
      <c r="R291" s="17"/>
      <c r="S291" s="17"/>
      <c r="T291" s="17"/>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7"/>
      <c r="BT291" s="17"/>
      <c r="BU291" s="17"/>
      <c r="BV291" s="17"/>
      <c r="BW291" s="17"/>
      <c r="BX291" s="18"/>
      <c r="BY291" s="18"/>
      <c r="BZ291" s="18"/>
      <c r="CA291" s="18"/>
      <c r="CB291" s="17"/>
      <c r="CC291" s="17"/>
      <c r="CD291" s="17"/>
      <c r="CE291" s="18"/>
      <c r="CF291" s="18"/>
      <c r="CG291" s="18"/>
      <c r="CH291" s="18"/>
      <c r="CI291" s="18"/>
      <c r="CJ291" s="18"/>
      <c r="CK291" s="18"/>
      <c r="CL291" s="18"/>
      <c r="CM291" s="18"/>
      <c r="CN291" s="18"/>
      <c r="CO291" s="18"/>
      <c r="CP291" s="18"/>
      <c r="CQ291" s="18"/>
      <c r="CR291" s="18"/>
      <c r="CS291" s="18"/>
      <c r="CT291" s="18"/>
      <c r="CU291" s="18"/>
      <c r="CV291" s="18"/>
      <c r="CW291" s="18"/>
      <c r="CX291" s="18"/>
      <c r="CY291" s="37"/>
      <c r="CZ291" s="38"/>
      <c r="DA291" s="18"/>
      <c r="DB291" s="37"/>
      <c r="DC291" s="38"/>
      <c r="DD291" s="18"/>
      <c r="DE291" s="37"/>
      <c r="DF291" s="38"/>
      <c r="DG291" s="18"/>
      <c r="DH291" s="37"/>
      <c r="DI291" s="38"/>
      <c r="DJ291" s="18"/>
      <c r="DK291" s="37"/>
      <c r="DL291" s="38"/>
      <c r="DM291" s="18"/>
      <c r="DN291" s="18"/>
      <c r="DO291" s="18"/>
      <c r="DP291" s="18"/>
      <c r="DQ291" s="18"/>
      <c r="DR291" s="18"/>
      <c r="DS291" s="18"/>
      <c r="DT291" s="18"/>
      <c r="DU291" s="18"/>
      <c r="DV291" s="18"/>
      <c r="DW291" s="18"/>
      <c r="DX291" s="18"/>
      <c r="DY291" s="18"/>
      <c r="DZ291" s="18"/>
    </row>
    <row r="292" spans="1:130" x14ac:dyDescent="0.3">
      <c r="A292" s="18"/>
      <c r="B292" s="18"/>
      <c r="C292" s="18"/>
      <c r="D292" s="18"/>
      <c r="E292" s="18"/>
      <c r="F292" s="18"/>
      <c r="G292" s="18"/>
      <c r="H292" s="18"/>
      <c r="I292" s="18"/>
      <c r="J292" s="18"/>
      <c r="K292" s="18"/>
      <c r="L292" s="18"/>
      <c r="M292" s="18"/>
      <c r="N292" s="17"/>
      <c r="O292" s="17"/>
      <c r="P292" s="17"/>
      <c r="Q292" s="17"/>
      <c r="R292" s="17"/>
      <c r="S292" s="17"/>
      <c r="T292" s="17"/>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7"/>
      <c r="BT292" s="17"/>
      <c r="BU292" s="17"/>
      <c r="BV292" s="17"/>
      <c r="BW292" s="17"/>
      <c r="BX292" s="18"/>
      <c r="BY292" s="18"/>
      <c r="BZ292" s="18"/>
      <c r="CA292" s="18"/>
      <c r="CB292" s="17"/>
      <c r="CC292" s="17"/>
      <c r="CD292" s="17"/>
      <c r="CE292" s="18"/>
      <c r="CF292" s="18"/>
      <c r="CG292" s="18"/>
      <c r="CH292" s="18"/>
      <c r="CI292" s="18"/>
      <c r="CJ292" s="18"/>
      <c r="CK292" s="18"/>
      <c r="CL292" s="18"/>
      <c r="CM292" s="18"/>
      <c r="CN292" s="18"/>
      <c r="CO292" s="18"/>
      <c r="CP292" s="18"/>
      <c r="CQ292" s="18"/>
      <c r="CR292" s="18"/>
      <c r="CS292" s="18"/>
      <c r="CT292" s="18"/>
      <c r="CU292" s="18"/>
      <c r="CV292" s="18"/>
      <c r="CW292" s="18"/>
      <c r="CX292" s="18"/>
      <c r="CY292" s="37"/>
      <c r="CZ292" s="38"/>
      <c r="DA292" s="18"/>
      <c r="DB292" s="37"/>
      <c r="DC292" s="38"/>
      <c r="DD292" s="18"/>
      <c r="DE292" s="37"/>
      <c r="DF292" s="38"/>
      <c r="DG292" s="18"/>
      <c r="DH292" s="37"/>
      <c r="DI292" s="38"/>
      <c r="DJ292" s="18"/>
      <c r="DK292" s="37"/>
      <c r="DL292" s="38"/>
      <c r="DM292" s="18"/>
      <c r="DN292" s="18"/>
      <c r="DO292" s="18"/>
      <c r="DP292" s="18"/>
      <c r="DQ292" s="18"/>
      <c r="DR292" s="18"/>
      <c r="DS292" s="18"/>
      <c r="DT292" s="18"/>
      <c r="DU292" s="18"/>
      <c r="DV292" s="18"/>
      <c r="DW292" s="18"/>
      <c r="DX292" s="18"/>
      <c r="DY292" s="18"/>
      <c r="DZ292" s="18"/>
    </row>
    <row r="293" spans="1:130" x14ac:dyDescent="0.3">
      <c r="A293" s="18"/>
      <c r="B293" s="18"/>
      <c r="C293" s="18"/>
      <c r="D293" s="18"/>
      <c r="E293" s="18"/>
      <c r="F293" s="18"/>
      <c r="G293" s="18"/>
      <c r="H293" s="18"/>
      <c r="I293" s="18"/>
      <c r="J293" s="18"/>
      <c r="K293" s="18"/>
      <c r="L293" s="18"/>
      <c r="M293" s="18"/>
      <c r="N293" s="17"/>
      <c r="O293" s="17"/>
      <c r="P293" s="17"/>
      <c r="Q293" s="17"/>
      <c r="R293" s="17"/>
      <c r="S293" s="17"/>
      <c r="T293" s="17"/>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7"/>
      <c r="BT293" s="17"/>
      <c r="BU293" s="17"/>
      <c r="BV293" s="17"/>
      <c r="BW293" s="17"/>
      <c r="BX293" s="18"/>
      <c r="BY293" s="18"/>
      <c r="BZ293" s="18"/>
      <c r="CA293" s="18"/>
      <c r="CB293" s="17"/>
      <c r="CC293" s="17"/>
      <c r="CD293" s="17"/>
      <c r="CE293" s="18"/>
      <c r="CF293" s="18"/>
      <c r="CG293" s="18"/>
      <c r="CH293" s="18"/>
      <c r="CI293" s="18"/>
      <c r="CJ293" s="18"/>
      <c r="CK293" s="18"/>
      <c r="CL293" s="18"/>
      <c r="CM293" s="18"/>
      <c r="CN293" s="18"/>
      <c r="CO293" s="18"/>
      <c r="CP293" s="18"/>
      <c r="CQ293" s="18"/>
      <c r="CR293" s="18"/>
      <c r="CS293" s="18"/>
      <c r="CT293" s="18"/>
      <c r="CU293" s="18"/>
      <c r="CV293" s="18"/>
      <c r="CW293" s="18"/>
      <c r="CX293" s="18"/>
      <c r="CY293" s="37"/>
      <c r="CZ293" s="38"/>
      <c r="DA293" s="18"/>
      <c r="DB293" s="37"/>
      <c r="DC293" s="38"/>
      <c r="DD293" s="18"/>
      <c r="DE293" s="37"/>
      <c r="DF293" s="38"/>
      <c r="DG293" s="18"/>
      <c r="DH293" s="37"/>
      <c r="DI293" s="38"/>
      <c r="DJ293" s="18"/>
      <c r="DK293" s="37"/>
      <c r="DL293" s="38"/>
      <c r="DM293" s="18"/>
      <c r="DN293" s="18"/>
      <c r="DO293" s="18"/>
      <c r="DP293" s="18"/>
      <c r="DQ293" s="18"/>
      <c r="DR293" s="18"/>
      <c r="DS293" s="18"/>
      <c r="DT293" s="18"/>
      <c r="DU293" s="18"/>
      <c r="DV293" s="18"/>
      <c r="DW293" s="18"/>
      <c r="DX293" s="18"/>
      <c r="DY293" s="18"/>
      <c r="DZ293" s="18"/>
    </row>
    <row r="294" spans="1:130" x14ac:dyDescent="0.3">
      <c r="A294" s="18"/>
      <c r="B294" s="18"/>
      <c r="C294" s="18"/>
      <c r="D294" s="18"/>
      <c r="E294" s="18"/>
      <c r="F294" s="18"/>
      <c r="G294" s="18"/>
      <c r="H294" s="18"/>
      <c r="I294" s="18"/>
      <c r="J294" s="18"/>
      <c r="K294" s="18"/>
      <c r="L294" s="18"/>
      <c r="M294" s="18"/>
      <c r="N294" s="17"/>
      <c r="O294" s="17"/>
      <c r="P294" s="17"/>
      <c r="Q294" s="17"/>
      <c r="R294" s="17"/>
      <c r="S294" s="17"/>
      <c r="T294" s="17"/>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7"/>
      <c r="BT294" s="17"/>
      <c r="BU294" s="17"/>
      <c r="BV294" s="17"/>
      <c r="BW294" s="17"/>
      <c r="BX294" s="18"/>
      <c r="BY294" s="18"/>
      <c r="BZ294" s="18"/>
      <c r="CA294" s="18"/>
      <c r="CB294" s="17"/>
      <c r="CC294" s="17"/>
      <c r="CD294" s="17"/>
      <c r="CE294" s="18"/>
      <c r="CF294" s="18"/>
      <c r="CG294" s="18"/>
      <c r="CH294" s="18"/>
      <c r="CI294" s="18"/>
      <c r="CJ294" s="18"/>
      <c r="CK294" s="18"/>
      <c r="CL294" s="18"/>
      <c r="CM294" s="18"/>
      <c r="CN294" s="18"/>
      <c r="CO294" s="18"/>
      <c r="CP294" s="18"/>
      <c r="CQ294" s="18"/>
      <c r="CR294" s="18"/>
      <c r="CS294" s="18"/>
      <c r="CT294" s="18"/>
      <c r="CU294" s="18"/>
      <c r="CV294" s="18"/>
      <c r="CW294" s="18"/>
      <c r="CX294" s="18"/>
      <c r="CY294" s="37"/>
      <c r="CZ294" s="38"/>
      <c r="DA294" s="18"/>
      <c r="DB294" s="37"/>
      <c r="DC294" s="38"/>
      <c r="DD294" s="18"/>
      <c r="DE294" s="37"/>
      <c r="DF294" s="38"/>
      <c r="DG294" s="18"/>
      <c r="DH294" s="37"/>
      <c r="DI294" s="38"/>
      <c r="DJ294" s="18"/>
      <c r="DK294" s="37"/>
      <c r="DL294" s="38"/>
      <c r="DM294" s="18"/>
      <c r="DN294" s="18"/>
      <c r="DO294" s="18"/>
      <c r="DP294" s="18"/>
      <c r="DQ294" s="18"/>
      <c r="DR294" s="18"/>
      <c r="DS294" s="18"/>
      <c r="DT294" s="18"/>
      <c r="DU294" s="18"/>
      <c r="DV294" s="18"/>
      <c r="DW294" s="18"/>
      <c r="DX294" s="18"/>
      <c r="DY294" s="18"/>
      <c r="DZ294" s="18"/>
    </row>
    <row r="295" spans="1:130" x14ac:dyDescent="0.3">
      <c r="A295" s="18"/>
      <c r="B295" s="18"/>
      <c r="C295" s="18"/>
      <c r="D295" s="18"/>
      <c r="E295" s="18"/>
      <c r="F295" s="18"/>
      <c r="G295" s="18"/>
      <c r="H295" s="18"/>
      <c r="I295" s="18"/>
      <c r="J295" s="18"/>
      <c r="K295" s="18"/>
      <c r="L295" s="18"/>
      <c r="M295" s="18"/>
      <c r="N295" s="17"/>
      <c r="O295" s="17"/>
      <c r="P295" s="17"/>
      <c r="Q295" s="17"/>
      <c r="R295" s="17"/>
      <c r="S295" s="17"/>
      <c r="T295" s="17"/>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7"/>
      <c r="BT295" s="17"/>
      <c r="BU295" s="17"/>
      <c r="BV295" s="17"/>
      <c r="BW295" s="17"/>
      <c r="BX295" s="18"/>
      <c r="BY295" s="18"/>
      <c r="BZ295" s="18"/>
      <c r="CA295" s="18"/>
      <c r="CB295" s="17"/>
      <c r="CC295" s="17"/>
      <c r="CD295" s="17"/>
      <c r="CE295" s="18"/>
      <c r="CF295" s="18"/>
      <c r="CG295" s="18"/>
      <c r="CH295" s="18"/>
      <c r="CI295" s="18"/>
      <c r="CJ295" s="18"/>
      <c r="CK295" s="18"/>
      <c r="CL295" s="18"/>
      <c r="CM295" s="18"/>
      <c r="CN295" s="18"/>
      <c r="CO295" s="18"/>
      <c r="CP295" s="18"/>
      <c r="CQ295" s="18"/>
      <c r="CR295" s="18"/>
      <c r="CS295" s="18"/>
      <c r="CT295" s="18"/>
      <c r="CU295" s="18"/>
      <c r="CV295" s="18"/>
      <c r="CW295" s="18"/>
      <c r="CX295" s="18"/>
      <c r="CY295" s="37"/>
      <c r="CZ295" s="38"/>
      <c r="DA295" s="18"/>
      <c r="DB295" s="37"/>
      <c r="DC295" s="38"/>
      <c r="DD295" s="18"/>
      <c r="DE295" s="37"/>
      <c r="DF295" s="38"/>
      <c r="DG295" s="18"/>
      <c r="DH295" s="37"/>
      <c r="DI295" s="38"/>
      <c r="DJ295" s="18"/>
      <c r="DK295" s="37"/>
      <c r="DL295" s="38"/>
      <c r="DM295" s="18"/>
      <c r="DN295" s="18"/>
      <c r="DO295" s="18"/>
      <c r="DP295" s="18"/>
      <c r="DQ295" s="18"/>
      <c r="DR295" s="18"/>
      <c r="DS295" s="18"/>
      <c r="DT295" s="18"/>
      <c r="DU295" s="18"/>
      <c r="DV295" s="18"/>
      <c r="DW295" s="18"/>
      <c r="DX295" s="18"/>
      <c r="DY295" s="18"/>
      <c r="DZ295" s="18"/>
    </row>
    <row r="296" spans="1:130" x14ac:dyDescent="0.3">
      <c r="A296" s="18"/>
      <c r="B296" s="18"/>
      <c r="C296" s="18"/>
      <c r="D296" s="18"/>
      <c r="E296" s="18"/>
      <c r="F296" s="18"/>
      <c r="G296" s="18"/>
      <c r="H296" s="18"/>
      <c r="I296" s="18"/>
      <c r="J296" s="18"/>
      <c r="K296" s="18"/>
      <c r="L296" s="18"/>
      <c r="M296" s="18"/>
      <c r="N296" s="17"/>
      <c r="O296" s="17"/>
      <c r="P296" s="17"/>
      <c r="Q296" s="17"/>
      <c r="R296" s="17"/>
      <c r="S296" s="17"/>
      <c r="T296" s="17"/>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7"/>
      <c r="BT296" s="17"/>
      <c r="BU296" s="17"/>
      <c r="BV296" s="17"/>
      <c r="BW296" s="17"/>
      <c r="BX296" s="18"/>
      <c r="BY296" s="18"/>
      <c r="BZ296" s="18"/>
      <c r="CA296" s="18"/>
      <c r="CB296" s="17"/>
      <c r="CC296" s="17"/>
      <c r="CD296" s="17"/>
      <c r="CE296" s="18"/>
      <c r="CF296" s="18"/>
      <c r="CG296" s="18"/>
      <c r="CH296" s="18"/>
      <c r="CI296" s="18"/>
      <c r="CJ296" s="18"/>
      <c r="CK296" s="18"/>
      <c r="CL296" s="18"/>
      <c r="CM296" s="18"/>
      <c r="CN296" s="18"/>
      <c r="CO296" s="18"/>
      <c r="CP296" s="18"/>
      <c r="CQ296" s="18"/>
      <c r="CR296" s="18"/>
      <c r="CS296" s="18"/>
      <c r="CT296" s="18"/>
      <c r="CU296" s="18"/>
      <c r="CV296" s="18"/>
      <c r="CW296" s="18"/>
      <c r="CX296" s="18"/>
      <c r="CY296" s="37"/>
      <c r="CZ296" s="38"/>
      <c r="DA296" s="18"/>
      <c r="DB296" s="37"/>
      <c r="DC296" s="38"/>
      <c r="DD296" s="18"/>
      <c r="DE296" s="37"/>
      <c r="DF296" s="38"/>
      <c r="DG296" s="18"/>
      <c r="DH296" s="37"/>
      <c r="DI296" s="38"/>
      <c r="DJ296" s="18"/>
      <c r="DK296" s="37"/>
      <c r="DL296" s="38"/>
      <c r="DM296" s="18"/>
      <c r="DN296" s="18"/>
      <c r="DO296" s="18"/>
      <c r="DP296" s="18"/>
      <c r="DQ296" s="18"/>
      <c r="DR296" s="18"/>
      <c r="DS296" s="18"/>
      <c r="DT296" s="18"/>
      <c r="DU296" s="18"/>
      <c r="DV296" s="18"/>
      <c r="DW296" s="18"/>
      <c r="DX296" s="18"/>
      <c r="DY296" s="18"/>
      <c r="DZ296" s="18"/>
    </row>
    <row r="297" spans="1:130" x14ac:dyDescent="0.3">
      <c r="A297" s="18"/>
      <c r="B297" s="18"/>
      <c r="C297" s="18"/>
      <c r="D297" s="18"/>
      <c r="E297" s="18"/>
      <c r="F297" s="18"/>
      <c r="G297" s="18"/>
      <c r="H297" s="18"/>
      <c r="I297" s="18"/>
      <c r="J297" s="18"/>
      <c r="K297" s="18"/>
      <c r="L297" s="18"/>
      <c r="M297" s="18"/>
      <c r="N297" s="17"/>
      <c r="O297" s="17"/>
      <c r="P297" s="17"/>
      <c r="Q297" s="17"/>
      <c r="R297" s="17"/>
      <c r="S297" s="17"/>
      <c r="T297" s="17"/>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7"/>
      <c r="BT297" s="17"/>
      <c r="BU297" s="17"/>
      <c r="BV297" s="17"/>
      <c r="BW297" s="17"/>
      <c r="BX297" s="18"/>
      <c r="BY297" s="18"/>
      <c r="BZ297" s="18"/>
      <c r="CA297" s="18"/>
      <c r="CB297" s="17"/>
      <c r="CC297" s="17"/>
      <c r="CD297" s="17"/>
      <c r="CE297" s="18"/>
      <c r="CF297" s="18"/>
      <c r="CG297" s="18"/>
      <c r="CH297" s="18"/>
      <c r="CI297" s="18"/>
      <c r="CJ297" s="18"/>
      <c r="CK297" s="18"/>
      <c r="CL297" s="18"/>
      <c r="CM297" s="18"/>
      <c r="CN297" s="18"/>
      <c r="CO297" s="18"/>
      <c r="CP297" s="18"/>
      <c r="CQ297" s="18"/>
      <c r="CR297" s="18"/>
      <c r="CS297" s="18"/>
      <c r="CT297" s="18"/>
      <c r="CU297" s="18"/>
      <c r="CV297" s="18"/>
      <c r="CW297" s="18"/>
      <c r="CX297" s="18"/>
      <c r="CY297" s="37"/>
      <c r="CZ297" s="38"/>
      <c r="DA297" s="18"/>
      <c r="DB297" s="37"/>
      <c r="DC297" s="38"/>
      <c r="DD297" s="18"/>
      <c r="DE297" s="37"/>
      <c r="DF297" s="38"/>
      <c r="DG297" s="18"/>
      <c r="DH297" s="37"/>
      <c r="DI297" s="38"/>
      <c r="DJ297" s="18"/>
      <c r="DK297" s="37"/>
      <c r="DL297" s="38"/>
      <c r="DM297" s="18"/>
      <c r="DN297" s="18"/>
      <c r="DO297" s="18"/>
      <c r="DP297" s="18"/>
      <c r="DQ297" s="18"/>
      <c r="DR297" s="18"/>
      <c r="DS297" s="18"/>
      <c r="DT297" s="18"/>
      <c r="DU297" s="18"/>
      <c r="DV297" s="18"/>
      <c r="DW297" s="18"/>
      <c r="DX297" s="18"/>
      <c r="DY297" s="18"/>
      <c r="DZ297" s="18"/>
    </row>
    <row r="298" spans="1:130" x14ac:dyDescent="0.3">
      <c r="A298" s="18"/>
      <c r="B298" s="18"/>
      <c r="C298" s="18"/>
      <c r="D298" s="18"/>
      <c r="E298" s="18"/>
      <c r="F298" s="18"/>
      <c r="G298" s="18"/>
      <c r="H298" s="18"/>
      <c r="I298" s="18"/>
      <c r="J298" s="18"/>
      <c r="K298" s="18"/>
      <c r="L298" s="18"/>
      <c r="M298" s="18"/>
      <c r="N298" s="17"/>
      <c r="O298" s="17"/>
      <c r="P298" s="17"/>
      <c r="Q298" s="17"/>
      <c r="R298" s="17"/>
      <c r="S298" s="17"/>
      <c r="T298" s="17"/>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7"/>
      <c r="BT298" s="17"/>
      <c r="BU298" s="17"/>
      <c r="BV298" s="17"/>
      <c r="BW298" s="17"/>
      <c r="BX298" s="18"/>
      <c r="BY298" s="18"/>
      <c r="BZ298" s="18"/>
      <c r="CA298" s="18"/>
      <c r="CB298" s="17"/>
      <c r="CC298" s="17"/>
      <c r="CD298" s="17"/>
      <c r="CE298" s="18"/>
      <c r="CF298" s="18"/>
      <c r="CG298" s="18"/>
      <c r="CH298" s="18"/>
      <c r="CI298" s="18"/>
      <c r="CJ298" s="18"/>
      <c r="CK298" s="18"/>
      <c r="CL298" s="18"/>
      <c r="CM298" s="18"/>
      <c r="CN298" s="18"/>
      <c r="CO298" s="18"/>
      <c r="CP298" s="18"/>
      <c r="CQ298" s="18"/>
      <c r="CR298" s="18"/>
      <c r="CS298" s="18"/>
      <c r="CT298" s="18"/>
      <c r="CU298" s="18"/>
      <c r="CV298" s="18"/>
      <c r="CW298" s="18"/>
      <c r="CX298" s="18"/>
      <c r="CY298" s="37"/>
      <c r="CZ298" s="38"/>
      <c r="DA298" s="18"/>
      <c r="DB298" s="37"/>
      <c r="DC298" s="38"/>
      <c r="DD298" s="18"/>
      <c r="DE298" s="37"/>
      <c r="DF298" s="38"/>
      <c r="DG298" s="18"/>
      <c r="DH298" s="37"/>
      <c r="DI298" s="38"/>
      <c r="DJ298" s="18"/>
      <c r="DK298" s="37"/>
      <c r="DL298" s="38"/>
      <c r="DM298" s="18"/>
      <c r="DN298" s="18"/>
      <c r="DO298" s="18"/>
      <c r="DP298" s="18"/>
      <c r="DQ298" s="18"/>
      <c r="DR298" s="18"/>
      <c r="DS298" s="18"/>
      <c r="DT298" s="18"/>
      <c r="DU298" s="18"/>
      <c r="DV298" s="18"/>
      <c r="DW298" s="18"/>
      <c r="DX298" s="18"/>
      <c r="DY298" s="18"/>
      <c r="DZ298" s="18"/>
    </row>
    <row r="299" spans="1:130" x14ac:dyDescent="0.3">
      <c r="A299" s="18"/>
      <c r="B299" s="18"/>
      <c r="C299" s="18"/>
      <c r="D299" s="18"/>
      <c r="E299" s="18"/>
      <c r="F299" s="18"/>
      <c r="G299" s="18"/>
      <c r="H299" s="18"/>
      <c r="I299" s="18"/>
      <c r="J299" s="18"/>
      <c r="K299" s="18"/>
      <c r="L299" s="18"/>
      <c r="M299" s="18"/>
      <c r="N299" s="17"/>
      <c r="O299" s="17"/>
      <c r="P299" s="17"/>
      <c r="Q299" s="17"/>
      <c r="R299" s="17"/>
      <c r="S299" s="17"/>
      <c r="T299" s="17"/>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7"/>
      <c r="BT299" s="17"/>
      <c r="BU299" s="17"/>
      <c r="BV299" s="17"/>
      <c r="BW299" s="17"/>
      <c r="BX299" s="18"/>
      <c r="BY299" s="18"/>
      <c r="BZ299" s="18"/>
      <c r="CA299" s="18"/>
      <c r="CB299" s="17"/>
      <c r="CC299" s="17"/>
      <c r="CD299" s="17"/>
      <c r="CE299" s="18"/>
      <c r="CF299" s="18"/>
      <c r="CG299" s="18"/>
      <c r="CH299" s="18"/>
      <c r="CI299" s="18"/>
      <c r="CJ299" s="18"/>
      <c r="CK299" s="18"/>
      <c r="CL299" s="18"/>
      <c r="CM299" s="18"/>
      <c r="CN299" s="18"/>
      <c r="CO299" s="18"/>
      <c r="CP299" s="18"/>
      <c r="CQ299" s="18"/>
      <c r="CR299" s="18"/>
      <c r="CS299" s="18"/>
      <c r="CT299" s="18"/>
      <c r="CU299" s="18"/>
      <c r="CV299" s="18"/>
      <c r="CW299" s="18"/>
      <c r="CX299" s="18"/>
      <c r="CY299" s="37"/>
      <c r="CZ299" s="38"/>
      <c r="DA299" s="18"/>
      <c r="DB299" s="37"/>
      <c r="DC299" s="38"/>
      <c r="DD299" s="18"/>
      <c r="DE299" s="37"/>
      <c r="DF299" s="38"/>
      <c r="DG299" s="18"/>
      <c r="DH299" s="37"/>
      <c r="DI299" s="38"/>
      <c r="DJ299" s="18"/>
      <c r="DK299" s="37"/>
      <c r="DL299" s="38"/>
      <c r="DM299" s="18"/>
      <c r="DN299" s="18"/>
      <c r="DO299" s="18"/>
      <c r="DP299" s="18"/>
      <c r="DQ299" s="18"/>
      <c r="DR299" s="18"/>
      <c r="DS299" s="18"/>
      <c r="DT299" s="18"/>
      <c r="DU299" s="18"/>
      <c r="DV299" s="18"/>
      <c r="DW299" s="18"/>
      <c r="DX299" s="18"/>
      <c r="DY299" s="18"/>
      <c r="DZ299" s="18"/>
    </row>
    <row r="300" spans="1:130" x14ac:dyDescent="0.3">
      <c r="A300" s="18"/>
      <c r="B300" s="18"/>
      <c r="C300" s="18"/>
      <c r="D300" s="18"/>
      <c r="E300" s="18"/>
      <c r="F300" s="18"/>
      <c r="G300" s="18"/>
      <c r="H300" s="18"/>
      <c r="I300" s="18"/>
      <c r="J300" s="18"/>
      <c r="K300" s="18"/>
      <c r="L300" s="18"/>
      <c r="M300" s="18"/>
      <c r="N300" s="17"/>
      <c r="O300" s="17"/>
      <c r="P300" s="17"/>
      <c r="Q300" s="17"/>
      <c r="R300" s="17"/>
      <c r="S300" s="17"/>
      <c r="T300" s="17"/>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7"/>
      <c r="BT300" s="17"/>
      <c r="BU300" s="17"/>
      <c r="BV300" s="17"/>
      <c r="BW300" s="17"/>
      <c r="BX300" s="18"/>
      <c r="BY300" s="18"/>
      <c r="BZ300" s="18"/>
      <c r="CA300" s="18"/>
      <c r="CB300" s="17"/>
      <c r="CC300" s="17"/>
      <c r="CD300" s="17"/>
      <c r="CE300" s="18"/>
      <c r="CF300" s="18"/>
      <c r="CG300" s="18"/>
      <c r="CH300" s="18"/>
      <c r="CI300" s="18"/>
      <c r="CJ300" s="18"/>
      <c r="CK300" s="18"/>
      <c r="CL300" s="18"/>
      <c r="CM300" s="18"/>
      <c r="CN300" s="18"/>
      <c r="CO300" s="18"/>
      <c r="CP300" s="18"/>
      <c r="CQ300" s="18"/>
      <c r="CR300" s="18"/>
      <c r="CS300" s="18"/>
      <c r="CT300" s="18"/>
      <c r="CU300" s="18"/>
      <c r="CV300" s="18"/>
      <c r="CW300" s="18"/>
      <c r="CX300" s="18"/>
      <c r="CY300" s="37"/>
      <c r="CZ300" s="38"/>
      <c r="DA300" s="18"/>
      <c r="DB300" s="37"/>
      <c r="DC300" s="38"/>
      <c r="DD300" s="18"/>
      <c r="DE300" s="37"/>
      <c r="DF300" s="38"/>
      <c r="DG300" s="18"/>
      <c r="DH300" s="37"/>
      <c r="DI300" s="38"/>
      <c r="DJ300" s="18"/>
      <c r="DK300" s="37"/>
      <c r="DL300" s="38"/>
      <c r="DM300" s="18"/>
      <c r="DN300" s="18"/>
      <c r="DO300" s="18"/>
      <c r="DP300" s="18"/>
      <c r="DQ300" s="18"/>
      <c r="DR300" s="18"/>
      <c r="DS300" s="18"/>
      <c r="DT300" s="18"/>
      <c r="DU300" s="18"/>
      <c r="DV300" s="18"/>
      <c r="DW300" s="18"/>
      <c r="DX300" s="18"/>
      <c r="DY300" s="18"/>
      <c r="DZ300" s="18"/>
    </row>
    <row r="301" spans="1:130" x14ac:dyDescent="0.3">
      <c r="A301" s="18"/>
      <c r="B301" s="18"/>
      <c r="C301" s="18"/>
      <c r="D301" s="18"/>
      <c r="E301" s="18"/>
      <c r="F301" s="18"/>
      <c r="G301" s="18"/>
      <c r="H301" s="18"/>
      <c r="I301" s="18"/>
      <c r="J301" s="18"/>
      <c r="K301" s="18"/>
      <c r="L301" s="18"/>
      <c r="M301" s="18"/>
      <c r="N301" s="17"/>
      <c r="O301" s="17"/>
      <c r="P301" s="17"/>
      <c r="Q301" s="17"/>
      <c r="R301" s="17"/>
      <c r="S301" s="17"/>
      <c r="T301" s="17"/>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7"/>
      <c r="BT301" s="17"/>
      <c r="BU301" s="17"/>
      <c r="BV301" s="17"/>
      <c r="BW301" s="17"/>
      <c r="BX301" s="18"/>
      <c r="BY301" s="18"/>
      <c r="BZ301" s="18"/>
      <c r="CA301" s="18"/>
      <c r="CB301" s="17"/>
      <c r="CC301" s="17"/>
      <c r="CD301" s="17"/>
      <c r="CE301" s="18"/>
      <c r="CF301" s="18"/>
      <c r="CG301" s="18"/>
      <c r="CH301" s="18"/>
      <c r="CI301" s="18"/>
      <c r="CJ301" s="18"/>
      <c r="CK301" s="18"/>
      <c r="CL301" s="18"/>
      <c r="CM301" s="18"/>
      <c r="CN301" s="18"/>
      <c r="CO301" s="18"/>
      <c r="CP301" s="18"/>
      <c r="CQ301" s="18"/>
      <c r="CR301" s="18"/>
      <c r="CS301" s="18"/>
      <c r="CT301" s="18"/>
      <c r="CU301" s="18"/>
      <c r="CV301" s="18"/>
      <c r="CW301" s="18"/>
      <c r="CX301" s="18"/>
      <c r="CY301" s="37"/>
      <c r="CZ301" s="38"/>
      <c r="DA301" s="18"/>
      <c r="DB301" s="37"/>
      <c r="DC301" s="38"/>
      <c r="DD301" s="18"/>
      <c r="DE301" s="37"/>
      <c r="DF301" s="38"/>
      <c r="DG301" s="18"/>
      <c r="DH301" s="37"/>
      <c r="DI301" s="38"/>
      <c r="DJ301" s="18"/>
      <c r="DK301" s="37"/>
      <c r="DL301" s="38"/>
      <c r="DM301" s="18"/>
      <c r="DN301" s="18"/>
      <c r="DO301" s="18"/>
      <c r="DP301" s="18"/>
      <c r="DQ301" s="18"/>
      <c r="DR301" s="18"/>
      <c r="DS301" s="18"/>
      <c r="DT301" s="18"/>
      <c r="DU301" s="18"/>
      <c r="DV301" s="18"/>
      <c r="DW301" s="18"/>
      <c r="DX301" s="18"/>
      <c r="DY301" s="18"/>
      <c r="DZ301" s="18"/>
    </row>
    <row r="302" spans="1:130" x14ac:dyDescent="0.3">
      <c r="A302" s="18"/>
      <c r="B302" s="18"/>
      <c r="C302" s="18"/>
      <c r="D302" s="18"/>
      <c r="E302" s="18"/>
      <c r="F302" s="18"/>
      <c r="G302" s="18"/>
      <c r="H302" s="18"/>
      <c r="I302" s="18"/>
      <c r="J302" s="18"/>
      <c r="K302" s="18"/>
      <c r="L302" s="18"/>
      <c r="M302" s="18"/>
      <c r="N302" s="17"/>
      <c r="O302" s="17"/>
      <c r="P302" s="17"/>
      <c r="Q302" s="17"/>
      <c r="R302" s="17"/>
      <c r="S302" s="17"/>
      <c r="T302" s="17"/>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7"/>
      <c r="BT302" s="17"/>
      <c r="BU302" s="17"/>
      <c r="BV302" s="17"/>
      <c r="BW302" s="17"/>
      <c r="BX302" s="18"/>
      <c r="BY302" s="18"/>
      <c r="BZ302" s="18"/>
      <c r="CA302" s="18"/>
      <c r="CB302" s="17"/>
      <c r="CC302" s="17"/>
      <c r="CD302" s="17"/>
      <c r="CE302" s="18"/>
      <c r="CF302" s="18"/>
      <c r="CG302" s="18"/>
      <c r="CH302" s="18"/>
      <c r="CI302" s="18"/>
      <c r="CJ302" s="18"/>
      <c r="CK302" s="18"/>
      <c r="CL302" s="18"/>
      <c r="CM302" s="18"/>
      <c r="CN302" s="18"/>
      <c r="CO302" s="18"/>
      <c r="CP302" s="18"/>
      <c r="CQ302" s="18"/>
      <c r="CR302" s="18"/>
      <c r="CS302" s="18"/>
      <c r="CT302" s="18"/>
      <c r="CU302" s="18"/>
      <c r="CV302" s="18"/>
      <c r="CW302" s="18"/>
      <c r="CX302" s="18"/>
      <c r="CY302" s="37"/>
      <c r="CZ302" s="38"/>
      <c r="DA302" s="18"/>
      <c r="DB302" s="37"/>
      <c r="DC302" s="38"/>
      <c r="DD302" s="18"/>
      <c r="DE302" s="37"/>
      <c r="DF302" s="38"/>
      <c r="DG302" s="18"/>
      <c r="DH302" s="37"/>
      <c r="DI302" s="38"/>
      <c r="DJ302" s="18"/>
      <c r="DK302" s="37"/>
      <c r="DL302" s="38"/>
      <c r="DM302" s="18"/>
      <c r="DN302" s="18"/>
      <c r="DO302" s="18"/>
      <c r="DP302" s="18"/>
      <c r="DQ302" s="18"/>
      <c r="DR302" s="18"/>
      <c r="DS302" s="18"/>
      <c r="DT302" s="18"/>
      <c r="DU302" s="18"/>
      <c r="DV302" s="18"/>
      <c r="DW302" s="18"/>
      <c r="DX302" s="18"/>
      <c r="DY302" s="18"/>
      <c r="DZ302" s="18"/>
    </row>
    <row r="303" spans="1:130" x14ac:dyDescent="0.3">
      <c r="A303" s="18"/>
      <c r="B303" s="18"/>
      <c r="C303" s="18"/>
      <c r="D303" s="18"/>
      <c r="E303" s="18"/>
      <c r="F303" s="18"/>
      <c r="G303" s="18"/>
      <c r="H303" s="18"/>
      <c r="I303" s="18"/>
      <c r="J303" s="18"/>
      <c r="K303" s="18"/>
      <c r="L303" s="18"/>
      <c r="M303" s="18"/>
      <c r="N303" s="17"/>
      <c r="O303" s="17"/>
      <c r="P303" s="17"/>
      <c r="Q303" s="17"/>
      <c r="R303" s="17"/>
      <c r="S303" s="17"/>
      <c r="T303" s="17"/>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7"/>
      <c r="BT303" s="17"/>
      <c r="BU303" s="17"/>
      <c r="BV303" s="17"/>
      <c r="BW303" s="17"/>
      <c r="BX303" s="18"/>
      <c r="BY303" s="18"/>
      <c r="BZ303" s="18"/>
      <c r="CA303" s="18"/>
      <c r="CB303" s="17"/>
      <c r="CC303" s="17"/>
      <c r="CD303" s="17"/>
      <c r="CE303" s="18"/>
      <c r="CF303" s="18"/>
      <c r="CG303" s="18"/>
      <c r="CH303" s="18"/>
      <c r="CI303" s="18"/>
      <c r="CJ303" s="18"/>
      <c r="CK303" s="18"/>
      <c r="CL303" s="18"/>
      <c r="CM303" s="18"/>
      <c r="CN303" s="18"/>
      <c r="CO303" s="18"/>
      <c r="CP303" s="18"/>
      <c r="CQ303" s="18"/>
      <c r="CR303" s="18"/>
      <c r="CS303" s="18"/>
      <c r="CT303" s="18"/>
      <c r="CU303" s="18"/>
      <c r="CV303" s="18"/>
      <c r="CW303" s="18"/>
      <c r="CX303" s="18"/>
      <c r="CY303" s="37"/>
      <c r="CZ303" s="38"/>
      <c r="DA303" s="18"/>
      <c r="DB303" s="37"/>
      <c r="DC303" s="38"/>
      <c r="DD303" s="18"/>
      <c r="DE303" s="37"/>
      <c r="DF303" s="38"/>
      <c r="DG303" s="18"/>
      <c r="DH303" s="37"/>
      <c r="DI303" s="38"/>
      <c r="DJ303" s="18"/>
      <c r="DK303" s="37"/>
      <c r="DL303" s="38"/>
      <c r="DM303" s="18"/>
      <c r="DN303" s="18"/>
      <c r="DO303" s="18"/>
      <c r="DP303" s="18"/>
      <c r="DQ303" s="18"/>
      <c r="DR303" s="18"/>
      <c r="DS303" s="18"/>
      <c r="DT303" s="18"/>
      <c r="DU303" s="18"/>
      <c r="DV303" s="18"/>
      <c r="DW303" s="18"/>
      <c r="DX303" s="18"/>
      <c r="DY303" s="18"/>
      <c r="DZ303" s="18"/>
    </row>
    <row r="304" spans="1:130" x14ac:dyDescent="0.3">
      <c r="A304" s="18"/>
      <c r="B304" s="18"/>
      <c r="C304" s="18"/>
      <c r="D304" s="18"/>
      <c r="E304" s="18"/>
      <c r="F304" s="18"/>
      <c r="G304" s="18"/>
      <c r="H304" s="18"/>
      <c r="I304" s="18"/>
      <c r="J304" s="18"/>
      <c r="K304" s="18"/>
      <c r="L304" s="18"/>
      <c r="M304" s="18"/>
      <c r="N304" s="17"/>
      <c r="O304" s="17"/>
      <c r="P304" s="17"/>
      <c r="Q304" s="17"/>
      <c r="R304" s="17"/>
      <c r="S304" s="17"/>
      <c r="T304" s="17"/>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7"/>
      <c r="BT304" s="17"/>
      <c r="BU304" s="17"/>
      <c r="BV304" s="17"/>
      <c r="BW304" s="17"/>
      <c r="BX304" s="18"/>
      <c r="BY304" s="18"/>
      <c r="BZ304" s="18"/>
      <c r="CA304" s="18"/>
      <c r="CB304" s="17"/>
      <c r="CC304" s="17"/>
      <c r="CD304" s="17"/>
      <c r="CE304" s="18"/>
      <c r="CF304" s="18"/>
      <c r="CG304" s="18"/>
      <c r="CH304" s="18"/>
      <c r="CI304" s="18"/>
      <c r="CJ304" s="18"/>
      <c r="CK304" s="18"/>
      <c r="CL304" s="18"/>
      <c r="CM304" s="18"/>
      <c r="CN304" s="18"/>
      <c r="CO304" s="18"/>
      <c r="CP304" s="18"/>
      <c r="CQ304" s="18"/>
      <c r="CR304" s="18"/>
      <c r="CS304" s="18"/>
      <c r="CT304" s="18"/>
      <c r="CU304" s="18"/>
      <c r="CV304" s="18"/>
      <c r="CW304" s="18"/>
      <c r="CX304" s="18"/>
      <c r="CY304" s="37"/>
      <c r="CZ304" s="38"/>
      <c r="DA304" s="18"/>
      <c r="DB304" s="37"/>
      <c r="DC304" s="38"/>
      <c r="DD304" s="18"/>
      <c r="DE304" s="37"/>
      <c r="DF304" s="38"/>
      <c r="DG304" s="18"/>
      <c r="DH304" s="37"/>
      <c r="DI304" s="38"/>
      <c r="DJ304" s="18"/>
      <c r="DK304" s="37"/>
      <c r="DL304" s="38"/>
      <c r="DM304" s="18"/>
      <c r="DN304" s="18"/>
      <c r="DO304" s="18"/>
      <c r="DP304" s="18"/>
      <c r="DQ304" s="18"/>
      <c r="DR304" s="18"/>
      <c r="DS304" s="18"/>
      <c r="DT304" s="18"/>
      <c r="DU304" s="18"/>
      <c r="DV304" s="18"/>
      <c r="DW304" s="18"/>
      <c r="DX304" s="18"/>
      <c r="DY304" s="18"/>
      <c r="DZ304" s="18"/>
    </row>
    <row r="305" spans="1:130" x14ac:dyDescent="0.3">
      <c r="A305" s="18"/>
      <c r="B305" s="18"/>
      <c r="C305" s="18"/>
      <c r="D305" s="18"/>
      <c r="E305" s="18"/>
      <c r="F305" s="18"/>
      <c r="G305" s="18"/>
      <c r="H305" s="18"/>
      <c r="I305" s="18"/>
      <c r="J305" s="18"/>
      <c r="K305" s="18"/>
      <c r="L305" s="18"/>
      <c r="M305" s="18"/>
      <c r="N305" s="17"/>
      <c r="O305" s="17"/>
      <c r="P305" s="17"/>
      <c r="Q305" s="17"/>
      <c r="R305" s="17"/>
      <c r="S305" s="17"/>
      <c r="T305" s="17"/>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7"/>
      <c r="BT305" s="17"/>
      <c r="BU305" s="17"/>
      <c r="BV305" s="17"/>
      <c r="BW305" s="17"/>
      <c r="BX305" s="18"/>
      <c r="BY305" s="18"/>
      <c r="BZ305" s="18"/>
      <c r="CA305" s="18"/>
      <c r="CB305" s="17"/>
      <c r="CC305" s="17"/>
      <c r="CD305" s="17"/>
      <c r="CE305" s="18"/>
      <c r="CF305" s="18"/>
      <c r="CG305" s="18"/>
      <c r="CH305" s="18"/>
      <c r="CI305" s="18"/>
      <c r="CJ305" s="18"/>
      <c r="CK305" s="18"/>
      <c r="CL305" s="18"/>
      <c r="CM305" s="18"/>
      <c r="CN305" s="18"/>
      <c r="CO305" s="18"/>
      <c r="CP305" s="18"/>
      <c r="CQ305" s="18"/>
      <c r="CR305" s="18"/>
      <c r="CS305" s="18"/>
      <c r="CT305" s="18"/>
      <c r="CU305" s="18"/>
      <c r="CV305" s="18"/>
      <c r="CW305" s="18"/>
      <c r="CX305" s="18"/>
      <c r="CY305" s="37"/>
      <c r="CZ305" s="38"/>
      <c r="DA305" s="18"/>
      <c r="DB305" s="37"/>
      <c r="DC305" s="38"/>
      <c r="DD305" s="18"/>
      <c r="DE305" s="37"/>
      <c r="DF305" s="38"/>
      <c r="DG305" s="18"/>
      <c r="DH305" s="37"/>
      <c r="DI305" s="38"/>
      <c r="DJ305" s="18"/>
      <c r="DK305" s="37"/>
      <c r="DL305" s="38"/>
      <c r="DM305" s="18"/>
      <c r="DN305" s="18"/>
      <c r="DO305" s="18"/>
      <c r="DP305" s="18"/>
      <c r="DQ305" s="18"/>
      <c r="DR305" s="18"/>
      <c r="DS305" s="18"/>
      <c r="DT305" s="18"/>
      <c r="DU305" s="18"/>
      <c r="DV305" s="18"/>
      <c r="DW305" s="18"/>
      <c r="DX305" s="18"/>
      <c r="DY305" s="18"/>
      <c r="DZ305" s="18"/>
    </row>
    <row r="306" spans="1:130" x14ac:dyDescent="0.3">
      <c r="A306" s="18"/>
      <c r="B306" s="18"/>
      <c r="C306" s="18"/>
      <c r="D306" s="18"/>
      <c r="E306" s="18"/>
      <c r="F306" s="18"/>
      <c r="G306" s="18"/>
      <c r="H306" s="18"/>
      <c r="I306" s="18"/>
      <c r="J306" s="18"/>
      <c r="K306" s="18"/>
      <c r="L306" s="18"/>
      <c r="M306" s="18"/>
      <c r="N306" s="17"/>
      <c r="O306" s="17"/>
      <c r="P306" s="17"/>
      <c r="Q306" s="17"/>
      <c r="R306" s="17"/>
      <c r="S306" s="17"/>
      <c r="T306" s="17"/>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7"/>
      <c r="BT306" s="17"/>
      <c r="BU306" s="17"/>
      <c r="BV306" s="17"/>
      <c r="BW306" s="17"/>
      <c r="BX306" s="18"/>
      <c r="BY306" s="18"/>
      <c r="BZ306" s="18"/>
      <c r="CA306" s="18"/>
      <c r="CB306" s="17"/>
      <c r="CC306" s="17"/>
      <c r="CD306" s="17"/>
      <c r="CE306" s="18"/>
      <c r="CF306" s="18"/>
      <c r="CG306" s="18"/>
      <c r="CH306" s="18"/>
      <c r="CI306" s="18"/>
      <c r="CJ306" s="18"/>
      <c r="CK306" s="18"/>
      <c r="CL306" s="18"/>
      <c r="CM306" s="18"/>
      <c r="CN306" s="18"/>
      <c r="CO306" s="18"/>
      <c r="CP306" s="18"/>
      <c r="CQ306" s="18"/>
      <c r="CR306" s="18"/>
      <c r="CS306" s="18"/>
      <c r="CT306" s="18"/>
      <c r="CU306" s="18"/>
      <c r="CV306" s="18"/>
      <c r="CW306" s="18"/>
      <c r="CX306" s="18"/>
      <c r="CY306" s="37"/>
      <c r="CZ306" s="38"/>
      <c r="DA306" s="18"/>
      <c r="DB306" s="37"/>
      <c r="DC306" s="38"/>
      <c r="DD306" s="18"/>
      <c r="DE306" s="37"/>
      <c r="DF306" s="38"/>
      <c r="DG306" s="18"/>
      <c r="DH306" s="37"/>
      <c r="DI306" s="38"/>
      <c r="DJ306" s="18"/>
      <c r="DK306" s="37"/>
      <c r="DL306" s="38"/>
      <c r="DM306" s="18"/>
      <c r="DN306" s="18"/>
      <c r="DO306" s="18"/>
      <c r="DP306" s="18"/>
      <c r="DQ306" s="18"/>
      <c r="DR306" s="18"/>
      <c r="DS306" s="18"/>
      <c r="DT306" s="18"/>
      <c r="DU306" s="18"/>
      <c r="DV306" s="18"/>
      <c r="DW306" s="18"/>
      <c r="DX306" s="18"/>
      <c r="DY306" s="18"/>
      <c r="DZ306" s="18"/>
    </row>
    <row r="307" spans="1:130" x14ac:dyDescent="0.3">
      <c r="A307" s="18"/>
      <c r="B307" s="18"/>
      <c r="C307" s="18"/>
      <c r="D307" s="18"/>
      <c r="E307" s="18"/>
      <c r="F307" s="18"/>
      <c r="G307" s="18"/>
      <c r="H307" s="18"/>
      <c r="I307" s="18"/>
      <c r="J307" s="18"/>
      <c r="K307" s="18"/>
      <c r="L307" s="18"/>
      <c r="M307" s="18"/>
      <c r="N307" s="17"/>
      <c r="O307" s="17"/>
      <c r="P307" s="17"/>
      <c r="Q307" s="17"/>
      <c r="R307" s="17"/>
      <c r="S307" s="17"/>
      <c r="T307" s="17"/>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7"/>
      <c r="BT307" s="17"/>
      <c r="BU307" s="17"/>
      <c r="BV307" s="17"/>
      <c r="BW307" s="17"/>
      <c r="BX307" s="18"/>
      <c r="BY307" s="18"/>
      <c r="BZ307" s="18"/>
      <c r="CA307" s="18"/>
      <c r="CB307" s="17"/>
      <c r="CC307" s="17"/>
      <c r="CD307" s="17"/>
      <c r="CE307" s="18"/>
      <c r="CF307" s="18"/>
      <c r="CG307" s="18"/>
      <c r="CH307" s="18"/>
      <c r="CI307" s="18"/>
      <c r="CJ307" s="18"/>
      <c r="CK307" s="18"/>
      <c r="CL307" s="18"/>
      <c r="CM307" s="18"/>
      <c r="CN307" s="18"/>
      <c r="CO307" s="18"/>
      <c r="CP307" s="18"/>
      <c r="CQ307" s="18"/>
      <c r="CR307" s="18"/>
      <c r="CS307" s="18"/>
      <c r="CT307" s="18"/>
      <c r="CU307" s="18"/>
      <c r="CV307" s="18"/>
      <c r="CW307" s="18"/>
      <c r="CX307" s="18"/>
      <c r="CY307" s="37"/>
      <c r="CZ307" s="38"/>
      <c r="DA307" s="18"/>
      <c r="DB307" s="37"/>
      <c r="DC307" s="38"/>
      <c r="DD307" s="18"/>
      <c r="DE307" s="37"/>
      <c r="DF307" s="38"/>
      <c r="DG307" s="18"/>
      <c r="DH307" s="37"/>
      <c r="DI307" s="38"/>
      <c r="DJ307" s="18"/>
      <c r="DK307" s="37"/>
      <c r="DL307" s="38"/>
      <c r="DM307" s="18"/>
      <c r="DN307" s="18"/>
      <c r="DO307" s="18"/>
      <c r="DP307" s="18"/>
      <c r="DQ307" s="18"/>
      <c r="DR307" s="18"/>
      <c r="DS307" s="18"/>
      <c r="DT307" s="18"/>
      <c r="DU307" s="18"/>
      <c r="DV307" s="18"/>
      <c r="DW307" s="18"/>
      <c r="DX307" s="18"/>
      <c r="DY307" s="18"/>
      <c r="DZ307" s="18"/>
    </row>
    <row r="308" spans="1:130" x14ac:dyDescent="0.3">
      <c r="A308" s="18"/>
      <c r="B308" s="18"/>
      <c r="C308" s="18"/>
      <c r="D308" s="18"/>
      <c r="E308" s="18"/>
      <c r="F308" s="18"/>
      <c r="G308" s="18"/>
      <c r="H308" s="18"/>
      <c r="I308" s="18"/>
      <c r="J308" s="18"/>
      <c r="K308" s="18"/>
      <c r="L308" s="18"/>
      <c r="M308" s="18"/>
      <c r="N308" s="17"/>
      <c r="O308" s="17"/>
      <c r="P308" s="17"/>
      <c r="Q308" s="17"/>
      <c r="R308" s="17"/>
      <c r="S308" s="17"/>
      <c r="T308" s="17"/>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7"/>
      <c r="BT308" s="17"/>
      <c r="BU308" s="17"/>
      <c r="BV308" s="17"/>
      <c r="BW308" s="17"/>
      <c r="BX308" s="18"/>
      <c r="BY308" s="18"/>
      <c r="BZ308" s="18"/>
      <c r="CA308" s="18"/>
      <c r="CB308" s="17"/>
      <c r="CC308" s="17"/>
      <c r="CD308" s="17"/>
      <c r="CE308" s="18"/>
      <c r="CF308" s="18"/>
      <c r="CG308" s="18"/>
      <c r="CH308" s="18"/>
      <c r="CI308" s="18"/>
      <c r="CJ308" s="18"/>
      <c r="CK308" s="18"/>
      <c r="CL308" s="18"/>
      <c r="CM308" s="18"/>
      <c r="CN308" s="18"/>
      <c r="CO308" s="18"/>
      <c r="CP308" s="18"/>
      <c r="CQ308" s="18"/>
      <c r="CR308" s="18"/>
      <c r="CS308" s="18"/>
      <c r="CT308" s="18"/>
      <c r="CU308" s="18"/>
      <c r="CV308" s="18"/>
      <c r="CW308" s="18"/>
      <c r="CX308" s="18"/>
      <c r="CY308" s="37"/>
      <c r="CZ308" s="38"/>
      <c r="DA308" s="18"/>
      <c r="DB308" s="37"/>
      <c r="DC308" s="38"/>
      <c r="DD308" s="18"/>
      <c r="DE308" s="37"/>
      <c r="DF308" s="38"/>
      <c r="DG308" s="18"/>
      <c r="DH308" s="37"/>
      <c r="DI308" s="38"/>
      <c r="DJ308" s="18"/>
      <c r="DK308" s="37"/>
      <c r="DL308" s="38"/>
      <c r="DM308" s="18"/>
      <c r="DN308" s="18"/>
      <c r="DO308" s="18"/>
      <c r="DP308" s="18"/>
      <c r="DQ308" s="18"/>
      <c r="DR308" s="18"/>
      <c r="DS308" s="18"/>
      <c r="DT308" s="18"/>
      <c r="DU308" s="18"/>
      <c r="DV308" s="18"/>
      <c r="DW308" s="18"/>
      <c r="DX308" s="18"/>
      <c r="DY308" s="18"/>
      <c r="DZ308" s="18"/>
    </row>
    <row r="309" spans="1:130" x14ac:dyDescent="0.3">
      <c r="A309" s="18"/>
      <c r="B309" s="18"/>
      <c r="C309" s="18"/>
      <c r="D309" s="18"/>
      <c r="E309" s="18"/>
      <c r="F309" s="18"/>
      <c r="G309" s="18"/>
      <c r="H309" s="18"/>
      <c r="I309" s="18"/>
      <c r="J309" s="18"/>
      <c r="K309" s="18"/>
      <c r="L309" s="18"/>
      <c r="M309" s="18"/>
      <c r="N309" s="17"/>
      <c r="O309" s="17"/>
      <c r="P309" s="17"/>
      <c r="Q309" s="17"/>
      <c r="R309" s="17"/>
      <c r="S309" s="17"/>
      <c r="T309" s="17"/>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7"/>
      <c r="BT309" s="17"/>
      <c r="BU309" s="17"/>
      <c r="BV309" s="17"/>
      <c r="BW309" s="17"/>
      <c r="BX309" s="18"/>
      <c r="BY309" s="18"/>
      <c r="BZ309" s="18"/>
      <c r="CA309" s="18"/>
      <c r="CB309" s="17"/>
      <c r="CC309" s="17"/>
      <c r="CD309" s="17"/>
      <c r="CE309" s="18"/>
      <c r="CF309" s="18"/>
      <c r="CG309" s="18"/>
      <c r="CH309" s="18"/>
      <c r="CI309" s="18"/>
      <c r="CJ309" s="18"/>
      <c r="CK309" s="18"/>
      <c r="CL309" s="18"/>
      <c r="CM309" s="18"/>
      <c r="CN309" s="18"/>
      <c r="CO309" s="18"/>
      <c r="CP309" s="18"/>
      <c r="CQ309" s="18"/>
      <c r="CR309" s="18"/>
      <c r="CS309" s="18"/>
      <c r="CT309" s="18"/>
      <c r="CU309" s="18"/>
      <c r="CV309" s="18"/>
      <c r="CW309" s="18"/>
      <c r="CX309" s="18"/>
      <c r="CY309" s="37"/>
      <c r="CZ309" s="38"/>
      <c r="DA309" s="18"/>
      <c r="DB309" s="37"/>
      <c r="DC309" s="38"/>
      <c r="DD309" s="18"/>
      <c r="DE309" s="37"/>
      <c r="DF309" s="38"/>
      <c r="DG309" s="18"/>
      <c r="DH309" s="37"/>
      <c r="DI309" s="38"/>
      <c r="DJ309" s="18"/>
      <c r="DK309" s="37"/>
      <c r="DL309" s="38"/>
      <c r="DM309" s="18"/>
      <c r="DN309" s="18"/>
      <c r="DO309" s="18"/>
      <c r="DP309" s="18"/>
      <c r="DQ309" s="18"/>
      <c r="DR309" s="18"/>
      <c r="DS309" s="18"/>
      <c r="DT309" s="18"/>
      <c r="DU309" s="18"/>
      <c r="DV309" s="18"/>
      <c r="DW309" s="18"/>
      <c r="DX309" s="18"/>
      <c r="DY309" s="18"/>
      <c r="DZ309" s="18"/>
    </row>
    <row r="310" spans="1:130" x14ac:dyDescent="0.3">
      <c r="A310" s="18"/>
      <c r="B310" s="18"/>
      <c r="C310" s="18"/>
      <c r="D310" s="18"/>
      <c r="E310" s="18"/>
      <c r="F310" s="18"/>
      <c r="G310" s="18"/>
      <c r="H310" s="18"/>
      <c r="I310" s="18"/>
      <c r="J310" s="18"/>
      <c r="K310" s="18"/>
      <c r="L310" s="18"/>
      <c r="M310" s="18"/>
      <c r="N310" s="17"/>
      <c r="O310" s="17"/>
      <c r="P310" s="17"/>
      <c r="Q310" s="17"/>
      <c r="R310" s="17"/>
      <c r="S310" s="17"/>
      <c r="T310" s="17"/>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7"/>
      <c r="BT310" s="17"/>
      <c r="BU310" s="17"/>
      <c r="BV310" s="17"/>
      <c r="BW310" s="17"/>
      <c r="BX310" s="18"/>
      <c r="BY310" s="18"/>
      <c r="BZ310" s="18"/>
      <c r="CA310" s="18"/>
      <c r="CB310" s="17"/>
      <c r="CC310" s="17"/>
      <c r="CD310" s="17"/>
      <c r="CE310" s="18"/>
      <c r="CF310" s="18"/>
      <c r="CG310" s="18"/>
      <c r="CH310" s="18"/>
      <c r="CI310" s="18"/>
      <c r="CJ310" s="18"/>
      <c r="CK310" s="18"/>
      <c r="CL310" s="18"/>
      <c r="CM310" s="18"/>
      <c r="CN310" s="18"/>
      <c r="CO310" s="18"/>
      <c r="CP310" s="18"/>
      <c r="CQ310" s="18"/>
      <c r="CR310" s="18"/>
      <c r="CS310" s="18"/>
      <c r="CT310" s="18"/>
      <c r="CU310" s="18"/>
      <c r="CV310" s="18"/>
      <c r="CW310" s="18"/>
      <c r="CX310" s="18"/>
      <c r="CY310" s="37"/>
      <c r="CZ310" s="38"/>
      <c r="DA310" s="18"/>
      <c r="DB310" s="37"/>
      <c r="DC310" s="38"/>
      <c r="DD310" s="18"/>
      <c r="DE310" s="37"/>
      <c r="DF310" s="38"/>
      <c r="DG310" s="18"/>
      <c r="DH310" s="37"/>
      <c r="DI310" s="38"/>
      <c r="DJ310" s="18"/>
      <c r="DK310" s="37"/>
      <c r="DL310" s="38"/>
      <c r="DM310" s="18"/>
      <c r="DN310" s="18"/>
      <c r="DO310" s="18"/>
      <c r="DP310" s="18"/>
      <c r="DQ310" s="18"/>
      <c r="DR310" s="18"/>
      <c r="DS310" s="18"/>
      <c r="DT310" s="18"/>
      <c r="DU310" s="18"/>
      <c r="DV310" s="18"/>
      <c r="DW310" s="18"/>
      <c r="DX310" s="18"/>
      <c r="DY310" s="18"/>
      <c r="DZ310" s="18"/>
    </row>
    <row r="311" spans="1:130" x14ac:dyDescent="0.3">
      <c r="A311" s="18"/>
      <c r="B311" s="18"/>
      <c r="C311" s="18"/>
      <c r="D311" s="18"/>
      <c r="E311" s="18"/>
      <c r="F311" s="18"/>
      <c r="G311" s="18"/>
      <c r="H311" s="18"/>
      <c r="I311" s="18"/>
      <c r="J311" s="18"/>
      <c r="K311" s="18"/>
      <c r="L311" s="18"/>
      <c r="M311" s="18"/>
      <c r="N311" s="17"/>
      <c r="O311" s="17"/>
      <c r="P311" s="17"/>
      <c r="Q311" s="17"/>
      <c r="R311" s="17"/>
      <c r="S311" s="17"/>
      <c r="T311" s="17"/>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7"/>
      <c r="BT311" s="17"/>
      <c r="BU311" s="17"/>
      <c r="BV311" s="17"/>
      <c r="BW311" s="17"/>
      <c r="BX311" s="18"/>
      <c r="BY311" s="18"/>
      <c r="BZ311" s="18"/>
      <c r="CA311" s="18"/>
      <c r="CB311" s="17"/>
      <c r="CC311" s="17"/>
      <c r="CD311" s="17"/>
      <c r="CE311" s="18"/>
      <c r="CF311" s="18"/>
      <c r="CG311" s="18"/>
      <c r="CH311" s="18"/>
      <c r="CI311" s="18"/>
      <c r="CJ311" s="18"/>
      <c r="CK311" s="18"/>
      <c r="CL311" s="18"/>
      <c r="CM311" s="18"/>
      <c r="CN311" s="18"/>
      <c r="CO311" s="18"/>
      <c r="CP311" s="18"/>
      <c r="CQ311" s="18"/>
      <c r="CR311" s="18"/>
      <c r="CS311" s="18"/>
      <c r="CT311" s="18"/>
      <c r="CU311" s="18"/>
      <c r="CV311" s="18"/>
      <c r="CW311" s="18"/>
      <c r="CX311" s="18"/>
      <c r="CY311" s="37"/>
      <c r="CZ311" s="38"/>
      <c r="DA311" s="18"/>
      <c r="DB311" s="37"/>
      <c r="DC311" s="38"/>
      <c r="DD311" s="18"/>
      <c r="DE311" s="37"/>
      <c r="DF311" s="38"/>
      <c r="DG311" s="18"/>
      <c r="DH311" s="37"/>
      <c r="DI311" s="38"/>
      <c r="DJ311" s="18"/>
      <c r="DK311" s="37"/>
      <c r="DL311" s="38"/>
      <c r="DM311" s="18"/>
      <c r="DN311" s="18"/>
      <c r="DO311" s="18"/>
      <c r="DP311" s="18"/>
      <c r="DQ311" s="18"/>
      <c r="DR311" s="18"/>
      <c r="DS311" s="18"/>
      <c r="DT311" s="18"/>
      <c r="DU311" s="18"/>
      <c r="DV311" s="18"/>
      <c r="DW311" s="18"/>
      <c r="DX311" s="18"/>
      <c r="DY311" s="18"/>
      <c r="DZ311" s="18"/>
    </row>
    <row r="312" spans="1:130" x14ac:dyDescent="0.3">
      <c r="A312" s="18"/>
      <c r="B312" s="18"/>
      <c r="C312" s="18"/>
      <c r="D312" s="18"/>
      <c r="E312" s="18"/>
      <c r="F312" s="18"/>
      <c r="G312" s="18"/>
      <c r="H312" s="18"/>
      <c r="I312" s="18"/>
      <c r="J312" s="18"/>
      <c r="K312" s="18"/>
      <c r="L312" s="18"/>
      <c r="M312" s="18"/>
      <c r="N312" s="17"/>
      <c r="O312" s="17"/>
      <c r="P312" s="17"/>
      <c r="Q312" s="17"/>
      <c r="R312" s="17"/>
      <c r="S312" s="17"/>
      <c r="T312" s="17"/>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7"/>
      <c r="BT312" s="17"/>
      <c r="BU312" s="17"/>
      <c r="BV312" s="17"/>
      <c r="BW312" s="17"/>
      <c r="BX312" s="18"/>
      <c r="BY312" s="18"/>
      <c r="BZ312" s="18"/>
      <c r="CA312" s="18"/>
      <c r="CB312" s="17"/>
      <c r="CC312" s="17"/>
      <c r="CD312" s="17"/>
      <c r="CE312" s="18"/>
      <c r="CF312" s="18"/>
      <c r="CG312" s="18"/>
      <c r="CH312" s="18"/>
      <c r="CI312" s="18"/>
      <c r="CJ312" s="18"/>
      <c r="CK312" s="18"/>
      <c r="CL312" s="18"/>
      <c r="CM312" s="18"/>
      <c r="CN312" s="18"/>
      <c r="CO312" s="18"/>
      <c r="CP312" s="18"/>
      <c r="CQ312" s="18"/>
      <c r="CR312" s="18"/>
      <c r="CS312" s="18"/>
      <c r="CT312" s="18"/>
      <c r="CU312" s="18"/>
      <c r="CV312" s="18"/>
      <c r="CW312" s="18"/>
      <c r="CX312" s="18"/>
      <c r="CY312" s="37"/>
      <c r="CZ312" s="38"/>
      <c r="DA312" s="18"/>
      <c r="DB312" s="37"/>
      <c r="DC312" s="38"/>
      <c r="DD312" s="18"/>
      <c r="DE312" s="37"/>
      <c r="DF312" s="38"/>
      <c r="DG312" s="18"/>
      <c r="DH312" s="37"/>
      <c r="DI312" s="38"/>
      <c r="DJ312" s="18"/>
      <c r="DK312" s="37"/>
      <c r="DL312" s="38"/>
      <c r="DM312" s="18"/>
      <c r="DN312" s="18"/>
      <c r="DO312" s="18"/>
      <c r="DP312" s="18"/>
      <c r="DQ312" s="18"/>
      <c r="DR312" s="18"/>
      <c r="DS312" s="18"/>
      <c r="DT312" s="18"/>
      <c r="DU312" s="18"/>
      <c r="DV312" s="18"/>
      <c r="DW312" s="18"/>
      <c r="DX312" s="18"/>
      <c r="DY312" s="18"/>
      <c r="DZ312" s="18"/>
    </row>
    <row r="313" spans="1:130" x14ac:dyDescent="0.3">
      <c r="A313" s="18"/>
      <c r="B313" s="18"/>
      <c r="C313" s="18"/>
      <c r="D313" s="18"/>
      <c r="E313" s="18"/>
      <c r="F313" s="18"/>
      <c r="G313" s="18"/>
      <c r="H313" s="18"/>
      <c r="I313" s="18"/>
      <c r="J313" s="18"/>
      <c r="K313" s="18"/>
      <c r="L313" s="18"/>
      <c r="M313" s="18"/>
      <c r="N313" s="17"/>
      <c r="O313" s="17"/>
      <c r="P313" s="17"/>
      <c r="Q313" s="17"/>
      <c r="R313" s="17"/>
      <c r="S313" s="17"/>
      <c r="T313" s="17"/>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7"/>
      <c r="BT313" s="17"/>
      <c r="BU313" s="17"/>
      <c r="BV313" s="17"/>
      <c r="BW313" s="17"/>
      <c r="BX313" s="18"/>
      <c r="BY313" s="18"/>
      <c r="BZ313" s="18"/>
      <c r="CA313" s="18"/>
      <c r="CB313" s="17"/>
      <c r="CC313" s="17"/>
      <c r="CD313" s="17"/>
      <c r="CE313" s="18"/>
      <c r="CF313" s="18"/>
      <c r="CG313" s="18"/>
      <c r="CH313" s="18"/>
      <c r="CI313" s="18"/>
      <c r="CJ313" s="18"/>
      <c r="CK313" s="18"/>
      <c r="CL313" s="18"/>
      <c r="CM313" s="18"/>
      <c r="CN313" s="18"/>
      <c r="CO313" s="18"/>
      <c r="CP313" s="18"/>
      <c r="CQ313" s="18"/>
      <c r="CR313" s="18"/>
      <c r="CS313" s="18"/>
      <c r="CT313" s="18"/>
      <c r="CU313" s="18"/>
      <c r="CV313" s="18"/>
      <c r="CW313" s="18"/>
      <c r="CX313" s="18"/>
      <c r="CY313" s="37"/>
      <c r="CZ313" s="38"/>
      <c r="DA313" s="18"/>
      <c r="DB313" s="37"/>
      <c r="DC313" s="38"/>
      <c r="DD313" s="18"/>
      <c r="DE313" s="37"/>
      <c r="DF313" s="38"/>
      <c r="DG313" s="18"/>
      <c r="DH313" s="37"/>
      <c r="DI313" s="38"/>
      <c r="DJ313" s="18"/>
      <c r="DK313" s="37"/>
      <c r="DL313" s="38"/>
      <c r="DM313" s="18"/>
      <c r="DN313" s="18"/>
      <c r="DO313" s="18"/>
      <c r="DP313" s="18"/>
      <c r="DQ313" s="18"/>
      <c r="DR313" s="18"/>
      <c r="DS313" s="18"/>
      <c r="DT313" s="18"/>
      <c r="DU313" s="18"/>
      <c r="DV313" s="18"/>
      <c r="DW313" s="18"/>
      <c r="DX313" s="18"/>
      <c r="DY313" s="18"/>
      <c r="DZ313" s="18"/>
    </row>
    <row r="314" spans="1:130" x14ac:dyDescent="0.3">
      <c r="A314" s="18"/>
      <c r="B314" s="18"/>
      <c r="C314" s="18"/>
      <c r="D314" s="18"/>
      <c r="E314" s="18"/>
      <c r="F314" s="18"/>
      <c r="G314" s="18"/>
      <c r="H314" s="18"/>
      <c r="I314" s="18"/>
      <c r="J314" s="18"/>
      <c r="K314" s="18"/>
      <c r="L314" s="18"/>
      <c r="M314" s="18"/>
      <c r="N314" s="17"/>
      <c r="O314" s="17"/>
      <c r="P314" s="17"/>
      <c r="Q314" s="17"/>
      <c r="R314" s="17"/>
      <c r="S314" s="17"/>
      <c r="T314" s="17"/>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7"/>
      <c r="BT314" s="17"/>
      <c r="BU314" s="17"/>
      <c r="BV314" s="17"/>
      <c r="BW314" s="17"/>
      <c r="BX314" s="18"/>
      <c r="BY314" s="18"/>
      <c r="BZ314" s="18"/>
      <c r="CA314" s="18"/>
      <c r="CB314" s="17"/>
      <c r="CC314" s="17"/>
      <c r="CD314" s="17"/>
      <c r="CE314" s="18"/>
      <c r="CF314" s="18"/>
      <c r="CG314" s="18"/>
      <c r="CH314" s="18"/>
      <c r="CI314" s="18"/>
      <c r="CJ314" s="18"/>
      <c r="CK314" s="18"/>
      <c r="CL314" s="18"/>
      <c r="CM314" s="18"/>
      <c r="CN314" s="18"/>
      <c r="CO314" s="18"/>
      <c r="CP314" s="18"/>
      <c r="CQ314" s="18"/>
      <c r="CR314" s="18"/>
      <c r="CS314" s="18"/>
      <c r="CT314" s="18"/>
      <c r="CU314" s="18"/>
      <c r="CV314" s="18"/>
      <c r="CW314" s="18"/>
      <c r="CX314" s="18"/>
      <c r="CY314" s="37"/>
      <c r="CZ314" s="38"/>
      <c r="DA314" s="18"/>
      <c r="DB314" s="37"/>
      <c r="DC314" s="38"/>
      <c r="DD314" s="18"/>
      <c r="DE314" s="37"/>
      <c r="DF314" s="38"/>
      <c r="DG314" s="18"/>
      <c r="DH314" s="37"/>
      <c r="DI314" s="38"/>
      <c r="DJ314" s="18"/>
      <c r="DK314" s="37"/>
      <c r="DL314" s="38"/>
      <c r="DM314" s="18"/>
      <c r="DN314" s="18"/>
      <c r="DO314" s="18"/>
      <c r="DP314" s="18"/>
      <c r="DQ314" s="18"/>
      <c r="DR314" s="18"/>
      <c r="DS314" s="18"/>
      <c r="DT314" s="18"/>
      <c r="DU314" s="18"/>
      <c r="DV314" s="18"/>
      <c r="DW314" s="18"/>
      <c r="DX314" s="18"/>
      <c r="DY314" s="18"/>
      <c r="DZ314" s="18"/>
    </row>
    <row r="315" spans="1:130" x14ac:dyDescent="0.3">
      <c r="A315" s="18"/>
      <c r="B315" s="18"/>
      <c r="C315" s="18"/>
      <c r="D315" s="18"/>
      <c r="E315" s="18"/>
      <c r="F315" s="18"/>
      <c r="G315" s="18"/>
      <c r="H315" s="18"/>
      <c r="I315" s="18"/>
      <c r="J315" s="18"/>
      <c r="K315" s="18"/>
      <c r="L315" s="18"/>
      <c r="M315" s="18"/>
      <c r="N315" s="17"/>
      <c r="O315" s="17"/>
      <c r="P315" s="17"/>
      <c r="Q315" s="17"/>
      <c r="R315" s="17"/>
      <c r="S315" s="17"/>
      <c r="T315" s="17"/>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7"/>
      <c r="BT315" s="17"/>
      <c r="BU315" s="17"/>
      <c r="BV315" s="17"/>
      <c r="BW315" s="17"/>
      <c r="BX315" s="18"/>
      <c r="BY315" s="18"/>
      <c r="BZ315" s="18"/>
      <c r="CA315" s="18"/>
      <c r="CB315" s="17"/>
      <c r="CC315" s="17"/>
      <c r="CD315" s="17"/>
      <c r="CE315" s="18"/>
      <c r="CF315" s="18"/>
      <c r="CG315" s="18"/>
      <c r="CH315" s="18"/>
      <c r="CI315" s="18"/>
      <c r="CJ315" s="18"/>
      <c r="CK315" s="18"/>
      <c r="CL315" s="18"/>
      <c r="CM315" s="18"/>
      <c r="CN315" s="18"/>
      <c r="CO315" s="18"/>
      <c r="CP315" s="18"/>
      <c r="CQ315" s="18"/>
      <c r="CR315" s="18"/>
      <c r="CS315" s="18"/>
      <c r="CT315" s="18"/>
      <c r="CU315" s="18"/>
      <c r="CV315" s="18"/>
      <c r="CW315" s="18"/>
      <c r="CX315" s="18"/>
      <c r="CY315" s="37"/>
      <c r="CZ315" s="38"/>
      <c r="DA315" s="18"/>
      <c r="DB315" s="37"/>
      <c r="DC315" s="38"/>
      <c r="DD315" s="18"/>
      <c r="DE315" s="37"/>
      <c r="DF315" s="38"/>
      <c r="DG315" s="18"/>
      <c r="DH315" s="37"/>
      <c r="DI315" s="38"/>
      <c r="DJ315" s="18"/>
      <c r="DK315" s="37"/>
      <c r="DL315" s="38"/>
      <c r="DM315" s="18"/>
      <c r="DN315" s="18"/>
      <c r="DO315" s="18"/>
      <c r="DP315" s="18"/>
      <c r="DQ315" s="18"/>
      <c r="DR315" s="18"/>
      <c r="DS315" s="18"/>
      <c r="DT315" s="18"/>
      <c r="DU315" s="18"/>
      <c r="DV315" s="18"/>
      <c r="DW315" s="18"/>
      <c r="DX315" s="18"/>
      <c r="DY315" s="18"/>
      <c r="DZ315" s="18"/>
    </row>
    <row r="316" spans="1:130" x14ac:dyDescent="0.3">
      <c r="A316" s="18"/>
      <c r="B316" s="18"/>
      <c r="C316" s="18"/>
      <c r="D316" s="18"/>
      <c r="E316" s="18"/>
      <c r="F316" s="18"/>
      <c r="G316" s="18"/>
      <c r="H316" s="18"/>
      <c r="I316" s="18"/>
      <c r="J316" s="18"/>
      <c r="K316" s="18"/>
      <c r="L316" s="18"/>
      <c r="M316" s="18"/>
      <c r="N316" s="17"/>
      <c r="O316" s="17"/>
      <c r="P316" s="17"/>
      <c r="Q316" s="17"/>
      <c r="R316" s="17"/>
      <c r="S316" s="17"/>
      <c r="T316" s="17"/>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7"/>
      <c r="BT316" s="17"/>
      <c r="BU316" s="17"/>
      <c r="BV316" s="17"/>
      <c r="BW316" s="17"/>
      <c r="BX316" s="18"/>
      <c r="BY316" s="18"/>
      <c r="BZ316" s="18"/>
      <c r="CA316" s="18"/>
      <c r="CB316" s="17"/>
      <c r="CC316" s="17"/>
      <c r="CD316" s="17"/>
      <c r="CE316" s="18"/>
      <c r="CF316" s="18"/>
      <c r="CG316" s="18"/>
      <c r="CH316" s="18"/>
      <c r="CI316" s="18"/>
      <c r="CJ316" s="18"/>
      <c r="CK316" s="18"/>
      <c r="CL316" s="18"/>
      <c r="CM316" s="18"/>
      <c r="CN316" s="18"/>
      <c r="CO316" s="18"/>
      <c r="CP316" s="18"/>
      <c r="CQ316" s="18"/>
      <c r="CR316" s="18"/>
      <c r="CS316" s="18"/>
      <c r="CT316" s="18"/>
      <c r="CU316" s="18"/>
      <c r="CV316" s="18"/>
      <c r="CW316" s="18"/>
      <c r="CX316" s="18"/>
      <c r="CY316" s="37"/>
      <c r="CZ316" s="38"/>
      <c r="DA316" s="18"/>
      <c r="DB316" s="37"/>
      <c r="DC316" s="38"/>
      <c r="DD316" s="18"/>
      <c r="DE316" s="37"/>
      <c r="DF316" s="38"/>
      <c r="DG316" s="18"/>
      <c r="DH316" s="37"/>
      <c r="DI316" s="38"/>
      <c r="DJ316" s="18"/>
      <c r="DK316" s="37"/>
      <c r="DL316" s="38"/>
      <c r="DM316" s="18"/>
      <c r="DN316" s="18"/>
      <c r="DO316" s="18"/>
      <c r="DP316" s="18"/>
      <c r="DQ316" s="18"/>
      <c r="DR316" s="18"/>
      <c r="DS316" s="18"/>
      <c r="DT316" s="18"/>
      <c r="DU316" s="18"/>
      <c r="DV316" s="18"/>
      <c r="DW316" s="18"/>
      <c r="DX316" s="18"/>
      <c r="DY316" s="18"/>
      <c r="DZ316" s="18"/>
    </row>
    <row r="317" spans="1:130" x14ac:dyDescent="0.3">
      <c r="A317" s="18"/>
      <c r="B317" s="18"/>
      <c r="C317" s="18"/>
      <c r="D317" s="18"/>
      <c r="E317" s="18"/>
      <c r="F317" s="18"/>
      <c r="G317" s="18"/>
      <c r="H317" s="18"/>
      <c r="I317" s="18"/>
      <c r="J317" s="18"/>
      <c r="K317" s="18"/>
      <c r="L317" s="18"/>
      <c r="M317" s="18"/>
      <c r="N317" s="17"/>
      <c r="O317" s="17"/>
      <c r="P317" s="17"/>
      <c r="Q317" s="17"/>
      <c r="R317" s="17"/>
      <c r="S317" s="17"/>
      <c r="T317" s="17"/>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7"/>
      <c r="BT317" s="17"/>
      <c r="BU317" s="17"/>
      <c r="BV317" s="17"/>
      <c r="BW317" s="17"/>
      <c r="BX317" s="18"/>
      <c r="BY317" s="18"/>
      <c r="BZ317" s="18"/>
      <c r="CA317" s="18"/>
      <c r="CB317" s="17"/>
      <c r="CC317" s="17"/>
      <c r="CD317" s="17"/>
      <c r="CE317" s="18"/>
      <c r="CF317" s="18"/>
      <c r="CG317" s="18"/>
      <c r="CH317" s="18"/>
      <c r="CI317" s="18"/>
      <c r="CJ317" s="18"/>
      <c r="CK317" s="18"/>
      <c r="CL317" s="18"/>
      <c r="CM317" s="18"/>
      <c r="CN317" s="18"/>
      <c r="CO317" s="18"/>
      <c r="CP317" s="18"/>
      <c r="CQ317" s="18"/>
      <c r="CR317" s="18"/>
      <c r="CS317" s="18"/>
      <c r="CT317" s="18"/>
      <c r="CU317" s="18"/>
      <c r="CV317" s="18"/>
      <c r="CW317" s="18"/>
      <c r="CX317" s="18"/>
      <c r="CY317" s="37"/>
      <c r="CZ317" s="38"/>
      <c r="DA317" s="18"/>
      <c r="DB317" s="37"/>
      <c r="DC317" s="38"/>
      <c r="DD317" s="18"/>
      <c r="DE317" s="37"/>
      <c r="DF317" s="38"/>
      <c r="DG317" s="18"/>
      <c r="DH317" s="37"/>
      <c r="DI317" s="38"/>
      <c r="DJ317" s="18"/>
      <c r="DK317" s="37"/>
      <c r="DL317" s="38"/>
      <c r="DM317" s="18"/>
      <c r="DN317" s="18"/>
      <c r="DO317" s="18"/>
      <c r="DP317" s="18"/>
      <c r="DQ317" s="18"/>
      <c r="DR317" s="18"/>
      <c r="DS317" s="18"/>
      <c r="DT317" s="18"/>
      <c r="DU317" s="18"/>
      <c r="DV317" s="18"/>
      <c r="DW317" s="18"/>
      <c r="DX317" s="18"/>
      <c r="DY317" s="18"/>
      <c r="DZ317" s="18"/>
    </row>
    <row r="318" spans="1:130" x14ac:dyDescent="0.3">
      <c r="A318" s="18"/>
      <c r="B318" s="18"/>
      <c r="C318" s="18"/>
      <c r="D318" s="18"/>
      <c r="E318" s="18"/>
      <c r="F318" s="18"/>
      <c r="G318" s="18"/>
      <c r="H318" s="18"/>
      <c r="I318" s="18"/>
      <c r="J318" s="18"/>
      <c r="K318" s="18"/>
      <c r="L318" s="18"/>
      <c r="M318" s="18"/>
      <c r="N318" s="17"/>
      <c r="O318" s="17"/>
      <c r="P318" s="17"/>
      <c r="Q318" s="17"/>
      <c r="R318" s="17"/>
      <c r="S318" s="17"/>
      <c r="T318" s="17"/>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7"/>
      <c r="BT318" s="17"/>
      <c r="BU318" s="17"/>
      <c r="BV318" s="17"/>
      <c r="BW318" s="17"/>
      <c r="BX318" s="18"/>
      <c r="BY318" s="18"/>
      <c r="BZ318" s="18"/>
      <c r="CA318" s="18"/>
      <c r="CB318" s="17"/>
      <c r="CC318" s="17"/>
      <c r="CD318" s="17"/>
      <c r="CE318" s="18"/>
      <c r="CF318" s="18"/>
      <c r="CG318" s="18"/>
      <c r="CH318" s="18"/>
      <c r="CI318" s="18"/>
      <c r="CJ318" s="18"/>
      <c r="CK318" s="18"/>
      <c r="CL318" s="18"/>
      <c r="CM318" s="18"/>
      <c r="CN318" s="18"/>
      <c r="CO318" s="18"/>
      <c r="CP318" s="18"/>
      <c r="CQ318" s="18"/>
      <c r="CR318" s="18"/>
      <c r="CS318" s="18"/>
      <c r="CT318" s="18"/>
      <c r="CU318" s="18"/>
      <c r="CV318" s="18"/>
      <c r="CW318" s="18"/>
      <c r="CX318" s="18"/>
      <c r="CY318" s="37"/>
      <c r="CZ318" s="38"/>
      <c r="DA318" s="18"/>
      <c r="DB318" s="37"/>
      <c r="DC318" s="38"/>
      <c r="DD318" s="18"/>
      <c r="DE318" s="37"/>
      <c r="DF318" s="38"/>
      <c r="DG318" s="18"/>
      <c r="DH318" s="37"/>
      <c r="DI318" s="38"/>
      <c r="DJ318" s="18"/>
      <c r="DK318" s="37"/>
      <c r="DL318" s="38"/>
      <c r="DM318" s="18"/>
      <c r="DN318" s="18"/>
      <c r="DO318" s="18"/>
      <c r="DP318" s="18"/>
      <c r="DQ318" s="18"/>
      <c r="DR318" s="18"/>
      <c r="DS318" s="18"/>
      <c r="DT318" s="18"/>
      <c r="DU318" s="18"/>
      <c r="DV318" s="18"/>
      <c r="DW318" s="18"/>
      <c r="DX318" s="18"/>
      <c r="DY318" s="18"/>
      <c r="DZ318" s="18"/>
    </row>
    <row r="319" spans="1:130" x14ac:dyDescent="0.3">
      <c r="A319" s="18"/>
      <c r="B319" s="18"/>
      <c r="C319" s="18"/>
      <c r="D319" s="18"/>
      <c r="E319" s="18"/>
      <c r="F319" s="18"/>
      <c r="G319" s="18"/>
      <c r="H319" s="18"/>
      <c r="I319" s="18"/>
      <c r="J319" s="18"/>
      <c r="K319" s="18"/>
      <c r="L319" s="18"/>
      <c r="M319" s="18"/>
      <c r="N319" s="17"/>
      <c r="O319" s="17"/>
      <c r="P319" s="17"/>
      <c r="Q319" s="17"/>
      <c r="R319" s="17"/>
      <c r="S319" s="17"/>
      <c r="T319" s="17"/>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7"/>
      <c r="BT319" s="17"/>
      <c r="BU319" s="17"/>
      <c r="BV319" s="17"/>
      <c r="BW319" s="17"/>
      <c r="BX319" s="18"/>
      <c r="BY319" s="18"/>
      <c r="BZ319" s="18"/>
      <c r="CA319" s="18"/>
      <c r="CB319" s="17"/>
      <c r="CC319" s="17"/>
      <c r="CD319" s="17"/>
      <c r="CE319" s="18"/>
      <c r="CF319" s="18"/>
      <c r="CG319" s="18"/>
      <c r="CH319" s="18"/>
      <c r="CI319" s="18"/>
      <c r="CJ319" s="18"/>
      <c r="CK319" s="18"/>
      <c r="CL319" s="18"/>
      <c r="CM319" s="18"/>
      <c r="CN319" s="18"/>
      <c r="CO319" s="18"/>
      <c r="CP319" s="18"/>
      <c r="CQ319" s="18"/>
      <c r="CR319" s="18"/>
      <c r="CS319" s="18"/>
      <c r="CT319" s="18"/>
      <c r="CU319" s="18"/>
      <c r="CV319" s="18"/>
      <c r="CW319" s="18"/>
      <c r="CX319" s="18"/>
      <c r="CY319" s="37"/>
      <c r="CZ319" s="38"/>
      <c r="DA319" s="18"/>
      <c r="DB319" s="37"/>
      <c r="DC319" s="38"/>
      <c r="DD319" s="18"/>
      <c r="DE319" s="37"/>
      <c r="DF319" s="38"/>
      <c r="DG319" s="18"/>
      <c r="DH319" s="37"/>
      <c r="DI319" s="38"/>
      <c r="DJ319" s="18"/>
      <c r="DK319" s="37"/>
      <c r="DL319" s="38"/>
      <c r="DM319" s="18"/>
      <c r="DN319" s="18"/>
      <c r="DO319" s="18"/>
      <c r="DP319" s="18"/>
      <c r="DQ319" s="18"/>
      <c r="DR319" s="18"/>
      <c r="DS319" s="18"/>
      <c r="DT319" s="18"/>
      <c r="DU319" s="18"/>
      <c r="DV319" s="18"/>
      <c r="DW319" s="18"/>
      <c r="DX319" s="18"/>
      <c r="DY319" s="18"/>
      <c r="DZ319" s="18"/>
    </row>
    <row r="320" spans="1:130" x14ac:dyDescent="0.3">
      <c r="A320" s="18"/>
      <c r="B320" s="18"/>
      <c r="C320" s="18"/>
      <c r="D320" s="18"/>
      <c r="E320" s="18"/>
      <c r="F320" s="18"/>
      <c r="G320" s="18"/>
      <c r="H320" s="18"/>
      <c r="I320" s="18"/>
      <c r="J320" s="18"/>
      <c r="K320" s="18"/>
      <c r="L320" s="18"/>
      <c r="M320" s="18"/>
      <c r="N320" s="17"/>
      <c r="O320" s="17"/>
      <c r="P320" s="17"/>
      <c r="Q320" s="17"/>
      <c r="R320" s="17"/>
      <c r="S320" s="17"/>
      <c r="T320" s="17"/>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7"/>
      <c r="BT320" s="17"/>
      <c r="BU320" s="17"/>
      <c r="BV320" s="17"/>
      <c r="BW320" s="17"/>
      <c r="BX320" s="18"/>
      <c r="BY320" s="18"/>
      <c r="BZ320" s="18"/>
      <c r="CA320" s="18"/>
      <c r="CB320" s="17"/>
      <c r="CC320" s="17"/>
      <c r="CD320" s="17"/>
      <c r="CE320" s="18"/>
      <c r="CF320" s="18"/>
      <c r="CG320" s="18"/>
      <c r="CH320" s="18"/>
      <c r="CI320" s="18"/>
      <c r="CJ320" s="18"/>
      <c r="CK320" s="18"/>
      <c r="CL320" s="18"/>
      <c r="CM320" s="18"/>
      <c r="CN320" s="18"/>
      <c r="CO320" s="18"/>
      <c r="CP320" s="18"/>
      <c r="CQ320" s="18"/>
      <c r="CR320" s="18"/>
      <c r="CS320" s="18"/>
      <c r="CT320" s="18"/>
      <c r="CU320" s="18"/>
      <c r="CV320" s="18"/>
      <c r="CW320" s="18"/>
      <c r="CX320" s="18"/>
      <c r="CY320" s="37"/>
      <c r="CZ320" s="38"/>
      <c r="DA320" s="18"/>
      <c r="DB320" s="37"/>
      <c r="DC320" s="38"/>
      <c r="DD320" s="18"/>
      <c r="DE320" s="37"/>
      <c r="DF320" s="38"/>
      <c r="DG320" s="18"/>
      <c r="DH320" s="37"/>
      <c r="DI320" s="38"/>
      <c r="DJ320" s="18"/>
      <c r="DK320" s="37"/>
      <c r="DL320" s="38"/>
      <c r="DM320" s="18"/>
      <c r="DN320" s="18"/>
      <c r="DO320" s="18"/>
      <c r="DP320" s="18"/>
      <c r="DQ320" s="18"/>
      <c r="DR320" s="18"/>
      <c r="DS320" s="18"/>
      <c r="DT320" s="18"/>
      <c r="DU320" s="18"/>
      <c r="DV320" s="18"/>
      <c r="DW320" s="18"/>
      <c r="DX320" s="18"/>
      <c r="DY320" s="18"/>
      <c r="DZ320" s="18"/>
    </row>
    <row r="321" spans="1:130" x14ac:dyDescent="0.3">
      <c r="A321" s="18"/>
      <c r="B321" s="18"/>
      <c r="C321" s="18"/>
      <c r="D321" s="18"/>
      <c r="E321" s="18"/>
      <c r="F321" s="18"/>
      <c r="G321" s="18"/>
      <c r="H321" s="18"/>
      <c r="I321" s="18"/>
      <c r="J321" s="18"/>
      <c r="K321" s="18"/>
      <c r="L321" s="18"/>
      <c r="M321" s="18"/>
      <c r="N321" s="17"/>
      <c r="O321" s="17"/>
      <c r="P321" s="17"/>
      <c r="Q321" s="17"/>
      <c r="R321" s="17"/>
      <c r="S321" s="17"/>
      <c r="T321" s="17"/>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7"/>
      <c r="BT321" s="17"/>
      <c r="BU321" s="17"/>
      <c r="BV321" s="17"/>
      <c r="BW321" s="17"/>
      <c r="BX321" s="18"/>
      <c r="BY321" s="18"/>
      <c r="BZ321" s="18"/>
      <c r="CA321" s="18"/>
      <c r="CB321" s="17"/>
      <c r="CC321" s="17"/>
      <c r="CD321" s="17"/>
      <c r="CE321" s="18"/>
      <c r="CF321" s="18"/>
      <c r="CG321" s="18"/>
      <c r="CH321" s="18"/>
      <c r="CI321" s="18"/>
      <c r="CJ321" s="18"/>
      <c r="CK321" s="18"/>
      <c r="CL321" s="18"/>
      <c r="CM321" s="18"/>
      <c r="CN321" s="18"/>
      <c r="CO321" s="18"/>
      <c r="CP321" s="18"/>
      <c r="CQ321" s="18"/>
      <c r="CR321" s="18"/>
      <c r="CS321" s="18"/>
      <c r="CT321" s="18"/>
      <c r="CU321" s="18"/>
      <c r="CV321" s="18"/>
      <c r="CW321" s="18"/>
      <c r="CX321" s="18"/>
      <c r="CY321" s="37"/>
      <c r="CZ321" s="38"/>
      <c r="DA321" s="18"/>
      <c r="DB321" s="37"/>
      <c r="DC321" s="38"/>
      <c r="DD321" s="18"/>
      <c r="DE321" s="37"/>
      <c r="DF321" s="38"/>
      <c r="DG321" s="18"/>
      <c r="DH321" s="37"/>
      <c r="DI321" s="38"/>
      <c r="DJ321" s="18"/>
      <c r="DK321" s="37"/>
      <c r="DL321" s="38"/>
      <c r="DM321" s="18"/>
      <c r="DN321" s="18"/>
      <c r="DO321" s="18"/>
      <c r="DP321" s="18"/>
      <c r="DQ321" s="18"/>
      <c r="DR321" s="18"/>
      <c r="DS321" s="18"/>
      <c r="DT321" s="18"/>
      <c r="DU321" s="18"/>
      <c r="DV321" s="18"/>
      <c r="DW321" s="18"/>
      <c r="DX321" s="18"/>
      <c r="DY321" s="18"/>
      <c r="DZ321" s="18"/>
    </row>
    <row r="322" spans="1:130" x14ac:dyDescent="0.3">
      <c r="A322" s="18"/>
      <c r="B322" s="18"/>
      <c r="C322" s="18"/>
      <c r="D322" s="18"/>
      <c r="E322" s="18"/>
      <c r="F322" s="18"/>
      <c r="G322" s="18"/>
      <c r="H322" s="18"/>
      <c r="I322" s="18"/>
      <c r="J322" s="18"/>
      <c r="K322" s="18"/>
      <c r="L322" s="18"/>
      <c r="M322" s="18"/>
      <c r="N322" s="17"/>
      <c r="O322" s="17"/>
      <c r="P322" s="17"/>
      <c r="Q322" s="17"/>
      <c r="R322" s="17"/>
      <c r="S322" s="17"/>
      <c r="T322" s="17"/>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7"/>
      <c r="BT322" s="17"/>
      <c r="BU322" s="17"/>
      <c r="BV322" s="17"/>
      <c r="BW322" s="17"/>
      <c r="BX322" s="18"/>
      <c r="BY322" s="18"/>
      <c r="BZ322" s="18"/>
      <c r="CA322" s="18"/>
      <c r="CB322" s="17"/>
      <c r="CC322" s="17"/>
      <c r="CD322" s="17"/>
      <c r="CE322" s="18"/>
      <c r="CF322" s="18"/>
      <c r="CG322" s="18"/>
      <c r="CH322" s="18"/>
      <c r="CI322" s="18"/>
      <c r="CJ322" s="18"/>
      <c r="CK322" s="18"/>
      <c r="CL322" s="18"/>
      <c r="CM322" s="18"/>
      <c r="CN322" s="18"/>
      <c r="CO322" s="18"/>
      <c r="CP322" s="18"/>
      <c r="CQ322" s="18"/>
      <c r="CR322" s="18"/>
      <c r="CS322" s="18"/>
      <c r="CT322" s="18"/>
      <c r="CU322" s="18"/>
      <c r="CV322" s="18"/>
      <c r="CW322" s="18"/>
      <c r="CX322" s="18"/>
      <c r="CY322" s="37"/>
      <c r="CZ322" s="38"/>
      <c r="DA322" s="18"/>
      <c r="DB322" s="37"/>
      <c r="DC322" s="38"/>
      <c r="DD322" s="18"/>
      <c r="DE322" s="37"/>
      <c r="DF322" s="38"/>
      <c r="DG322" s="18"/>
      <c r="DH322" s="37"/>
      <c r="DI322" s="38"/>
      <c r="DJ322" s="18"/>
      <c r="DK322" s="37"/>
      <c r="DL322" s="38"/>
      <c r="DM322" s="18"/>
      <c r="DN322" s="18"/>
      <c r="DO322" s="18"/>
      <c r="DP322" s="18"/>
      <c r="DQ322" s="18"/>
      <c r="DR322" s="18"/>
      <c r="DS322" s="18"/>
      <c r="DT322" s="18"/>
      <c r="DU322" s="18"/>
      <c r="DV322" s="18"/>
      <c r="DW322" s="18"/>
      <c r="DX322" s="18"/>
      <c r="DY322" s="18"/>
      <c r="DZ322" s="18"/>
    </row>
    <row r="323" spans="1:130" x14ac:dyDescent="0.3">
      <c r="A323" s="18"/>
      <c r="B323" s="18"/>
      <c r="C323" s="18"/>
      <c r="D323" s="18"/>
      <c r="E323" s="18"/>
      <c r="F323" s="18"/>
      <c r="G323" s="18"/>
      <c r="H323" s="18"/>
      <c r="I323" s="18"/>
      <c r="J323" s="18"/>
      <c r="K323" s="18"/>
      <c r="L323" s="18"/>
      <c r="M323" s="18"/>
      <c r="N323" s="17"/>
      <c r="O323" s="17"/>
      <c r="P323" s="17"/>
      <c r="Q323" s="17"/>
      <c r="R323" s="17"/>
      <c r="S323" s="17"/>
      <c r="T323" s="17"/>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7"/>
      <c r="BT323" s="17"/>
      <c r="BU323" s="17"/>
      <c r="BV323" s="17"/>
      <c r="BW323" s="17"/>
      <c r="BX323" s="18"/>
      <c r="BY323" s="18"/>
      <c r="BZ323" s="18"/>
      <c r="CA323" s="18"/>
      <c r="CB323" s="17"/>
      <c r="CC323" s="17"/>
      <c r="CD323" s="17"/>
      <c r="CE323" s="18"/>
      <c r="CF323" s="18"/>
      <c r="CG323" s="18"/>
      <c r="CH323" s="18"/>
      <c r="CI323" s="18"/>
      <c r="CJ323" s="18"/>
      <c r="CK323" s="18"/>
      <c r="CL323" s="18"/>
      <c r="CM323" s="18"/>
      <c r="CN323" s="18"/>
      <c r="CO323" s="18"/>
      <c r="CP323" s="18"/>
      <c r="CQ323" s="18"/>
      <c r="CR323" s="18"/>
      <c r="CS323" s="18"/>
      <c r="CT323" s="18"/>
      <c r="CU323" s="18"/>
      <c r="CV323" s="18"/>
      <c r="CW323" s="18"/>
      <c r="CX323" s="18"/>
      <c r="CY323" s="37"/>
      <c r="CZ323" s="38"/>
      <c r="DA323" s="18"/>
      <c r="DB323" s="37"/>
      <c r="DC323" s="38"/>
      <c r="DD323" s="18"/>
      <c r="DE323" s="37"/>
      <c r="DF323" s="38"/>
      <c r="DG323" s="18"/>
      <c r="DH323" s="37"/>
      <c r="DI323" s="38"/>
      <c r="DJ323" s="18"/>
      <c r="DK323" s="37"/>
      <c r="DL323" s="38"/>
      <c r="DM323" s="18"/>
      <c r="DN323" s="18"/>
      <c r="DO323" s="18"/>
      <c r="DP323" s="18"/>
      <c r="DQ323" s="18"/>
      <c r="DR323" s="18"/>
      <c r="DS323" s="18"/>
      <c r="DT323" s="18"/>
      <c r="DU323" s="18"/>
      <c r="DV323" s="18"/>
      <c r="DW323" s="18"/>
      <c r="DX323" s="18"/>
      <c r="DY323" s="18"/>
      <c r="DZ323" s="18"/>
    </row>
    <row r="324" spans="1:130" x14ac:dyDescent="0.3">
      <c r="A324" s="18"/>
      <c r="B324" s="18"/>
      <c r="C324" s="18"/>
      <c r="D324" s="18"/>
      <c r="E324" s="18"/>
      <c r="F324" s="18"/>
      <c r="G324" s="18"/>
      <c r="H324" s="18"/>
      <c r="I324" s="18"/>
      <c r="J324" s="18"/>
      <c r="K324" s="18"/>
      <c r="L324" s="18"/>
      <c r="M324" s="18"/>
      <c r="N324" s="17"/>
      <c r="O324" s="17"/>
      <c r="P324" s="17"/>
      <c r="Q324" s="17"/>
      <c r="R324" s="17"/>
      <c r="S324" s="17"/>
      <c r="T324" s="17"/>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7"/>
      <c r="BT324" s="17"/>
      <c r="BU324" s="17"/>
      <c r="BV324" s="17"/>
      <c r="BW324" s="17"/>
      <c r="BX324" s="18"/>
      <c r="BY324" s="18"/>
      <c r="BZ324" s="18"/>
      <c r="CA324" s="18"/>
      <c r="CB324" s="17"/>
      <c r="CC324" s="17"/>
      <c r="CD324" s="17"/>
      <c r="CE324" s="18"/>
      <c r="CF324" s="18"/>
      <c r="CG324" s="18"/>
      <c r="CH324" s="18"/>
      <c r="CI324" s="18"/>
      <c r="CJ324" s="18"/>
      <c r="CK324" s="18"/>
      <c r="CL324" s="18"/>
      <c r="CM324" s="18"/>
      <c r="CN324" s="18"/>
      <c r="CO324" s="18"/>
      <c r="CP324" s="18"/>
      <c r="CQ324" s="18"/>
      <c r="CR324" s="18"/>
      <c r="CS324" s="18"/>
      <c r="CT324" s="18"/>
      <c r="CU324" s="18"/>
      <c r="CV324" s="18"/>
      <c r="CW324" s="18"/>
      <c r="CX324" s="18"/>
      <c r="CY324" s="37"/>
      <c r="CZ324" s="38"/>
      <c r="DA324" s="18"/>
      <c r="DB324" s="37"/>
      <c r="DC324" s="38"/>
      <c r="DD324" s="18"/>
      <c r="DE324" s="37"/>
      <c r="DF324" s="38"/>
      <c r="DG324" s="18"/>
      <c r="DH324" s="37"/>
      <c r="DI324" s="38"/>
      <c r="DJ324" s="18"/>
      <c r="DK324" s="37"/>
      <c r="DL324" s="38"/>
      <c r="DM324" s="18"/>
      <c r="DN324" s="18"/>
      <c r="DO324" s="18"/>
      <c r="DP324" s="18"/>
      <c r="DQ324" s="18"/>
      <c r="DR324" s="18"/>
      <c r="DS324" s="18"/>
      <c r="DT324" s="18"/>
      <c r="DU324" s="18"/>
      <c r="DV324" s="18"/>
      <c r="DW324" s="18"/>
      <c r="DX324" s="18"/>
      <c r="DY324" s="18"/>
      <c r="DZ324" s="18"/>
    </row>
    <row r="325" spans="1:130" x14ac:dyDescent="0.3">
      <c r="A325" s="18"/>
      <c r="B325" s="18"/>
      <c r="C325" s="18"/>
      <c r="D325" s="18"/>
      <c r="E325" s="18"/>
      <c r="F325" s="18"/>
      <c r="G325" s="18"/>
      <c r="H325" s="18"/>
      <c r="I325" s="18"/>
      <c r="J325" s="18"/>
      <c r="K325" s="18"/>
      <c r="L325" s="18"/>
      <c r="M325" s="18"/>
      <c r="N325" s="17"/>
      <c r="O325" s="17"/>
      <c r="P325" s="17"/>
      <c r="Q325" s="17"/>
      <c r="R325" s="17"/>
      <c r="S325" s="17"/>
      <c r="T325" s="17"/>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7"/>
      <c r="BT325" s="17"/>
      <c r="BU325" s="17"/>
      <c r="BV325" s="17"/>
      <c r="BW325" s="17"/>
      <c r="BX325" s="18"/>
      <c r="BY325" s="18"/>
      <c r="BZ325" s="18"/>
      <c r="CA325" s="18"/>
      <c r="CB325" s="17"/>
      <c r="CC325" s="17"/>
      <c r="CD325" s="17"/>
      <c r="CE325" s="18"/>
      <c r="CF325" s="18"/>
      <c r="CG325" s="18"/>
      <c r="CH325" s="18"/>
      <c r="CI325" s="18"/>
      <c r="CJ325" s="18"/>
      <c r="CK325" s="18"/>
      <c r="CL325" s="18"/>
      <c r="CM325" s="18"/>
      <c r="CN325" s="18"/>
      <c r="CO325" s="18"/>
      <c r="CP325" s="18"/>
      <c r="CQ325" s="18"/>
      <c r="CR325" s="18"/>
      <c r="CS325" s="18"/>
      <c r="CT325" s="18"/>
      <c r="CU325" s="18"/>
      <c r="CV325" s="18"/>
      <c r="CW325" s="18"/>
      <c r="CX325" s="18"/>
      <c r="CY325" s="37"/>
      <c r="CZ325" s="38"/>
      <c r="DA325" s="18"/>
      <c r="DB325" s="37"/>
      <c r="DC325" s="38"/>
      <c r="DD325" s="18"/>
      <c r="DE325" s="37"/>
      <c r="DF325" s="38"/>
      <c r="DG325" s="18"/>
      <c r="DH325" s="37"/>
      <c r="DI325" s="38"/>
      <c r="DJ325" s="18"/>
      <c r="DK325" s="37"/>
      <c r="DL325" s="38"/>
      <c r="DM325" s="18"/>
      <c r="DN325" s="18"/>
      <c r="DO325" s="18"/>
      <c r="DP325" s="18"/>
      <c r="DQ325" s="18"/>
      <c r="DR325" s="18"/>
      <c r="DS325" s="18"/>
      <c r="DT325" s="18"/>
      <c r="DU325" s="18"/>
      <c r="DV325" s="18"/>
      <c r="DW325" s="18"/>
      <c r="DX325" s="18"/>
      <c r="DY325" s="18"/>
      <c r="DZ325" s="18"/>
    </row>
    <row r="326" spans="1:130" x14ac:dyDescent="0.3">
      <c r="A326" s="18"/>
      <c r="B326" s="18"/>
      <c r="C326" s="18"/>
      <c r="D326" s="18"/>
      <c r="E326" s="18"/>
      <c r="F326" s="18"/>
      <c r="G326" s="18"/>
      <c r="H326" s="18"/>
      <c r="I326" s="18"/>
      <c r="J326" s="18"/>
      <c r="K326" s="18"/>
      <c r="L326" s="18"/>
      <c r="M326" s="18"/>
      <c r="N326" s="17"/>
      <c r="O326" s="17"/>
      <c r="P326" s="17"/>
      <c r="Q326" s="17"/>
      <c r="R326" s="17"/>
      <c r="S326" s="17"/>
      <c r="T326" s="17"/>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7"/>
      <c r="BT326" s="17"/>
      <c r="BU326" s="17"/>
      <c r="BV326" s="17"/>
      <c r="BW326" s="17"/>
      <c r="BX326" s="18"/>
      <c r="BY326" s="18"/>
      <c r="BZ326" s="18"/>
      <c r="CA326" s="18"/>
      <c r="CB326" s="17"/>
      <c r="CC326" s="17"/>
      <c r="CD326" s="17"/>
      <c r="CE326" s="18"/>
      <c r="CF326" s="18"/>
      <c r="CG326" s="18"/>
      <c r="CH326" s="18"/>
      <c r="CI326" s="18"/>
      <c r="CJ326" s="18"/>
      <c r="CK326" s="18"/>
      <c r="CL326" s="18"/>
      <c r="CM326" s="18"/>
      <c r="CN326" s="18"/>
      <c r="CO326" s="18"/>
      <c r="CP326" s="18"/>
      <c r="CQ326" s="18"/>
      <c r="CR326" s="18"/>
      <c r="CS326" s="18"/>
      <c r="CT326" s="18"/>
      <c r="CU326" s="18"/>
      <c r="CV326" s="18"/>
      <c r="CW326" s="18"/>
      <c r="CX326" s="18"/>
      <c r="CY326" s="37"/>
      <c r="CZ326" s="38"/>
      <c r="DA326" s="18"/>
      <c r="DB326" s="37"/>
      <c r="DC326" s="38"/>
      <c r="DD326" s="18"/>
      <c r="DE326" s="37"/>
      <c r="DF326" s="38"/>
      <c r="DG326" s="18"/>
      <c r="DH326" s="37"/>
      <c r="DI326" s="38"/>
      <c r="DJ326" s="18"/>
      <c r="DK326" s="37"/>
      <c r="DL326" s="38"/>
      <c r="DM326" s="18"/>
      <c r="DN326" s="18"/>
      <c r="DO326" s="18"/>
      <c r="DP326" s="18"/>
      <c r="DQ326" s="18"/>
      <c r="DR326" s="18"/>
      <c r="DS326" s="18"/>
      <c r="DT326" s="18"/>
      <c r="DU326" s="18"/>
      <c r="DV326" s="18"/>
      <c r="DW326" s="18"/>
      <c r="DX326" s="18"/>
      <c r="DY326" s="18"/>
      <c r="DZ326" s="18"/>
    </row>
    <row r="327" spans="1:130" x14ac:dyDescent="0.3">
      <c r="A327" s="18"/>
      <c r="B327" s="18"/>
      <c r="C327" s="18"/>
      <c r="D327" s="18"/>
      <c r="E327" s="18"/>
      <c r="F327" s="18"/>
      <c r="G327" s="18"/>
      <c r="H327" s="18"/>
      <c r="I327" s="18"/>
      <c r="J327" s="18"/>
      <c r="K327" s="18"/>
      <c r="L327" s="18"/>
      <c r="M327" s="18"/>
      <c r="N327" s="17"/>
      <c r="O327" s="17"/>
      <c r="P327" s="17"/>
      <c r="Q327" s="17"/>
      <c r="R327" s="17"/>
      <c r="S327" s="17"/>
      <c r="T327" s="17"/>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7"/>
      <c r="BT327" s="17"/>
      <c r="BU327" s="17"/>
      <c r="BV327" s="17"/>
      <c r="BW327" s="17"/>
      <c r="BX327" s="18"/>
      <c r="BY327" s="18"/>
      <c r="BZ327" s="18"/>
      <c r="CA327" s="18"/>
      <c r="CB327" s="17"/>
      <c r="CC327" s="17"/>
      <c r="CD327" s="17"/>
      <c r="CE327" s="18"/>
      <c r="CF327" s="18"/>
      <c r="CG327" s="18"/>
      <c r="CH327" s="18"/>
      <c r="CI327" s="18"/>
      <c r="CJ327" s="18"/>
      <c r="CK327" s="18"/>
      <c r="CL327" s="18"/>
      <c r="CM327" s="18"/>
      <c r="CN327" s="18"/>
      <c r="CO327" s="18"/>
      <c r="CP327" s="18"/>
      <c r="CQ327" s="18"/>
      <c r="CR327" s="18"/>
      <c r="CS327" s="18"/>
      <c r="CT327" s="18"/>
      <c r="CU327" s="18"/>
      <c r="CV327" s="18"/>
      <c r="CW327" s="18"/>
      <c r="CX327" s="18"/>
      <c r="CY327" s="37"/>
      <c r="CZ327" s="38"/>
      <c r="DA327" s="18"/>
      <c r="DB327" s="37"/>
      <c r="DC327" s="38"/>
      <c r="DD327" s="18"/>
      <c r="DE327" s="37"/>
      <c r="DF327" s="38"/>
      <c r="DG327" s="18"/>
      <c r="DH327" s="37"/>
      <c r="DI327" s="38"/>
      <c r="DJ327" s="18"/>
      <c r="DK327" s="37"/>
      <c r="DL327" s="38"/>
      <c r="DM327" s="18"/>
      <c r="DN327" s="18"/>
      <c r="DO327" s="18"/>
      <c r="DP327" s="18"/>
      <c r="DQ327" s="18"/>
      <c r="DR327" s="18"/>
      <c r="DS327" s="18"/>
      <c r="DT327" s="18"/>
      <c r="DU327" s="18"/>
      <c r="DV327" s="18"/>
      <c r="DW327" s="18"/>
      <c r="DX327" s="18"/>
      <c r="DY327" s="18"/>
      <c r="DZ327" s="18"/>
    </row>
    <row r="328" spans="1:130" x14ac:dyDescent="0.3">
      <c r="A328" s="18"/>
      <c r="B328" s="18"/>
      <c r="C328" s="18"/>
      <c r="D328" s="18"/>
      <c r="E328" s="18"/>
      <c r="F328" s="18"/>
      <c r="G328" s="18"/>
      <c r="H328" s="18"/>
      <c r="I328" s="18"/>
      <c r="J328" s="18"/>
      <c r="K328" s="18"/>
      <c r="L328" s="18"/>
      <c r="M328" s="18"/>
      <c r="N328" s="17"/>
      <c r="O328" s="17"/>
      <c r="P328" s="17"/>
      <c r="Q328" s="17"/>
      <c r="R328" s="17"/>
      <c r="S328" s="17"/>
      <c r="T328" s="17"/>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7"/>
      <c r="BT328" s="17"/>
      <c r="BU328" s="17"/>
      <c r="BV328" s="17"/>
      <c r="BW328" s="17"/>
      <c r="BX328" s="18"/>
      <c r="BY328" s="18"/>
      <c r="BZ328" s="18"/>
      <c r="CA328" s="18"/>
      <c r="CB328" s="17"/>
      <c r="CC328" s="17"/>
      <c r="CD328" s="17"/>
      <c r="CE328" s="18"/>
      <c r="CF328" s="18"/>
      <c r="CG328" s="18"/>
      <c r="CH328" s="18"/>
      <c r="CI328" s="18"/>
      <c r="CJ328" s="18"/>
      <c r="CK328" s="18"/>
      <c r="CL328" s="18"/>
      <c r="CM328" s="18"/>
      <c r="CN328" s="18"/>
      <c r="CO328" s="18"/>
      <c r="CP328" s="18"/>
      <c r="CQ328" s="18"/>
      <c r="CR328" s="18"/>
      <c r="CS328" s="18"/>
      <c r="CT328" s="18"/>
      <c r="CU328" s="18"/>
      <c r="CV328" s="18"/>
      <c r="CW328" s="18"/>
      <c r="CX328" s="18"/>
      <c r="CY328" s="37"/>
      <c r="CZ328" s="38"/>
      <c r="DA328" s="18"/>
      <c r="DB328" s="37"/>
      <c r="DC328" s="38"/>
      <c r="DD328" s="18"/>
      <c r="DE328" s="37"/>
      <c r="DF328" s="38"/>
      <c r="DG328" s="18"/>
      <c r="DH328" s="37"/>
      <c r="DI328" s="38"/>
      <c r="DJ328" s="18"/>
      <c r="DK328" s="37"/>
      <c r="DL328" s="38"/>
      <c r="DM328" s="18"/>
      <c r="DN328" s="18"/>
      <c r="DO328" s="18"/>
      <c r="DP328" s="18"/>
      <c r="DQ328" s="18"/>
      <c r="DR328" s="18"/>
      <c r="DS328" s="18"/>
      <c r="DT328" s="18"/>
      <c r="DU328" s="18"/>
      <c r="DV328" s="18"/>
      <c r="DW328" s="18"/>
      <c r="DX328" s="18"/>
      <c r="DY328" s="18"/>
      <c r="DZ328" s="18"/>
    </row>
    <row r="329" spans="1:130" x14ac:dyDescent="0.3">
      <c r="A329" s="18"/>
      <c r="B329" s="18"/>
      <c r="C329" s="18"/>
      <c r="D329" s="18"/>
      <c r="E329" s="18"/>
      <c r="F329" s="18"/>
      <c r="G329" s="18"/>
      <c r="H329" s="18"/>
      <c r="I329" s="18"/>
      <c r="J329" s="18"/>
      <c r="K329" s="18"/>
      <c r="L329" s="18"/>
      <c r="M329" s="18"/>
      <c r="N329" s="17"/>
      <c r="O329" s="17"/>
      <c r="P329" s="17"/>
      <c r="Q329" s="17"/>
      <c r="R329" s="17"/>
      <c r="S329" s="17"/>
      <c r="T329" s="17"/>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7"/>
      <c r="BT329" s="17"/>
      <c r="BU329" s="17"/>
      <c r="BV329" s="17"/>
      <c r="BW329" s="17"/>
      <c r="BX329" s="18"/>
      <c r="BY329" s="18"/>
      <c r="BZ329" s="18"/>
      <c r="CA329" s="18"/>
      <c r="CB329" s="17"/>
      <c r="CC329" s="17"/>
      <c r="CD329" s="17"/>
      <c r="CE329" s="18"/>
      <c r="CF329" s="18"/>
      <c r="CG329" s="18"/>
      <c r="CH329" s="18"/>
      <c r="CI329" s="18"/>
      <c r="CJ329" s="18"/>
      <c r="CK329" s="18"/>
      <c r="CL329" s="18"/>
      <c r="CM329" s="18"/>
      <c r="CN329" s="18"/>
      <c r="CO329" s="18"/>
      <c r="CP329" s="18"/>
      <c r="CQ329" s="18"/>
      <c r="CR329" s="18"/>
      <c r="CS329" s="18"/>
      <c r="CT329" s="18"/>
      <c r="CU329" s="18"/>
      <c r="CV329" s="18"/>
      <c r="CW329" s="18"/>
      <c r="CX329" s="18"/>
      <c r="CY329" s="37"/>
      <c r="CZ329" s="38"/>
      <c r="DA329" s="18"/>
      <c r="DB329" s="37"/>
      <c r="DC329" s="38"/>
      <c r="DD329" s="18"/>
      <c r="DE329" s="37"/>
      <c r="DF329" s="38"/>
      <c r="DG329" s="18"/>
      <c r="DH329" s="37"/>
      <c r="DI329" s="38"/>
      <c r="DJ329" s="18"/>
      <c r="DK329" s="37"/>
      <c r="DL329" s="38"/>
      <c r="DM329" s="18"/>
      <c r="DN329" s="18"/>
      <c r="DO329" s="18"/>
      <c r="DP329" s="18"/>
      <c r="DQ329" s="18"/>
      <c r="DR329" s="18"/>
      <c r="DS329" s="18"/>
      <c r="DT329" s="18"/>
      <c r="DU329" s="18"/>
      <c r="DV329" s="18"/>
      <c r="DW329" s="18"/>
      <c r="DX329" s="18"/>
      <c r="DY329" s="18"/>
      <c r="DZ329" s="18"/>
    </row>
    <row r="330" spans="1:130" x14ac:dyDescent="0.3">
      <c r="A330" s="18"/>
      <c r="B330" s="18"/>
      <c r="C330" s="18"/>
      <c r="D330" s="18"/>
      <c r="E330" s="18"/>
      <c r="F330" s="18"/>
      <c r="G330" s="18"/>
      <c r="H330" s="18"/>
      <c r="I330" s="18"/>
      <c r="J330" s="18"/>
      <c r="K330" s="18"/>
      <c r="L330" s="18"/>
      <c r="M330" s="18"/>
      <c r="N330" s="17"/>
      <c r="O330" s="17"/>
      <c r="P330" s="17"/>
      <c r="Q330" s="17"/>
      <c r="R330" s="17"/>
      <c r="S330" s="17"/>
      <c r="T330" s="17"/>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7"/>
      <c r="BT330" s="17"/>
      <c r="BU330" s="17"/>
      <c r="BV330" s="17"/>
      <c r="BW330" s="17"/>
      <c r="BX330" s="18"/>
      <c r="BY330" s="18"/>
      <c r="BZ330" s="18"/>
      <c r="CA330" s="18"/>
      <c r="CB330" s="17"/>
      <c r="CC330" s="17"/>
      <c r="CD330" s="17"/>
      <c r="CE330" s="18"/>
      <c r="CF330" s="18"/>
      <c r="CG330" s="18"/>
      <c r="CH330" s="18"/>
      <c r="CI330" s="18"/>
      <c r="CJ330" s="18"/>
      <c r="CK330" s="18"/>
      <c r="CL330" s="18"/>
      <c r="CM330" s="18"/>
      <c r="CN330" s="18"/>
      <c r="CO330" s="18"/>
      <c r="CP330" s="18"/>
      <c r="CQ330" s="18"/>
      <c r="CR330" s="18"/>
      <c r="CS330" s="18"/>
      <c r="CT330" s="18"/>
      <c r="CU330" s="18"/>
      <c r="CV330" s="18"/>
      <c r="CW330" s="18"/>
      <c r="CX330" s="18"/>
      <c r="CY330" s="37"/>
      <c r="CZ330" s="38"/>
      <c r="DA330" s="18"/>
      <c r="DB330" s="37"/>
      <c r="DC330" s="38"/>
      <c r="DD330" s="18"/>
      <c r="DE330" s="37"/>
      <c r="DF330" s="38"/>
      <c r="DG330" s="18"/>
      <c r="DH330" s="37"/>
      <c r="DI330" s="38"/>
      <c r="DJ330" s="18"/>
      <c r="DK330" s="37"/>
      <c r="DL330" s="38"/>
      <c r="DM330" s="18"/>
      <c r="DN330" s="18"/>
      <c r="DO330" s="18"/>
      <c r="DP330" s="18"/>
      <c r="DQ330" s="18"/>
      <c r="DR330" s="18"/>
      <c r="DS330" s="18"/>
      <c r="DT330" s="18"/>
      <c r="DU330" s="18"/>
      <c r="DV330" s="18"/>
      <c r="DW330" s="18"/>
      <c r="DX330" s="18"/>
      <c r="DY330" s="18"/>
      <c r="DZ330" s="18"/>
    </row>
    <row r="331" spans="1:130" x14ac:dyDescent="0.3">
      <c r="A331" s="18"/>
      <c r="B331" s="18"/>
      <c r="C331" s="18"/>
      <c r="D331" s="18"/>
      <c r="E331" s="18"/>
      <c r="F331" s="18"/>
      <c r="G331" s="18"/>
      <c r="H331" s="18"/>
      <c r="I331" s="18"/>
      <c r="J331" s="18"/>
      <c r="K331" s="18"/>
      <c r="L331" s="18"/>
      <c r="M331" s="18"/>
      <c r="N331" s="17"/>
      <c r="O331" s="17"/>
      <c r="P331" s="17"/>
      <c r="Q331" s="17"/>
      <c r="R331" s="17"/>
      <c r="S331" s="17"/>
      <c r="T331" s="17"/>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7"/>
      <c r="BT331" s="17"/>
      <c r="BU331" s="17"/>
      <c r="BV331" s="17"/>
      <c r="BW331" s="17"/>
      <c r="BX331" s="18"/>
      <c r="BY331" s="18"/>
      <c r="BZ331" s="18"/>
      <c r="CA331" s="18"/>
      <c r="CB331" s="17"/>
      <c r="CC331" s="17"/>
      <c r="CD331" s="17"/>
      <c r="CE331" s="18"/>
      <c r="CF331" s="18"/>
      <c r="CG331" s="18"/>
      <c r="CH331" s="18"/>
      <c r="CI331" s="18"/>
      <c r="CJ331" s="18"/>
      <c r="CK331" s="18"/>
      <c r="CL331" s="18"/>
      <c r="CM331" s="18"/>
      <c r="CN331" s="18"/>
      <c r="CO331" s="18"/>
      <c r="CP331" s="18"/>
      <c r="CQ331" s="18"/>
      <c r="CR331" s="18"/>
      <c r="CS331" s="18"/>
      <c r="CT331" s="18"/>
      <c r="CU331" s="18"/>
      <c r="CV331" s="18"/>
      <c r="CW331" s="18"/>
      <c r="CX331" s="18"/>
      <c r="CY331" s="37"/>
      <c r="CZ331" s="38"/>
      <c r="DA331" s="18"/>
      <c r="DB331" s="37"/>
      <c r="DC331" s="38"/>
      <c r="DD331" s="18"/>
      <c r="DE331" s="37"/>
      <c r="DF331" s="38"/>
      <c r="DG331" s="18"/>
      <c r="DH331" s="37"/>
      <c r="DI331" s="38"/>
      <c r="DJ331" s="18"/>
      <c r="DK331" s="37"/>
      <c r="DL331" s="38"/>
      <c r="DM331" s="18"/>
      <c r="DN331" s="18"/>
      <c r="DO331" s="18"/>
      <c r="DP331" s="18"/>
      <c r="DQ331" s="18"/>
      <c r="DR331" s="18"/>
      <c r="DS331" s="18"/>
      <c r="DT331" s="18"/>
      <c r="DU331" s="18"/>
      <c r="DV331" s="18"/>
      <c r="DW331" s="18"/>
      <c r="DX331" s="18"/>
      <c r="DY331" s="18"/>
      <c r="DZ331" s="18"/>
    </row>
    <row r="332" spans="1:130" x14ac:dyDescent="0.3">
      <c r="A332" s="18"/>
      <c r="B332" s="18"/>
      <c r="C332" s="18"/>
      <c r="D332" s="18"/>
      <c r="E332" s="18"/>
      <c r="F332" s="18"/>
      <c r="G332" s="18"/>
      <c r="H332" s="18"/>
      <c r="I332" s="18"/>
      <c r="J332" s="18"/>
      <c r="K332" s="18"/>
      <c r="L332" s="18"/>
      <c r="M332" s="18"/>
      <c r="N332" s="17"/>
      <c r="O332" s="17"/>
      <c r="P332" s="17"/>
      <c r="Q332" s="17"/>
      <c r="R332" s="17"/>
      <c r="S332" s="17"/>
      <c r="T332" s="17"/>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7"/>
      <c r="BT332" s="17"/>
      <c r="BU332" s="17"/>
      <c r="BV332" s="17"/>
      <c r="BW332" s="17"/>
      <c r="BX332" s="18"/>
      <c r="BY332" s="18"/>
      <c r="BZ332" s="18"/>
      <c r="CA332" s="18"/>
      <c r="CB332" s="17"/>
      <c r="CC332" s="17"/>
      <c r="CD332" s="17"/>
      <c r="CE332" s="18"/>
      <c r="CF332" s="18"/>
      <c r="CG332" s="18"/>
      <c r="CH332" s="18"/>
      <c r="CI332" s="18"/>
      <c r="CJ332" s="18"/>
      <c r="CK332" s="18"/>
      <c r="CL332" s="18"/>
      <c r="CM332" s="18"/>
      <c r="CN332" s="18"/>
      <c r="CO332" s="18"/>
      <c r="CP332" s="18"/>
      <c r="CQ332" s="18"/>
      <c r="CR332" s="18"/>
      <c r="CS332" s="18"/>
      <c r="CT332" s="18"/>
      <c r="CU332" s="18"/>
      <c r="CV332" s="18"/>
      <c r="CW332" s="18"/>
      <c r="CX332" s="18"/>
      <c r="CY332" s="37"/>
      <c r="CZ332" s="38"/>
      <c r="DA332" s="18"/>
      <c r="DB332" s="37"/>
      <c r="DC332" s="38"/>
      <c r="DD332" s="18"/>
      <c r="DE332" s="37"/>
      <c r="DF332" s="38"/>
      <c r="DG332" s="18"/>
      <c r="DH332" s="37"/>
      <c r="DI332" s="38"/>
      <c r="DJ332" s="18"/>
      <c r="DK332" s="37"/>
      <c r="DL332" s="38"/>
      <c r="DM332" s="18"/>
      <c r="DN332" s="18"/>
      <c r="DO332" s="18"/>
      <c r="DP332" s="18"/>
      <c r="DQ332" s="18"/>
      <c r="DR332" s="18"/>
      <c r="DS332" s="18"/>
      <c r="DT332" s="18"/>
      <c r="DU332" s="18"/>
      <c r="DV332" s="18"/>
      <c r="DW332" s="18"/>
      <c r="DX332" s="18"/>
      <c r="DY332" s="18"/>
      <c r="DZ332" s="18"/>
    </row>
    <row r="333" spans="1:130" x14ac:dyDescent="0.3">
      <c r="A333" s="18"/>
      <c r="B333" s="18"/>
      <c r="C333" s="18"/>
      <c r="D333" s="18"/>
      <c r="E333" s="18"/>
      <c r="F333" s="18"/>
      <c r="G333" s="18"/>
      <c r="H333" s="18"/>
      <c r="I333" s="18"/>
      <c r="J333" s="18"/>
      <c r="K333" s="18"/>
      <c r="L333" s="18"/>
      <c r="M333" s="18"/>
      <c r="N333" s="17"/>
      <c r="O333" s="17"/>
      <c r="P333" s="17"/>
      <c r="Q333" s="17"/>
      <c r="R333" s="17"/>
      <c r="S333" s="17"/>
      <c r="T333" s="17"/>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7"/>
      <c r="BT333" s="17"/>
      <c r="BU333" s="17"/>
      <c r="BV333" s="17"/>
      <c r="BW333" s="17"/>
      <c r="BX333" s="18"/>
      <c r="BY333" s="18"/>
      <c r="BZ333" s="18"/>
      <c r="CA333" s="18"/>
      <c r="CB333" s="17"/>
      <c r="CC333" s="17"/>
      <c r="CD333" s="17"/>
      <c r="CE333" s="18"/>
      <c r="CF333" s="18"/>
      <c r="CG333" s="18"/>
      <c r="CH333" s="18"/>
      <c r="CI333" s="18"/>
      <c r="CJ333" s="18"/>
      <c r="CK333" s="18"/>
      <c r="CL333" s="18"/>
      <c r="CM333" s="18"/>
      <c r="CN333" s="18"/>
      <c r="CO333" s="18"/>
      <c r="CP333" s="18"/>
      <c r="CQ333" s="18"/>
      <c r="CR333" s="18"/>
      <c r="CS333" s="18"/>
      <c r="CT333" s="18"/>
      <c r="CU333" s="18"/>
      <c r="CV333" s="18"/>
      <c r="CW333" s="18"/>
      <c r="CX333" s="18"/>
      <c r="CY333" s="37"/>
      <c r="CZ333" s="38"/>
      <c r="DA333" s="18"/>
      <c r="DB333" s="37"/>
      <c r="DC333" s="38"/>
      <c r="DD333" s="18"/>
      <c r="DE333" s="37"/>
      <c r="DF333" s="38"/>
      <c r="DG333" s="18"/>
      <c r="DH333" s="37"/>
      <c r="DI333" s="38"/>
      <c r="DJ333" s="18"/>
      <c r="DK333" s="37"/>
      <c r="DL333" s="38"/>
      <c r="DM333" s="18"/>
      <c r="DN333" s="18"/>
      <c r="DO333" s="18"/>
      <c r="DP333" s="18"/>
      <c r="DQ333" s="18"/>
      <c r="DR333" s="18"/>
      <c r="DS333" s="18"/>
      <c r="DT333" s="18"/>
      <c r="DU333" s="18"/>
      <c r="DV333" s="18"/>
      <c r="DW333" s="18"/>
      <c r="DX333" s="18"/>
      <c r="DY333" s="18"/>
      <c r="DZ333" s="18"/>
    </row>
    <row r="334" spans="1:130" x14ac:dyDescent="0.3">
      <c r="A334" s="18"/>
      <c r="B334" s="18"/>
      <c r="C334" s="18"/>
      <c r="D334" s="18"/>
      <c r="E334" s="18"/>
      <c r="F334" s="18"/>
      <c r="G334" s="18"/>
      <c r="H334" s="18"/>
      <c r="I334" s="18"/>
      <c r="J334" s="18"/>
      <c r="K334" s="18"/>
      <c r="L334" s="18"/>
      <c r="M334" s="18"/>
      <c r="N334" s="17"/>
      <c r="O334" s="17"/>
      <c r="P334" s="17"/>
      <c r="Q334" s="17"/>
      <c r="R334" s="17"/>
      <c r="S334" s="17"/>
      <c r="T334" s="17"/>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7"/>
      <c r="BT334" s="17"/>
      <c r="BU334" s="17"/>
      <c r="BV334" s="17"/>
      <c r="BW334" s="17"/>
      <c r="BX334" s="18"/>
      <c r="BY334" s="18"/>
      <c r="BZ334" s="18"/>
      <c r="CA334" s="18"/>
      <c r="CB334" s="17"/>
      <c r="CC334" s="17"/>
      <c r="CD334" s="17"/>
      <c r="CE334" s="18"/>
      <c r="CF334" s="18"/>
      <c r="CG334" s="18"/>
      <c r="CH334" s="18"/>
      <c r="CI334" s="18"/>
      <c r="CJ334" s="18"/>
      <c r="CK334" s="18"/>
      <c r="CL334" s="18"/>
      <c r="CM334" s="18"/>
      <c r="CN334" s="18"/>
      <c r="CO334" s="18"/>
      <c r="CP334" s="18"/>
      <c r="CQ334" s="18"/>
      <c r="CR334" s="18"/>
      <c r="CS334" s="18"/>
      <c r="CT334" s="18"/>
      <c r="CU334" s="18"/>
      <c r="CV334" s="18"/>
      <c r="CW334" s="18"/>
      <c r="CX334" s="18"/>
      <c r="CY334" s="37"/>
      <c r="CZ334" s="38"/>
      <c r="DA334" s="18"/>
      <c r="DB334" s="37"/>
      <c r="DC334" s="38"/>
      <c r="DD334" s="18"/>
      <c r="DE334" s="37"/>
      <c r="DF334" s="38"/>
      <c r="DG334" s="18"/>
      <c r="DH334" s="37"/>
      <c r="DI334" s="38"/>
      <c r="DJ334" s="18"/>
      <c r="DK334" s="37"/>
      <c r="DL334" s="38"/>
      <c r="DM334" s="18"/>
      <c r="DN334" s="18"/>
      <c r="DO334" s="18"/>
      <c r="DP334" s="18"/>
      <c r="DQ334" s="18"/>
      <c r="DR334" s="18"/>
      <c r="DS334" s="18"/>
      <c r="DT334" s="18"/>
      <c r="DU334" s="18"/>
      <c r="DV334" s="18"/>
      <c r="DW334" s="18"/>
      <c r="DX334" s="18"/>
      <c r="DY334" s="18"/>
      <c r="DZ334" s="18"/>
    </row>
    <row r="335" spans="1:130" x14ac:dyDescent="0.3">
      <c r="A335" s="18"/>
      <c r="B335" s="18"/>
      <c r="C335" s="18"/>
      <c r="D335" s="18"/>
      <c r="E335" s="18"/>
      <c r="F335" s="18"/>
      <c r="G335" s="18"/>
      <c r="H335" s="18"/>
      <c r="I335" s="18"/>
      <c r="J335" s="18"/>
      <c r="K335" s="18"/>
      <c r="L335" s="18"/>
      <c r="M335" s="18"/>
      <c r="N335" s="17"/>
      <c r="O335" s="17"/>
      <c r="P335" s="17"/>
      <c r="Q335" s="17"/>
      <c r="R335" s="17"/>
      <c r="S335" s="17"/>
      <c r="T335" s="17"/>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7"/>
      <c r="BT335" s="17"/>
      <c r="BU335" s="17"/>
      <c r="BV335" s="17"/>
      <c r="BW335" s="17"/>
      <c r="BX335" s="18"/>
      <c r="BY335" s="18"/>
      <c r="BZ335" s="18"/>
      <c r="CA335" s="18"/>
      <c r="CB335" s="17"/>
      <c r="CC335" s="17"/>
      <c r="CD335" s="17"/>
      <c r="CE335" s="18"/>
      <c r="CF335" s="18"/>
      <c r="CG335" s="18"/>
      <c r="CH335" s="18"/>
      <c r="CI335" s="18"/>
      <c r="CJ335" s="18"/>
      <c r="CK335" s="18"/>
      <c r="CL335" s="18"/>
      <c r="CM335" s="18"/>
      <c r="CN335" s="18"/>
      <c r="CO335" s="18"/>
      <c r="CP335" s="18"/>
      <c r="CQ335" s="18"/>
      <c r="CR335" s="18"/>
      <c r="CS335" s="18"/>
      <c r="CT335" s="18"/>
      <c r="CU335" s="18"/>
      <c r="CV335" s="18"/>
      <c r="CW335" s="18"/>
      <c r="CX335" s="18"/>
      <c r="CY335" s="37"/>
      <c r="CZ335" s="38"/>
      <c r="DA335" s="18"/>
      <c r="DB335" s="37"/>
      <c r="DC335" s="38"/>
      <c r="DD335" s="18"/>
      <c r="DE335" s="37"/>
      <c r="DF335" s="38"/>
      <c r="DG335" s="18"/>
      <c r="DH335" s="37"/>
      <c r="DI335" s="38"/>
      <c r="DJ335" s="18"/>
      <c r="DK335" s="37"/>
      <c r="DL335" s="38"/>
      <c r="DM335" s="18"/>
      <c r="DN335" s="18"/>
      <c r="DO335" s="18"/>
      <c r="DP335" s="18"/>
      <c r="DQ335" s="18"/>
      <c r="DR335" s="18"/>
      <c r="DS335" s="18"/>
      <c r="DT335" s="18"/>
      <c r="DU335" s="18"/>
      <c r="DV335" s="18"/>
      <c r="DW335" s="18"/>
      <c r="DX335" s="18"/>
      <c r="DY335" s="18"/>
      <c r="DZ335" s="18"/>
    </row>
    <row r="336" spans="1:130" x14ac:dyDescent="0.3">
      <c r="A336" s="18"/>
      <c r="B336" s="18"/>
      <c r="C336" s="18"/>
      <c r="D336" s="18"/>
      <c r="E336" s="18"/>
      <c r="F336" s="18"/>
      <c r="G336" s="18"/>
      <c r="H336" s="18"/>
      <c r="I336" s="18"/>
      <c r="J336" s="18"/>
      <c r="K336" s="18"/>
      <c r="L336" s="18"/>
      <c r="M336" s="18"/>
      <c r="N336" s="17"/>
      <c r="O336" s="17"/>
      <c r="P336" s="17"/>
      <c r="Q336" s="17"/>
      <c r="R336" s="17"/>
      <c r="S336" s="17"/>
      <c r="T336" s="17"/>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7"/>
      <c r="BT336" s="17"/>
      <c r="BU336" s="17"/>
      <c r="BV336" s="17"/>
      <c r="BW336" s="17"/>
      <c r="BX336" s="18"/>
      <c r="BY336" s="18"/>
      <c r="BZ336" s="18"/>
      <c r="CA336" s="18"/>
      <c r="CB336" s="17"/>
      <c r="CC336" s="17"/>
      <c r="CD336" s="17"/>
      <c r="CE336" s="18"/>
      <c r="CF336" s="18"/>
      <c r="CG336" s="18"/>
      <c r="CH336" s="18"/>
      <c r="CI336" s="18"/>
      <c r="CJ336" s="18"/>
      <c r="CK336" s="18"/>
      <c r="CL336" s="18"/>
      <c r="CM336" s="18"/>
      <c r="CN336" s="18"/>
      <c r="CO336" s="18"/>
      <c r="CP336" s="18"/>
      <c r="CQ336" s="18"/>
      <c r="CR336" s="18"/>
      <c r="CS336" s="18"/>
      <c r="CT336" s="18"/>
      <c r="CU336" s="18"/>
      <c r="CV336" s="18"/>
      <c r="CW336" s="18"/>
      <c r="CX336" s="18"/>
      <c r="CY336" s="37"/>
      <c r="CZ336" s="38"/>
      <c r="DA336" s="18"/>
      <c r="DB336" s="37"/>
      <c r="DC336" s="38"/>
      <c r="DD336" s="18"/>
      <c r="DE336" s="37"/>
      <c r="DF336" s="38"/>
      <c r="DG336" s="18"/>
      <c r="DH336" s="37"/>
      <c r="DI336" s="38"/>
      <c r="DJ336" s="18"/>
      <c r="DK336" s="37"/>
      <c r="DL336" s="38"/>
      <c r="DM336" s="18"/>
      <c r="DN336" s="18"/>
      <c r="DO336" s="18"/>
      <c r="DP336" s="18"/>
      <c r="DQ336" s="18"/>
      <c r="DR336" s="18"/>
      <c r="DS336" s="18"/>
      <c r="DT336" s="18"/>
      <c r="DU336" s="18"/>
      <c r="DV336" s="18"/>
      <c r="DW336" s="18"/>
      <c r="DX336" s="18"/>
      <c r="DY336" s="18"/>
      <c r="DZ336" s="18"/>
    </row>
    <row r="337" spans="1:130" x14ac:dyDescent="0.3">
      <c r="A337" s="18"/>
      <c r="B337" s="18"/>
      <c r="C337" s="18"/>
      <c r="D337" s="18"/>
      <c r="E337" s="18"/>
      <c r="F337" s="18"/>
      <c r="G337" s="18"/>
      <c r="H337" s="18"/>
      <c r="I337" s="18"/>
      <c r="J337" s="18"/>
      <c r="K337" s="18"/>
      <c r="L337" s="18"/>
      <c r="M337" s="18"/>
      <c r="N337" s="17"/>
      <c r="O337" s="17"/>
      <c r="P337" s="17"/>
      <c r="Q337" s="17"/>
      <c r="R337" s="17"/>
      <c r="S337" s="17"/>
      <c r="T337" s="17"/>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7"/>
      <c r="BT337" s="17"/>
      <c r="BU337" s="17"/>
      <c r="BV337" s="17"/>
      <c r="BW337" s="17"/>
      <c r="BX337" s="18"/>
      <c r="BY337" s="18"/>
      <c r="BZ337" s="18"/>
      <c r="CA337" s="18"/>
      <c r="CB337" s="17"/>
      <c r="CC337" s="17"/>
      <c r="CD337" s="17"/>
      <c r="CE337" s="18"/>
      <c r="CF337" s="18"/>
      <c r="CG337" s="18"/>
      <c r="CH337" s="18"/>
      <c r="CI337" s="18"/>
      <c r="CJ337" s="18"/>
      <c r="CK337" s="18"/>
      <c r="CL337" s="18"/>
      <c r="CM337" s="18"/>
      <c r="CN337" s="18"/>
      <c r="CO337" s="18"/>
      <c r="CP337" s="18"/>
      <c r="CQ337" s="18"/>
      <c r="CR337" s="18"/>
      <c r="CS337" s="18"/>
      <c r="CT337" s="18"/>
      <c r="CU337" s="18"/>
      <c r="CV337" s="18"/>
      <c r="CW337" s="18"/>
      <c r="CX337" s="18"/>
      <c r="CY337" s="37"/>
      <c r="CZ337" s="38"/>
      <c r="DA337" s="18"/>
      <c r="DB337" s="37"/>
      <c r="DC337" s="38"/>
      <c r="DD337" s="18"/>
      <c r="DE337" s="37"/>
      <c r="DF337" s="38"/>
      <c r="DG337" s="18"/>
      <c r="DH337" s="37"/>
      <c r="DI337" s="38"/>
      <c r="DJ337" s="18"/>
      <c r="DK337" s="37"/>
      <c r="DL337" s="38"/>
      <c r="DM337" s="18"/>
      <c r="DN337" s="18"/>
      <c r="DO337" s="18"/>
      <c r="DP337" s="18"/>
      <c r="DQ337" s="18"/>
      <c r="DR337" s="18"/>
      <c r="DS337" s="18"/>
      <c r="DT337" s="18"/>
      <c r="DU337" s="18"/>
      <c r="DV337" s="18"/>
      <c r="DW337" s="18"/>
      <c r="DX337" s="18"/>
      <c r="DY337" s="18"/>
      <c r="DZ337" s="18"/>
    </row>
    <row r="338" spans="1:130" x14ac:dyDescent="0.3">
      <c r="A338" s="18"/>
      <c r="B338" s="18"/>
      <c r="C338" s="18"/>
      <c r="D338" s="18"/>
      <c r="E338" s="18"/>
      <c r="F338" s="18"/>
      <c r="G338" s="18"/>
      <c r="H338" s="18"/>
      <c r="I338" s="18"/>
      <c r="J338" s="18"/>
      <c r="K338" s="18"/>
      <c r="L338" s="18"/>
      <c r="M338" s="18"/>
      <c r="N338" s="17"/>
      <c r="O338" s="17"/>
      <c r="P338" s="17"/>
      <c r="Q338" s="17"/>
      <c r="R338" s="17"/>
      <c r="S338" s="17"/>
      <c r="T338" s="17"/>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7"/>
      <c r="BT338" s="17"/>
      <c r="BU338" s="17"/>
      <c r="BV338" s="17"/>
      <c r="BW338" s="17"/>
      <c r="BX338" s="18"/>
      <c r="BY338" s="18"/>
      <c r="BZ338" s="18"/>
      <c r="CA338" s="18"/>
      <c r="CB338" s="17"/>
      <c r="CC338" s="17"/>
      <c r="CD338" s="17"/>
      <c r="CE338" s="18"/>
      <c r="CF338" s="18"/>
      <c r="CG338" s="18"/>
      <c r="CH338" s="18"/>
      <c r="CI338" s="18"/>
      <c r="CJ338" s="18"/>
      <c r="CK338" s="18"/>
      <c r="CL338" s="18"/>
      <c r="CM338" s="18"/>
      <c r="CN338" s="18"/>
      <c r="CO338" s="18"/>
      <c r="CP338" s="18"/>
      <c r="CQ338" s="18"/>
      <c r="CR338" s="18"/>
      <c r="CS338" s="18"/>
      <c r="CT338" s="18"/>
      <c r="CU338" s="18"/>
      <c r="CV338" s="18"/>
      <c r="CW338" s="18"/>
      <c r="CX338" s="18"/>
      <c r="CY338" s="37"/>
      <c r="CZ338" s="38"/>
      <c r="DA338" s="18"/>
      <c r="DB338" s="37"/>
      <c r="DC338" s="38"/>
      <c r="DD338" s="18"/>
      <c r="DE338" s="37"/>
      <c r="DF338" s="38"/>
      <c r="DG338" s="18"/>
      <c r="DH338" s="37"/>
      <c r="DI338" s="38"/>
      <c r="DJ338" s="18"/>
      <c r="DK338" s="37"/>
      <c r="DL338" s="38"/>
      <c r="DM338" s="18"/>
      <c r="DN338" s="18"/>
      <c r="DO338" s="18"/>
      <c r="DP338" s="18"/>
      <c r="DQ338" s="18"/>
      <c r="DR338" s="18"/>
      <c r="DS338" s="18"/>
      <c r="DT338" s="18"/>
      <c r="DU338" s="18"/>
      <c r="DV338" s="18"/>
      <c r="DW338" s="18"/>
      <c r="DX338" s="18"/>
      <c r="DY338" s="18"/>
      <c r="DZ338" s="18"/>
    </row>
    <row r="339" spans="1:130" x14ac:dyDescent="0.3">
      <c r="A339" s="18"/>
      <c r="B339" s="18"/>
      <c r="C339" s="18"/>
      <c r="D339" s="18"/>
      <c r="E339" s="18"/>
      <c r="F339" s="18"/>
      <c r="G339" s="18"/>
      <c r="H339" s="18"/>
      <c r="I339" s="18"/>
      <c r="J339" s="18"/>
      <c r="K339" s="18"/>
      <c r="L339" s="18"/>
      <c r="M339" s="18"/>
      <c r="N339" s="17"/>
      <c r="O339" s="17"/>
      <c r="P339" s="17"/>
      <c r="Q339" s="17"/>
      <c r="R339" s="17"/>
      <c r="S339" s="17"/>
      <c r="T339" s="17"/>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7"/>
      <c r="BT339" s="17"/>
      <c r="BU339" s="17"/>
      <c r="BV339" s="17"/>
      <c r="BW339" s="17"/>
      <c r="BX339" s="18"/>
      <c r="BY339" s="18"/>
      <c r="BZ339" s="18"/>
      <c r="CA339" s="18"/>
      <c r="CB339" s="17"/>
      <c r="CC339" s="17"/>
      <c r="CD339" s="17"/>
      <c r="CE339" s="18"/>
      <c r="CF339" s="18"/>
      <c r="CG339" s="18"/>
      <c r="CH339" s="18"/>
      <c r="CI339" s="18"/>
      <c r="CJ339" s="18"/>
      <c r="CK339" s="18"/>
      <c r="CL339" s="18"/>
      <c r="CM339" s="18"/>
      <c r="CN339" s="18"/>
      <c r="CO339" s="18"/>
      <c r="CP339" s="18"/>
      <c r="CQ339" s="18"/>
      <c r="CR339" s="18"/>
      <c r="CS339" s="18"/>
      <c r="CT339" s="18"/>
      <c r="CU339" s="18"/>
      <c r="CV339" s="18"/>
      <c r="CW339" s="18"/>
      <c r="CX339" s="18"/>
      <c r="CY339" s="37"/>
      <c r="CZ339" s="38"/>
      <c r="DA339" s="18"/>
      <c r="DB339" s="37"/>
      <c r="DC339" s="38"/>
      <c r="DD339" s="18"/>
      <c r="DE339" s="37"/>
      <c r="DF339" s="38"/>
      <c r="DG339" s="18"/>
      <c r="DH339" s="37"/>
      <c r="DI339" s="38"/>
      <c r="DJ339" s="18"/>
      <c r="DK339" s="37"/>
      <c r="DL339" s="38"/>
      <c r="DM339" s="18"/>
      <c r="DN339" s="18"/>
      <c r="DO339" s="18"/>
      <c r="DP339" s="18"/>
      <c r="DQ339" s="18"/>
      <c r="DR339" s="18"/>
      <c r="DS339" s="18"/>
      <c r="DT339" s="18"/>
      <c r="DU339" s="18"/>
      <c r="DV339" s="18"/>
      <c r="DW339" s="18"/>
      <c r="DX339" s="18"/>
      <c r="DY339" s="18"/>
      <c r="DZ339" s="18"/>
    </row>
    <row r="340" spans="1:130" x14ac:dyDescent="0.3">
      <c r="A340" s="18"/>
      <c r="B340" s="18"/>
      <c r="C340" s="18"/>
      <c r="D340" s="18"/>
      <c r="E340" s="18"/>
      <c r="F340" s="18"/>
      <c r="G340" s="18"/>
      <c r="H340" s="18"/>
      <c r="I340" s="18"/>
      <c r="J340" s="18"/>
      <c r="K340" s="18"/>
      <c r="L340" s="18"/>
      <c r="M340" s="18"/>
      <c r="N340" s="17"/>
      <c r="O340" s="17"/>
      <c r="P340" s="17"/>
      <c r="Q340" s="17"/>
      <c r="R340" s="17"/>
      <c r="S340" s="17"/>
      <c r="T340" s="17"/>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7"/>
      <c r="BT340" s="17"/>
      <c r="BU340" s="17"/>
      <c r="BV340" s="17"/>
      <c r="BW340" s="17"/>
      <c r="BX340" s="18"/>
      <c r="BY340" s="18"/>
      <c r="BZ340" s="18"/>
      <c r="CA340" s="18"/>
      <c r="CB340" s="17"/>
      <c r="CC340" s="17"/>
      <c r="CD340" s="17"/>
      <c r="CE340" s="18"/>
      <c r="CF340" s="18"/>
      <c r="CG340" s="18"/>
      <c r="CH340" s="18"/>
      <c r="CI340" s="18"/>
      <c r="CJ340" s="18"/>
      <c r="CK340" s="18"/>
      <c r="CL340" s="18"/>
      <c r="CM340" s="18"/>
      <c r="CN340" s="18"/>
      <c r="CO340" s="18"/>
      <c r="CP340" s="18"/>
      <c r="CQ340" s="18"/>
      <c r="CR340" s="18"/>
      <c r="CS340" s="18"/>
      <c r="CT340" s="18"/>
      <c r="CU340" s="18"/>
      <c r="CV340" s="18"/>
      <c r="CW340" s="18"/>
      <c r="CX340" s="18"/>
      <c r="CY340" s="37"/>
      <c r="CZ340" s="38"/>
      <c r="DA340" s="18"/>
      <c r="DB340" s="37"/>
      <c r="DC340" s="38"/>
      <c r="DD340" s="18"/>
      <c r="DE340" s="37"/>
      <c r="DF340" s="38"/>
      <c r="DG340" s="18"/>
      <c r="DH340" s="37"/>
      <c r="DI340" s="38"/>
      <c r="DJ340" s="18"/>
      <c r="DK340" s="37"/>
      <c r="DL340" s="38"/>
      <c r="DM340" s="18"/>
      <c r="DN340" s="18"/>
      <c r="DO340" s="18"/>
      <c r="DP340" s="18"/>
      <c r="DQ340" s="18"/>
      <c r="DR340" s="18"/>
      <c r="DS340" s="18"/>
      <c r="DT340" s="18"/>
      <c r="DU340" s="18"/>
      <c r="DV340" s="18"/>
      <c r="DW340" s="18"/>
      <c r="DX340" s="18"/>
      <c r="DY340" s="18"/>
      <c r="DZ340" s="18"/>
    </row>
    <row r="341" spans="1:130" x14ac:dyDescent="0.3">
      <c r="A341" s="18"/>
      <c r="B341" s="18"/>
      <c r="C341" s="18"/>
      <c r="D341" s="18"/>
      <c r="E341" s="18"/>
      <c r="F341" s="18"/>
      <c r="G341" s="18"/>
      <c r="H341" s="18"/>
      <c r="I341" s="18"/>
      <c r="J341" s="18"/>
      <c r="K341" s="18"/>
      <c r="L341" s="18"/>
      <c r="M341" s="18"/>
      <c r="N341" s="17"/>
      <c r="O341" s="17"/>
      <c r="P341" s="17"/>
      <c r="Q341" s="17"/>
      <c r="R341" s="17"/>
      <c r="S341" s="17"/>
      <c r="T341" s="17"/>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7"/>
      <c r="BT341" s="17"/>
      <c r="BU341" s="17"/>
      <c r="BV341" s="17"/>
      <c r="BW341" s="17"/>
      <c r="BX341" s="18"/>
      <c r="BY341" s="18"/>
      <c r="BZ341" s="18"/>
      <c r="CA341" s="18"/>
      <c r="CB341" s="17"/>
      <c r="CC341" s="17"/>
      <c r="CD341" s="17"/>
      <c r="CE341" s="18"/>
      <c r="CF341" s="18"/>
      <c r="CG341" s="18"/>
      <c r="CH341" s="18"/>
      <c r="CI341" s="18"/>
      <c r="CJ341" s="18"/>
      <c r="CK341" s="18"/>
      <c r="CL341" s="18"/>
      <c r="CM341" s="18"/>
      <c r="CN341" s="18"/>
      <c r="CO341" s="18"/>
      <c r="CP341" s="18"/>
      <c r="CQ341" s="18"/>
      <c r="CR341" s="18"/>
      <c r="CS341" s="18"/>
      <c r="CT341" s="18"/>
      <c r="CU341" s="18"/>
      <c r="CV341" s="18"/>
      <c r="CW341" s="18"/>
      <c r="CX341" s="18"/>
      <c r="CY341" s="37"/>
      <c r="CZ341" s="38"/>
      <c r="DA341" s="18"/>
      <c r="DB341" s="37"/>
      <c r="DC341" s="38"/>
      <c r="DD341" s="18"/>
      <c r="DE341" s="37"/>
      <c r="DF341" s="38"/>
      <c r="DG341" s="18"/>
      <c r="DH341" s="37"/>
      <c r="DI341" s="38"/>
      <c r="DJ341" s="18"/>
      <c r="DK341" s="37"/>
      <c r="DL341" s="38"/>
      <c r="DM341" s="18"/>
      <c r="DN341" s="18"/>
      <c r="DO341" s="18"/>
      <c r="DP341" s="18"/>
      <c r="DQ341" s="18"/>
      <c r="DR341" s="18"/>
      <c r="DS341" s="18"/>
      <c r="DT341" s="18"/>
      <c r="DU341" s="18"/>
      <c r="DV341" s="18"/>
      <c r="DW341" s="18"/>
      <c r="DX341" s="18"/>
      <c r="DY341" s="18"/>
      <c r="DZ341" s="18"/>
    </row>
    <row r="342" spans="1:130" x14ac:dyDescent="0.3">
      <c r="A342" s="18"/>
      <c r="B342" s="18"/>
      <c r="C342" s="18"/>
      <c r="D342" s="18"/>
      <c r="E342" s="18"/>
      <c r="F342" s="18"/>
      <c r="G342" s="18"/>
      <c r="H342" s="18"/>
      <c r="I342" s="18"/>
      <c r="J342" s="18"/>
      <c r="K342" s="18"/>
      <c r="L342" s="18"/>
      <c r="M342" s="18"/>
      <c r="N342" s="17"/>
      <c r="O342" s="17"/>
      <c r="P342" s="17"/>
      <c r="Q342" s="17"/>
      <c r="R342" s="17"/>
      <c r="S342" s="17"/>
      <c r="T342" s="17"/>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7"/>
      <c r="BT342" s="17"/>
      <c r="BU342" s="17"/>
      <c r="BV342" s="17"/>
      <c r="BW342" s="17"/>
      <c r="BX342" s="18"/>
      <c r="BY342" s="18"/>
      <c r="BZ342" s="18"/>
      <c r="CA342" s="18"/>
      <c r="CB342" s="17"/>
      <c r="CC342" s="17"/>
      <c r="CD342" s="17"/>
      <c r="CE342" s="18"/>
      <c r="CF342" s="18"/>
      <c r="CG342" s="18"/>
      <c r="CH342" s="18"/>
      <c r="CI342" s="18"/>
      <c r="CJ342" s="18"/>
      <c r="CK342" s="18"/>
      <c r="CL342" s="18"/>
      <c r="CM342" s="18"/>
      <c r="CN342" s="18"/>
      <c r="CO342" s="18"/>
      <c r="CP342" s="18"/>
      <c r="CQ342" s="18"/>
      <c r="CR342" s="18"/>
      <c r="CS342" s="18"/>
      <c r="CT342" s="18"/>
      <c r="CU342" s="18"/>
      <c r="CV342" s="18"/>
      <c r="CW342" s="18"/>
      <c r="CX342" s="18"/>
      <c r="CY342" s="37"/>
      <c r="CZ342" s="38"/>
      <c r="DA342" s="18"/>
      <c r="DB342" s="37"/>
      <c r="DC342" s="38"/>
      <c r="DD342" s="18"/>
      <c r="DE342" s="37"/>
      <c r="DF342" s="38"/>
      <c r="DG342" s="18"/>
      <c r="DH342" s="37"/>
      <c r="DI342" s="38"/>
      <c r="DJ342" s="18"/>
      <c r="DK342" s="37"/>
      <c r="DL342" s="38"/>
      <c r="DM342" s="18"/>
      <c r="DN342" s="18"/>
      <c r="DO342" s="18"/>
      <c r="DP342" s="18"/>
      <c r="DQ342" s="18"/>
      <c r="DR342" s="18"/>
      <c r="DS342" s="18"/>
      <c r="DT342" s="18"/>
      <c r="DU342" s="18"/>
      <c r="DV342" s="18"/>
      <c r="DW342" s="18"/>
      <c r="DX342" s="18"/>
      <c r="DY342" s="18"/>
      <c r="DZ342" s="18"/>
    </row>
    <row r="343" spans="1:130" x14ac:dyDescent="0.3">
      <c r="A343" s="18"/>
      <c r="B343" s="18"/>
      <c r="C343" s="18"/>
      <c r="D343" s="18"/>
      <c r="E343" s="18"/>
      <c r="F343" s="18"/>
      <c r="G343" s="18"/>
      <c r="H343" s="18"/>
      <c r="I343" s="18"/>
      <c r="J343" s="18"/>
      <c r="K343" s="18"/>
      <c r="L343" s="18"/>
      <c r="M343" s="18"/>
      <c r="N343" s="17"/>
      <c r="O343" s="17"/>
      <c r="P343" s="17"/>
      <c r="Q343" s="17"/>
      <c r="R343" s="17"/>
      <c r="S343" s="17"/>
      <c r="T343" s="17"/>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7"/>
      <c r="BT343" s="17"/>
      <c r="BU343" s="17"/>
      <c r="BV343" s="17"/>
      <c r="BW343" s="17"/>
      <c r="BX343" s="18"/>
      <c r="BY343" s="18"/>
      <c r="BZ343" s="18"/>
      <c r="CA343" s="18"/>
      <c r="CB343" s="17"/>
      <c r="CC343" s="17"/>
      <c r="CD343" s="17"/>
      <c r="CE343" s="18"/>
      <c r="CF343" s="18"/>
      <c r="CG343" s="18"/>
      <c r="CH343" s="18"/>
      <c r="CI343" s="18"/>
      <c r="CJ343" s="18"/>
      <c r="CK343" s="18"/>
      <c r="CL343" s="18"/>
      <c r="CM343" s="18"/>
      <c r="CN343" s="18"/>
      <c r="CO343" s="18"/>
      <c r="CP343" s="18"/>
      <c r="CQ343" s="18"/>
      <c r="CR343" s="18"/>
      <c r="CS343" s="18"/>
      <c r="CT343" s="18"/>
      <c r="CU343" s="18"/>
      <c r="CV343" s="18"/>
      <c r="CW343" s="18"/>
      <c r="CX343" s="18"/>
      <c r="CY343" s="37"/>
      <c r="CZ343" s="38"/>
      <c r="DA343" s="18"/>
      <c r="DB343" s="37"/>
      <c r="DC343" s="38"/>
      <c r="DD343" s="18"/>
      <c r="DE343" s="37"/>
      <c r="DF343" s="38"/>
      <c r="DG343" s="18"/>
      <c r="DH343" s="37"/>
      <c r="DI343" s="38"/>
      <c r="DJ343" s="18"/>
      <c r="DK343" s="37"/>
      <c r="DL343" s="38"/>
      <c r="DM343" s="18"/>
      <c r="DN343" s="18"/>
      <c r="DO343" s="18"/>
      <c r="DP343" s="18"/>
      <c r="DQ343" s="18"/>
      <c r="DR343" s="18"/>
      <c r="DS343" s="18"/>
      <c r="DT343" s="18"/>
      <c r="DU343" s="18"/>
      <c r="DV343" s="18"/>
      <c r="DW343" s="18"/>
      <c r="DX343" s="18"/>
      <c r="DY343" s="18"/>
      <c r="DZ343" s="18"/>
    </row>
    <row r="344" spans="1:130" x14ac:dyDescent="0.3">
      <c r="A344" s="18"/>
      <c r="B344" s="18"/>
      <c r="C344" s="18"/>
      <c r="D344" s="18"/>
      <c r="E344" s="18"/>
      <c r="F344" s="18"/>
      <c r="G344" s="18"/>
      <c r="H344" s="18"/>
      <c r="I344" s="18"/>
      <c r="J344" s="18"/>
      <c r="K344" s="18"/>
      <c r="L344" s="18"/>
      <c r="M344" s="18"/>
      <c r="N344" s="17"/>
      <c r="O344" s="17"/>
      <c r="P344" s="17"/>
      <c r="Q344" s="17"/>
      <c r="R344" s="17"/>
      <c r="S344" s="17"/>
      <c r="T344" s="17"/>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7"/>
      <c r="BT344" s="17"/>
      <c r="BU344" s="17"/>
      <c r="BV344" s="17"/>
      <c r="BW344" s="17"/>
      <c r="BX344" s="18"/>
      <c r="BY344" s="18"/>
      <c r="BZ344" s="18"/>
      <c r="CA344" s="18"/>
      <c r="CB344" s="17"/>
      <c r="CC344" s="17"/>
      <c r="CD344" s="17"/>
      <c r="CE344" s="18"/>
      <c r="CF344" s="18"/>
      <c r="CG344" s="18"/>
      <c r="CH344" s="18"/>
      <c r="CI344" s="18"/>
      <c r="CJ344" s="18"/>
      <c r="CK344" s="18"/>
      <c r="CL344" s="18"/>
      <c r="CM344" s="18"/>
      <c r="CN344" s="18"/>
      <c r="CO344" s="18"/>
      <c r="CP344" s="18"/>
      <c r="CQ344" s="18"/>
      <c r="CR344" s="18"/>
      <c r="CS344" s="18"/>
      <c r="CT344" s="18"/>
      <c r="CU344" s="18"/>
      <c r="CV344" s="18"/>
      <c r="CW344" s="18"/>
      <c r="CX344" s="18"/>
      <c r="CY344" s="37"/>
      <c r="CZ344" s="38"/>
      <c r="DA344" s="18"/>
      <c r="DB344" s="37"/>
      <c r="DC344" s="38"/>
      <c r="DD344" s="18"/>
      <c r="DE344" s="37"/>
      <c r="DF344" s="38"/>
      <c r="DG344" s="18"/>
      <c r="DH344" s="37"/>
      <c r="DI344" s="38"/>
      <c r="DJ344" s="18"/>
      <c r="DK344" s="37"/>
      <c r="DL344" s="38"/>
      <c r="DM344" s="18"/>
      <c r="DN344" s="18"/>
      <c r="DO344" s="18"/>
      <c r="DP344" s="18"/>
      <c r="DQ344" s="18"/>
      <c r="DR344" s="18"/>
      <c r="DS344" s="18"/>
      <c r="DT344" s="18"/>
      <c r="DU344" s="18"/>
      <c r="DV344" s="18"/>
      <c r="DW344" s="18"/>
      <c r="DX344" s="18"/>
      <c r="DY344" s="18"/>
      <c r="DZ344" s="18"/>
    </row>
    <row r="345" spans="1:130" x14ac:dyDescent="0.3">
      <c r="A345" s="18"/>
      <c r="B345" s="18"/>
      <c r="C345" s="18"/>
      <c r="D345" s="18"/>
      <c r="E345" s="18"/>
      <c r="F345" s="18"/>
      <c r="G345" s="18"/>
      <c r="H345" s="18"/>
      <c r="I345" s="18"/>
      <c r="J345" s="18"/>
      <c r="K345" s="18"/>
      <c r="L345" s="18"/>
      <c r="M345" s="18"/>
      <c r="N345" s="17"/>
      <c r="O345" s="17"/>
      <c r="P345" s="17"/>
      <c r="Q345" s="17"/>
      <c r="R345" s="17"/>
      <c r="S345" s="17"/>
      <c r="T345" s="17"/>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7"/>
      <c r="BT345" s="17"/>
      <c r="BU345" s="17"/>
      <c r="BV345" s="17"/>
      <c r="BW345" s="17"/>
      <c r="BX345" s="18"/>
      <c r="BY345" s="18"/>
      <c r="BZ345" s="18"/>
      <c r="CA345" s="18"/>
      <c r="CB345" s="17"/>
      <c r="CC345" s="17"/>
      <c r="CD345" s="17"/>
      <c r="CE345" s="18"/>
      <c r="CF345" s="18"/>
      <c r="CG345" s="18"/>
      <c r="CH345" s="18"/>
      <c r="CI345" s="18"/>
      <c r="CJ345" s="18"/>
      <c r="CK345" s="18"/>
      <c r="CL345" s="18"/>
      <c r="CM345" s="18"/>
      <c r="CN345" s="18"/>
      <c r="CO345" s="18"/>
      <c r="CP345" s="18"/>
      <c r="CQ345" s="18"/>
      <c r="CR345" s="18"/>
      <c r="CS345" s="18"/>
      <c r="CT345" s="18"/>
      <c r="CU345" s="18"/>
      <c r="CV345" s="18"/>
      <c r="CW345" s="18"/>
      <c r="CX345" s="18"/>
      <c r="CY345" s="37"/>
      <c r="CZ345" s="38"/>
      <c r="DA345" s="18"/>
      <c r="DB345" s="37"/>
      <c r="DC345" s="38"/>
      <c r="DD345" s="18"/>
      <c r="DE345" s="37"/>
      <c r="DF345" s="38"/>
      <c r="DG345" s="18"/>
      <c r="DH345" s="37"/>
      <c r="DI345" s="38"/>
      <c r="DJ345" s="18"/>
      <c r="DK345" s="37"/>
      <c r="DL345" s="38"/>
      <c r="DM345" s="18"/>
      <c r="DN345" s="18"/>
      <c r="DO345" s="18"/>
      <c r="DP345" s="18"/>
      <c r="DQ345" s="18"/>
      <c r="DR345" s="18"/>
      <c r="DS345" s="18"/>
      <c r="DT345" s="18"/>
      <c r="DU345" s="18"/>
      <c r="DV345" s="18"/>
      <c r="DW345" s="18"/>
      <c r="DX345" s="18"/>
      <c r="DY345" s="18"/>
      <c r="DZ345" s="18"/>
    </row>
    <row r="346" spans="1:130" x14ac:dyDescent="0.3">
      <c r="A346" s="18"/>
      <c r="B346" s="18"/>
      <c r="C346" s="18"/>
      <c r="D346" s="18"/>
      <c r="E346" s="18"/>
      <c r="F346" s="18"/>
      <c r="G346" s="18"/>
      <c r="H346" s="18"/>
      <c r="I346" s="18"/>
      <c r="J346" s="18"/>
      <c r="K346" s="18"/>
      <c r="L346" s="18"/>
      <c r="M346" s="18"/>
      <c r="N346" s="17"/>
      <c r="O346" s="17"/>
      <c r="P346" s="17"/>
      <c r="Q346" s="17"/>
      <c r="R346" s="17"/>
      <c r="S346" s="17"/>
      <c r="T346" s="17"/>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7"/>
      <c r="BT346" s="17"/>
      <c r="BU346" s="17"/>
      <c r="BV346" s="17"/>
      <c r="BW346" s="17"/>
      <c r="BX346" s="18"/>
      <c r="BY346" s="18"/>
      <c r="BZ346" s="18"/>
      <c r="CA346" s="18"/>
      <c r="CB346" s="17"/>
      <c r="CC346" s="17"/>
      <c r="CD346" s="17"/>
      <c r="CE346" s="18"/>
      <c r="CF346" s="18"/>
      <c r="CG346" s="18"/>
      <c r="CH346" s="18"/>
      <c r="CI346" s="18"/>
      <c r="CJ346" s="18"/>
      <c r="CK346" s="18"/>
      <c r="CL346" s="18"/>
      <c r="CM346" s="18"/>
      <c r="CN346" s="18"/>
      <c r="CO346" s="18"/>
      <c r="CP346" s="18"/>
      <c r="CQ346" s="18"/>
      <c r="CR346" s="18"/>
      <c r="CS346" s="18"/>
      <c r="CT346" s="18"/>
      <c r="CU346" s="18"/>
      <c r="CV346" s="18"/>
      <c r="CW346" s="18"/>
      <c r="CX346" s="18"/>
      <c r="CY346" s="37"/>
      <c r="CZ346" s="38"/>
      <c r="DA346" s="18"/>
      <c r="DB346" s="37"/>
      <c r="DC346" s="38"/>
      <c r="DD346" s="18"/>
      <c r="DE346" s="37"/>
      <c r="DF346" s="38"/>
      <c r="DG346" s="18"/>
      <c r="DH346" s="37"/>
      <c r="DI346" s="38"/>
      <c r="DJ346" s="18"/>
      <c r="DK346" s="37"/>
      <c r="DL346" s="38"/>
      <c r="DM346" s="18"/>
      <c r="DN346" s="18"/>
      <c r="DO346" s="18"/>
      <c r="DP346" s="18"/>
      <c r="DQ346" s="18"/>
      <c r="DR346" s="18"/>
      <c r="DS346" s="18"/>
      <c r="DT346" s="18"/>
      <c r="DU346" s="18"/>
      <c r="DV346" s="18"/>
      <c r="DW346" s="18"/>
      <c r="DX346" s="18"/>
      <c r="DY346" s="18"/>
      <c r="DZ346" s="18"/>
    </row>
    <row r="347" spans="1:130" x14ac:dyDescent="0.3">
      <c r="A347" s="18"/>
      <c r="B347" s="18"/>
      <c r="C347" s="18"/>
      <c r="D347" s="18"/>
      <c r="E347" s="18"/>
      <c r="F347" s="18"/>
      <c r="G347" s="18"/>
      <c r="H347" s="18"/>
      <c r="I347" s="18"/>
      <c r="J347" s="18"/>
      <c r="K347" s="18"/>
      <c r="L347" s="18"/>
      <c r="M347" s="18"/>
      <c r="N347" s="17"/>
      <c r="O347" s="17"/>
      <c r="P347" s="17"/>
      <c r="Q347" s="17"/>
      <c r="R347" s="17"/>
      <c r="S347" s="17"/>
      <c r="T347" s="17"/>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7"/>
      <c r="BT347" s="17"/>
      <c r="BU347" s="17"/>
      <c r="BV347" s="17"/>
      <c r="BW347" s="17"/>
      <c r="BX347" s="18"/>
      <c r="BY347" s="18"/>
      <c r="BZ347" s="18"/>
      <c r="CA347" s="18"/>
      <c r="CB347" s="17"/>
      <c r="CC347" s="17"/>
      <c r="CD347" s="17"/>
      <c r="CE347" s="18"/>
      <c r="CF347" s="18"/>
      <c r="CG347" s="18"/>
      <c r="CH347" s="18"/>
      <c r="CI347" s="18"/>
      <c r="CJ347" s="18"/>
      <c r="CK347" s="18"/>
      <c r="CL347" s="18"/>
      <c r="CM347" s="18"/>
      <c r="CN347" s="18"/>
      <c r="CO347" s="18"/>
      <c r="CP347" s="18"/>
      <c r="CQ347" s="18"/>
      <c r="CR347" s="18"/>
      <c r="CS347" s="18"/>
      <c r="CT347" s="18"/>
      <c r="CU347" s="18"/>
      <c r="CV347" s="18"/>
      <c r="CW347" s="18"/>
      <c r="CX347" s="18"/>
      <c r="CY347" s="37"/>
      <c r="CZ347" s="38"/>
      <c r="DA347" s="18"/>
      <c r="DB347" s="37"/>
      <c r="DC347" s="38"/>
      <c r="DD347" s="18"/>
      <c r="DE347" s="37"/>
      <c r="DF347" s="38"/>
      <c r="DG347" s="18"/>
      <c r="DH347" s="37"/>
      <c r="DI347" s="38"/>
      <c r="DJ347" s="18"/>
      <c r="DK347" s="37"/>
      <c r="DL347" s="38"/>
      <c r="DM347" s="18"/>
      <c r="DN347" s="18"/>
      <c r="DO347" s="18"/>
      <c r="DP347" s="18"/>
      <c r="DQ347" s="18"/>
      <c r="DR347" s="18"/>
      <c r="DS347" s="18"/>
      <c r="DT347" s="18"/>
      <c r="DU347" s="18"/>
      <c r="DV347" s="18"/>
      <c r="DW347" s="18"/>
      <c r="DX347" s="18"/>
      <c r="DY347" s="18"/>
      <c r="DZ347" s="18"/>
    </row>
    <row r="348" spans="1:130" x14ac:dyDescent="0.3">
      <c r="A348" s="18"/>
      <c r="B348" s="18"/>
      <c r="C348" s="18"/>
      <c r="D348" s="18"/>
      <c r="E348" s="18"/>
      <c r="F348" s="18"/>
      <c r="G348" s="18"/>
      <c r="H348" s="18"/>
      <c r="I348" s="18"/>
      <c r="J348" s="18"/>
      <c r="K348" s="18"/>
      <c r="L348" s="18"/>
      <c r="M348" s="18"/>
      <c r="N348" s="17"/>
      <c r="O348" s="17"/>
      <c r="P348" s="17"/>
      <c r="Q348" s="17"/>
      <c r="R348" s="17"/>
      <c r="S348" s="17"/>
      <c r="T348" s="17"/>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7"/>
      <c r="BT348" s="17"/>
      <c r="BU348" s="17"/>
      <c r="BV348" s="17"/>
      <c r="BW348" s="17"/>
      <c r="BX348" s="18"/>
      <c r="BY348" s="18"/>
      <c r="BZ348" s="18"/>
      <c r="CA348" s="18"/>
      <c r="CB348" s="17"/>
      <c r="CC348" s="17"/>
      <c r="CD348" s="17"/>
      <c r="CE348" s="18"/>
      <c r="CF348" s="18"/>
      <c r="CG348" s="18"/>
      <c r="CH348" s="18"/>
      <c r="CI348" s="18"/>
      <c r="CJ348" s="18"/>
      <c r="CK348" s="18"/>
      <c r="CL348" s="18"/>
      <c r="CM348" s="18"/>
      <c r="CN348" s="18"/>
      <c r="CO348" s="18"/>
      <c r="CP348" s="18"/>
      <c r="CQ348" s="18"/>
      <c r="CR348" s="18"/>
      <c r="CS348" s="18"/>
      <c r="CT348" s="18"/>
      <c r="CU348" s="18"/>
      <c r="CV348" s="18"/>
      <c r="CW348" s="18"/>
      <c r="CX348" s="18"/>
      <c r="CY348" s="37"/>
      <c r="CZ348" s="38"/>
      <c r="DA348" s="18"/>
      <c r="DB348" s="37"/>
      <c r="DC348" s="38"/>
      <c r="DD348" s="18"/>
      <c r="DE348" s="37"/>
      <c r="DF348" s="38"/>
      <c r="DG348" s="18"/>
      <c r="DH348" s="37"/>
      <c r="DI348" s="38"/>
      <c r="DJ348" s="18"/>
      <c r="DK348" s="37"/>
      <c r="DL348" s="38"/>
      <c r="DM348" s="18"/>
      <c r="DN348" s="18"/>
      <c r="DO348" s="18"/>
      <c r="DP348" s="18"/>
      <c r="DQ348" s="18"/>
      <c r="DR348" s="18"/>
      <c r="DS348" s="18"/>
      <c r="DT348" s="18"/>
      <c r="DU348" s="18"/>
      <c r="DV348" s="18"/>
      <c r="DW348" s="18"/>
      <c r="DX348" s="18"/>
      <c r="DY348" s="18"/>
      <c r="DZ348" s="18"/>
    </row>
    <row r="349" spans="1:130" x14ac:dyDescent="0.3">
      <c r="A349" s="18"/>
      <c r="B349" s="18"/>
      <c r="C349" s="18"/>
      <c r="D349" s="18"/>
      <c r="E349" s="18"/>
      <c r="F349" s="18"/>
      <c r="G349" s="18"/>
      <c r="H349" s="18"/>
      <c r="I349" s="18"/>
      <c r="J349" s="18"/>
      <c r="K349" s="18"/>
      <c r="L349" s="18"/>
      <c r="M349" s="18"/>
      <c r="N349" s="17"/>
      <c r="O349" s="17"/>
      <c r="P349" s="17"/>
      <c r="Q349" s="17"/>
      <c r="R349" s="17"/>
      <c r="S349" s="17"/>
      <c r="T349" s="17"/>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7"/>
      <c r="BT349" s="17"/>
      <c r="BU349" s="17"/>
      <c r="BV349" s="17"/>
      <c r="BW349" s="17"/>
      <c r="BX349" s="18"/>
      <c r="BY349" s="18"/>
      <c r="BZ349" s="18"/>
      <c r="CA349" s="18"/>
      <c r="CB349" s="17"/>
      <c r="CC349" s="17"/>
      <c r="CD349" s="17"/>
      <c r="CE349" s="18"/>
      <c r="CF349" s="18"/>
      <c r="CG349" s="18"/>
      <c r="CH349" s="18"/>
      <c r="CI349" s="18"/>
      <c r="CJ349" s="18"/>
      <c r="CK349" s="18"/>
      <c r="CL349" s="18"/>
      <c r="CM349" s="18"/>
      <c r="CN349" s="18"/>
      <c r="CO349" s="18"/>
      <c r="CP349" s="18"/>
      <c r="CQ349" s="18"/>
      <c r="CR349" s="18"/>
      <c r="CS349" s="18"/>
      <c r="CT349" s="18"/>
      <c r="CU349" s="18"/>
      <c r="CV349" s="18"/>
      <c r="CW349" s="18"/>
      <c r="CX349" s="18"/>
      <c r="CY349" s="37"/>
      <c r="CZ349" s="38"/>
      <c r="DA349" s="18"/>
      <c r="DB349" s="37"/>
      <c r="DC349" s="38"/>
      <c r="DD349" s="18"/>
      <c r="DE349" s="37"/>
      <c r="DF349" s="38"/>
      <c r="DG349" s="18"/>
      <c r="DH349" s="37"/>
      <c r="DI349" s="38"/>
      <c r="DJ349" s="18"/>
      <c r="DK349" s="37"/>
      <c r="DL349" s="38"/>
      <c r="DM349" s="18"/>
      <c r="DN349" s="18"/>
      <c r="DO349" s="18"/>
      <c r="DP349" s="18"/>
      <c r="DQ349" s="18"/>
      <c r="DR349" s="18"/>
      <c r="DS349" s="18"/>
      <c r="DT349" s="18"/>
      <c r="DU349" s="18"/>
      <c r="DV349" s="18"/>
      <c r="DW349" s="18"/>
      <c r="DX349" s="18"/>
      <c r="DY349" s="18"/>
      <c r="DZ349" s="18"/>
    </row>
    <row r="350" spans="1:130" x14ac:dyDescent="0.3">
      <c r="A350" s="18"/>
      <c r="B350" s="18"/>
      <c r="C350" s="18"/>
      <c r="D350" s="18"/>
      <c r="E350" s="18"/>
      <c r="F350" s="18"/>
      <c r="G350" s="18"/>
      <c r="H350" s="18"/>
      <c r="I350" s="18"/>
      <c r="J350" s="18"/>
      <c r="K350" s="18"/>
      <c r="L350" s="18"/>
      <c r="M350" s="18"/>
      <c r="N350" s="17"/>
      <c r="O350" s="17"/>
      <c r="P350" s="17"/>
      <c r="Q350" s="17"/>
      <c r="R350" s="17"/>
      <c r="S350" s="17"/>
      <c r="T350" s="17"/>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7"/>
      <c r="BT350" s="17"/>
      <c r="BU350" s="17"/>
      <c r="BV350" s="17"/>
      <c r="BW350" s="17"/>
      <c r="BX350" s="18"/>
      <c r="BY350" s="18"/>
      <c r="BZ350" s="18"/>
      <c r="CA350" s="18"/>
      <c r="CB350" s="17"/>
      <c r="CC350" s="17"/>
      <c r="CD350" s="17"/>
      <c r="CE350" s="18"/>
      <c r="CF350" s="18"/>
      <c r="CG350" s="18"/>
      <c r="CH350" s="18"/>
      <c r="CI350" s="18"/>
      <c r="CJ350" s="18"/>
      <c r="CK350" s="18"/>
      <c r="CL350" s="18"/>
      <c r="CM350" s="18"/>
      <c r="CN350" s="18"/>
      <c r="CO350" s="18"/>
      <c r="CP350" s="18"/>
      <c r="CQ350" s="18"/>
      <c r="CR350" s="18"/>
      <c r="CS350" s="18"/>
      <c r="CT350" s="18"/>
      <c r="CU350" s="18"/>
      <c r="CV350" s="18"/>
      <c r="CW350" s="18"/>
      <c r="CX350" s="18"/>
      <c r="CY350" s="37"/>
      <c r="CZ350" s="38"/>
      <c r="DA350" s="18"/>
      <c r="DB350" s="37"/>
      <c r="DC350" s="38"/>
      <c r="DD350" s="18"/>
      <c r="DE350" s="37"/>
      <c r="DF350" s="38"/>
      <c r="DG350" s="18"/>
      <c r="DH350" s="37"/>
      <c r="DI350" s="38"/>
      <c r="DJ350" s="18"/>
      <c r="DK350" s="37"/>
      <c r="DL350" s="38"/>
      <c r="DM350" s="18"/>
      <c r="DN350" s="18"/>
      <c r="DO350" s="18"/>
      <c r="DP350" s="18"/>
      <c r="DQ350" s="18"/>
      <c r="DR350" s="18"/>
      <c r="DS350" s="18"/>
      <c r="DT350" s="18"/>
      <c r="DU350" s="18"/>
      <c r="DV350" s="18"/>
      <c r="DW350" s="18"/>
      <c r="DX350" s="18"/>
      <c r="DY350" s="18"/>
      <c r="DZ350" s="18"/>
    </row>
    <row r="351" spans="1:130" x14ac:dyDescent="0.3">
      <c r="A351" s="18"/>
      <c r="B351" s="18"/>
      <c r="C351" s="18"/>
      <c r="D351" s="18"/>
      <c r="E351" s="18"/>
      <c r="F351" s="18"/>
      <c r="G351" s="18"/>
      <c r="H351" s="18"/>
      <c r="I351" s="18"/>
      <c r="J351" s="18"/>
      <c r="K351" s="18"/>
      <c r="L351" s="18"/>
      <c r="M351" s="18"/>
      <c r="N351" s="17"/>
      <c r="O351" s="17"/>
      <c r="P351" s="17"/>
      <c r="Q351" s="17"/>
      <c r="R351" s="17"/>
      <c r="S351" s="17"/>
      <c r="T351" s="17"/>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7"/>
      <c r="BT351" s="17"/>
      <c r="BU351" s="17"/>
      <c r="BV351" s="17"/>
      <c r="BW351" s="17"/>
      <c r="BX351" s="18"/>
      <c r="BY351" s="18"/>
      <c r="BZ351" s="18"/>
      <c r="CA351" s="18"/>
      <c r="CB351" s="17"/>
      <c r="CC351" s="17"/>
      <c r="CD351" s="17"/>
      <c r="CE351" s="18"/>
      <c r="CF351" s="18"/>
      <c r="CG351" s="18"/>
      <c r="CH351" s="18"/>
      <c r="CI351" s="18"/>
      <c r="CJ351" s="18"/>
      <c r="CK351" s="18"/>
      <c r="CL351" s="18"/>
      <c r="CM351" s="18"/>
      <c r="CN351" s="18"/>
      <c r="CO351" s="18"/>
      <c r="CP351" s="18"/>
      <c r="CQ351" s="18"/>
      <c r="CR351" s="18"/>
      <c r="CS351" s="18"/>
      <c r="CT351" s="18"/>
      <c r="CU351" s="18"/>
      <c r="CV351" s="18"/>
      <c r="CW351" s="18"/>
      <c r="CX351" s="18"/>
      <c r="CY351" s="37"/>
      <c r="CZ351" s="38"/>
      <c r="DA351" s="18"/>
      <c r="DB351" s="37"/>
      <c r="DC351" s="38"/>
      <c r="DD351" s="18"/>
      <c r="DE351" s="37"/>
      <c r="DF351" s="38"/>
      <c r="DG351" s="18"/>
      <c r="DH351" s="37"/>
      <c r="DI351" s="38"/>
      <c r="DJ351" s="18"/>
      <c r="DK351" s="37"/>
      <c r="DL351" s="38"/>
      <c r="DM351" s="18"/>
      <c r="DN351" s="18"/>
      <c r="DO351" s="18"/>
      <c r="DP351" s="18"/>
      <c r="DQ351" s="18"/>
      <c r="DR351" s="18"/>
      <c r="DS351" s="18"/>
      <c r="DT351" s="18"/>
      <c r="DU351" s="18"/>
      <c r="DV351" s="18"/>
      <c r="DW351" s="18"/>
      <c r="DX351" s="18"/>
      <c r="DY351" s="18"/>
      <c r="DZ351" s="18"/>
    </row>
    <row r="352" spans="1:130" x14ac:dyDescent="0.3">
      <c r="A352" s="18"/>
      <c r="B352" s="18"/>
      <c r="C352" s="18"/>
      <c r="D352" s="18"/>
      <c r="E352" s="18"/>
      <c r="F352" s="18"/>
      <c r="G352" s="18"/>
      <c r="H352" s="18"/>
      <c r="I352" s="18"/>
      <c r="J352" s="18"/>
      <c r="K352" s="18"/>
      <c r="L352" s="18"/>
      <c r="M352" s="18"/>
      <c r="N352" s="17"/>
      <c r="O352" s="17"/>
      <c r="P352" s="17"/>
      <c r="Q352" s="17"/>
      <c r="R352" s="17"/>
      <c r="S352" s="17"/>
      <c r="T352" s="17"/>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7"/>
      <c r="BT352" s="17"/>
      <c r="BU352" s="17"/>
      <c r="BV352" s="17"/>
      <c r="BW352" s="17"/>
      <c r="BX352" s="18"/>
      <c r="BY352" s="18"/>
      <c r="BZ352" s="18"/>
      <c r="CA352" s="18"/>
      <c r="CB352" s="17"/>
      <c r="CC352" s="17"/>
      <c r="CD352" s="17"/>
      <c r="CE352" s="18"/>
      <c r="CF352" s="18"/>
      <c r="CG352" s="18"/>
      <c r="CH352" s="18"/>
      <c r="CI352" s="18"/>
      <c r="CJ352" s="18"/>
      <c r="CK352" s="18"/>
      <c r="CL352" s="18"/>
      <c r="CM352" s="18"/>
      <c r="CN352" s="18"/>
      <c r="CO352" s="18"/>
      <c r="CP352" s="18"/>
      <c r="CQ352" s="18"/>
      <c r="CR352" s="18"/>
      <c r="CS352" s="18"/>
      <c r="CT352" s="18"/>
      <c r="CU352" s="18"/>
      <c r="CV352" s="18"/>
      <c r="CW352" s="18"/>
      <c r="CX352" s="18"/>
      <c r="CY352" s="37"/>
      <c r="CZ352" s="38"/>
      <c r="DA352" s="18"/>
      <c r="DB352" s="37"/>
      <c r="DC352" s="38"/>
      <c r="DD352" s="18"/>
      <c r="DE352" s="37"/>
      <c r="DF352" s="38"/>
      <c r="DG352" s="18"/>
      <c r="DH352" s="37"/>
      <c r="DI352" s="38"/>
      <c r="DJ352" s="18"/>
      <c r="DK352" s="37"/>
      <c r="DL352" s="38"/>
      <c r="DM352" s="18"/>
      <c r="DN352" s="18"/>
      <c r="DO352" s="18"/>
      <c r="DP352" s="18"/>
      <c r="DQ352" s="18"/>
      <c r="DR352" s="18"/>
      <c r="DS352" s="18"/>
      <c r="DT352" s="18"/>
      <c r="DU352" s="18"/>
      <c r="DV352" s="18"/>
      <c r="DW352" s="18"/>
      <c r="DX352" s="18"/>
      <c r="DY352" s="18"/>
      <c r="DZ352" s="18"/>
    </row>
    <row r="353" spans="1:130" x14ac:dyDescent="0.3">
      <c r="A353" s="18"/>
      <c r="B353" s="18"/>
      <c r="C353" s="18"/>
      <c r="D353" s="18"/>
      <c r="E353" s="18"/>
      <c r="F353" s="18"/>
      <c r="G353" s="18"/>
      <c r="H353" s="18"/>
      <c r="I353" s="18"/>
      <c r="J353" s="18"/>
      <c r="K353" s="18"/>
      <c r="L353" s="18"/>
      <c r="M353" s="18"/>
      <c r="N353" s="17"/>
      <c r="O353" s="17"/>
      <c r="P353" s="17"/>
      <c r="Q353" s="17"/>
      <c r="R353" s="17"/>
      <c r="S353" s="17"/>
      <c r="T353" s="17"/>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7"/>
      <c r="BT353" s="17"/>
      <c r="BU353" s="17"/>
      <c r="BV353" s="17"/>
      <c r="BW353" s="17"/>
      <c r="BX353" s="18"/>
      <c r="BY353" s="18"/>
      <c r="BZ353" s="18"/>
      <c r="CA353" s="18"/>
      <c r="CB353" s="17"/>
      <c r="CC353" s="17"/>
      <c r="CD353" s="17"/>
      <c r="CE353" s="18"/>
      <c r="CF353" s="18"/>
      <c r="CG353" s="18"/>
      <c r="CH353" s="18"/>
      <c r="CI353" s="18"/>
      <c r="CJ353" s="18"/>
      <c r="CK353" s="18"/>
      <c r="CL353" s="18"/>
      <c r="CM353" s="18"/>
      <c r="CN353" s="18"/>
      <c r="CO353" s="18"/>
      <c r="CP353" s="18"/>
      <c r="CQ353" s="18"/>
      <c r="CR353" s="18"/>
      <c r="CS353" s="18"/>
      <c r="CT353" s="18"/>
      <c r="CU353" s="18"/>
      <c r="CV353" s="18"/>
      <c r="CW353" s="18"/>
      <c r="CX353" s="18"/>
      <c r="CY353" s="37"/>
      <c r="CZ353" s="38"/>
      <c r="DA353" s="18"/>
      <c r="DB353" s="37"/>
      <c r="DC353" s="38"/>
      <c r="DD353" s="18"/>
      <c r="DE353" s="37"/>
      <c r="DF353" s="38"/>
      <c r="DG353" s="18"/>
      <c r="DH353" s="37"/>
      <c r="DI353" s="38"/>
      <c r="DJ353" s="18"/>
      <c r="DK353" s="37"/>
      <c r="DL353" s="38"/>
      <c r="DM353" s="18"/>
      <c r="DN353" s="18"/>
      <c r="DO353" s="18"/>
      <c r="DP353" s="18"/>
      <c r="DQ353" s="18"/>
      <c r="DR353" s="18"/>
      <c r="DS353" s="18"/>
      <c r="DT353" s="18"/>
      <c r="DU353" s="18"/>
      <c r="DV353" s="18"/>
      <c r="DW353" s="18"/>
      <c r="DX353" s="18"/>
      <c r="DY353" s="18"/>
      <c r="DZ353" s="18"/>
    </row>
    <row r="354" spans="1:130" x14ac:dyDescent="0.3">
      <c r="A354" s="18"/>
      <c r="B354" s="18"/>
      <c r="C354" s="18"/>
      <c r="D354" s="18"/>
      <c r="E354" s="18"/>
      <c r="F354" s="18"/>
      <c r="G354" s="18"/>
      <c r="H354" s="18"/>
      <c r="I354" s="18"/>
      <c r="J354" s="18"/>
      <c r="K354" s="18"/>
      <c r="L354" s="18"/>
      <c r="M354" s="18"/>
      <c r="N354" s="17"/>
      <c r="O354" s="17"/>
      <c r="P354" s="17"/>
      <c r="Q354" s="17"/>
      <c r="R354" s="17"/>
      <c r="S354" s="17"/>
      <c r="T354" s="17"/>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7"/>
      <c r="BT354" s="17"/>
      <c r="BU354" s="17"/>
      <c r="BV354" s="17"/>
      <c r="BW354" s="17"/>
      <c r="BX354" s="18"/>
      <c r="BY354" s="18"/>
      <c r="BZ354" s="18"/>
      <c r="CA354" s="18"/>
      <c r="CB354" s="17"/>
      <c r="CC354" s="17"/>
      <c r="CD354" s="17"/>
      <c r="CE354" s="18"/>
      <c r="CF354" s="18"/>
      <c r="CG354" s="18"/>
      <c r="CH354" s="18"/>
      <c r="CI354" s="18"/>
      <c r="CJ354" s="18"/>
      <c r="CK354" s="18"/>
      <c r="CL354" s="18"/>
      <c r="CM354" s="18"/>
      <c r="CN354" s="18"/>
      <c r="CO354" s="18"/>
      <c r="CP354" s="18"/>
      <c r="CQ354" s="18"/>
      <c r="CR354" s="18"/>
      <c r="CS354" s="18"/>
      <c r="CT354" s="18"/>
      <c r="CU354" s="18"/>
      <c r="CV354" s="18"/>
      <c r="CW354" s="18"/>
      <c r="CX354" s="18"/>
      <c r="CY354" s="37"/>
      <c r="CZ354" s="38"/>
      <c r="DA354" s="18"/>
      <c r="DB354" s="37"/>
      <c r="DC354" s="38"/>
      <c r="DD354" s="18"/>
      <c r="DE354" s="37"/>
      <c r="DF354" s="38"/>
      <c r="DG354" s="18"/>
      <c r="DH354" s="37"/>
      <c r="DI354" s="38"/>
      <c r="DJ354" s="18"/>
      <c r="DK354" s="37"/>
      <c r="DL354" s="38"/>
      <c r="DM354" s="18"/>
      <c r="DN354" s="18"/>
      <c r="DO354" s="18"/>
      <c r="DP354" s="18"/>
      <c r="DQ354" s="18"/>
      <c r="DR354" s="18"/>
      <c r="DS354" s="18"/>
      <c r="DT354" s="18"/>
      <c r="DU354" s="18"/>
      <c r="DV354" s="18"/>
      <c r="DW354" s="18"/>
      <c r="DX354" s="18"/>
      <c r="DY354" s="18"/>
      <c r="DZ354" s="18"/>
    </row>
    <row r="355" spans="1:130" x14ac:dyDescent="0.3">
      <c r="A355" s="18"/>
      <c r="B355" s="18"/>
      <c r="C355" s="18"/>
      <c r="D355" s="18"/>
      <c r="E355" s="18"/>
      <c r="F355" s="18"/>
      <c r="G355" s="18"/>
      <c r="H355" s="18"/>
      <c r="I355" s="18"/>
      <c r="J355" s="18"/>
      <c r="K355" s="18"/>
      <c r="L355" s="18"/>
      <c r="M355" s="18"/>
      <c r="N355" s="17"/>
      <c r="O355" s="17"/>
      <c r="P355" s="17"/>
      <c r="Q355" s="17"/>
      <c r="R355" s="17"/>
      <c r="S355" s="17"/>
      <c r="T355" s="17"/>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7"/>
      <c r="BT355" s="17"/>
      <c r="BU355" s="17"/>
      <c r="BV355" s="17"/>
      <c r="BW355" s="17"/>
      <c r="BX355" s="18"/>
      <c r="BY355" s="18"/>
      <c r="BZ355" s="18"/>
      <c r="CA355" s="18"/>
      <c r="CB355" s="17"/>
      <c r="CC355" s="17"/>
      <c r="CD355" s="17"/>
      <c r="CE355" s="18"/>
      <c r="CF355" s="18"/>
      <c r="CG355" s="18"/>
      <c r="CH355" s="18"/>
      <c r="CI355" s="18"/>
      <c r="CJ355" s="18"/>
      <c r="CK355" s="18"/>
      <c r="CL355" s="18"/>
      <c r="CM355" s="18"/>
      <c r="CN355" s="18"/>
      <c r="CO355" s="18"/>
      <c r="CP355" s="18"/>
      <c r="CQ355" s="18"/>
      <c r="CR355" s="18"/>
      <c r="CS355" s="18"/>
      <c r="CT355" s="18"/>
      <c r="CU355" s="18"/>
      <c r="CV355" s="18"/>
      <c r="CW355" s="18"/>
      <c r="CX355" s="18"/>
      <c r="CY355" s="37"/>
      <c r="CZ355" s="38"/>
      <c r="DA355" s="18"/>
      <c r="DB355" s="37"/>
      <c r="DC355" s="38"/>
      <c r="DD355" s="18"/>
      <c r="DE355" s="37"/>
      <c r="DF355" s="38"/>
      <c r="DG355" s="18"/>
      <c r="DH355" s="37"/>
      <c r="DI355" s="38"/>
      <c r="DJ355" s="18"/>
      <c r="DK355" s="37"/>
      <c r="DL355" s="38"/>
      <c r="DM355" s="18"/>
      <c r="DN355" s="18"/>
      <c r="DO355" s="18"/>
      <c r="DP355" s="18"/>
      <c r="DQ355" s="18"/>
      <c r="DR355" s="18"/>
      <c r="DS355" s="18"/>
      <c r="DT355" s="18"/>
      <c r="DU355" s="18"/>
      <c r="DV355" s="18"/>
      <c r="DW355" s="18"/>
      <c r="DX355" s="18"/>
      <c r="DY355" s="18"/>
      <c r="DZ355" s="18"/>
    </row>
    <row r="356" spans="1:130" x14ac:dyDescent="0.3">
      <c r="A356" s="18"/>
      <c r="B356" s="18"/>
      <c r="C356" s="18"/>
      <c r="D356" s="18"/>
      <c r="E356" s="18"/>
      <c r="F356" s="18"/>
      <c r="G356" s="18"/>
      <c r="H356" s="18"/>
      <c r="I356" s="18"/>
      <c r="J356" s="18"/>
      <c r="K356" s="18"/>
      <c r="L356" s="18"/>
      <c r="M356" s="18"/>
      <c r="N356" s="17"/>
      <c r="O356" s="17"/>
      <c r="P356" s="17"/>
      <c r="Q356" s="17"/>
      <c r="R356" s="17"/>
      <c r="S356" s="17"/>
      <c r="T356" s="17"/>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7"/>
      <c r="BT356" s="17"/>
      <c r="BU356" s="17"/>
      <c r="BV356" s="17"/>
      <c r="BW356" s="17"/>
      <c r="BX356" s="18"/>
      <c r="BY356" s="18"/>
      <c r="BZ356" s="18"/>
      <c r="CA356" s="18"/>
      <c r="CB356" s="17"/>
      <c r="CC356" s="17"/>
      <c r="CD356" s="17"/>
      <c r="CE356" s="18"/>
      <c r="CF356" s="18"/>
      <c r="CG356" s="18"/>
      <c r="CH356" s="18"/>
      <c r="CI356" s="18"/>
      <c r="CJ356" s="18"/>
      <c r="CK356" s="18"/>
      <c r="CL356" s="18"/>
      <c r="CM356" s="18"/>
      <c r="CN356" s="18"/>
      <c r="CO356" s="18"/>
      <c r="CP356" s="18"/>
      <c r="CQ356" s="18"/>
      <c r="CR356" s="18"/>
      <c r="CS356" s="18"/>
      <c r="CT356" s="18"/>
      <c r="CU356" s="18"/>
      <c r="CV356" s="18"/>
      <c r="CW356" s="18"/>
      <c r="CX356" s="18"/>
      <c r="CY356" s="37"/>
      <c r="CZ356" s="38"/>
      <c r="DA356" s="18"/>
      <c r="DB356" s="37"/>
      <c r="DC356" s="38"/>
      <c r="DD356" s="18"/>
      <c r="DE356" s="37"/>
      <c r="DF356" s="38"/>
      <c r="DG356" s="18"/>
      <c r="DH356" s="37"/>
      <c r="DI356" s="38"/>
      <c r="DJ356" s="18"/>
      <c r="DK356" s="37"/>
      <c r="DL356" s="38"/>
      <c r="DM356" s="18"/>
      <c r="DN356" s="18"/>
      <c r="DO356" s="18"/>
      <c r="DP356" s="18"/>
      <c r="DQ356" s="18"/>
      <c r="DR356" s="18"/>
      <c r="DS356" s="18"/>
      <c r="DT356" s="18"/>
      <c r="DU356" s="18"/>
      <c r="DV356" s="18"/>
      <c r="DW356" s="18"/>
      <c r="DX356" s="18"/>
      <c r="DY356" s="18"/>
      <c r="DZ356" s="18"/>
    </row>
    <row r="357" spans="1:130" x14ac:dyDescent="0.3">
      <c r="A357" s="18"/>
      <c r="B357" s="18"/>
      <c r="C357" s="18"/>
      <c r="D357" s="18"/>
      <c r="E357" s="18"/>
      <c r="F357" s="18"/>
      <c r="G357" s="18"/>
      <c r="H357" s="18"/>
      <c r="I357" s="18"/>
      <c r="J357" s="18"/>
      <c r="K357" s="18"/>
      <c r="L357" s="18"/>
      <c r="M357" s="18"/>
      <c r="N357" s="17"/>
      <c r="O357" s="17"/>
      <c r="P357" s="17"/>
      <c r="Q357" s="17"/>
      <c r="R357" s="17"/>
      <c r="S357" s="17"/>
      <c r="T357" s="17"/>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7"/>
      <c r="BT357" s="17"/>
      <c r="BU357" s="17"/>
      <c r="BV357" s="17"/>
      <c r="BW357" s="17"/>
      <c r="BX357" s="18"/>
      <c r="BY357" s="18"/>
      <c r="BZ357" s="18"/>
      <c r="CA357" s="18"/>
      <c r="CB357" s="17"/>
      <c r="CC357" s="17"/>
      <c r="CD357" s="17"/>
      <c r="CE357" s="18"/>
      <c r="CF357" s="18"/>
      <c r="CG357" s="18"/>
      <c r="CH357" s="18"/>
      <c r="CI357" s="18"/>
      <c r="CJ357" s="18"/>
      <c r="CK357" s="18"/>
      <c r="CL357" s="18"/>
      <c r="CM357" s="18"/>
      <c r="CN357" s="18"/>
      <c r="CO357" s="18"/>
      <c r="CP357" s="18"/>
      <c r="CQ357" s="18"/>
      <c r="CR357" s="18"/>
      <c r="CS357" s="18"/>
      <c r="CT357" s="18"/>
      <c r="CU357" s="18"/>
      <c r="CV357" s="18"/>
      <c r="CW357" s="18"/>
      <c r="CX357" s="18"/>
      <c r="CY357" s="37"/>
      <c r="CZ357" s="38"/>
      <c r="DA357" s="18"/>
      <c r="DB357" s="37"/>
      <c r="DC357" s="38"/>
      <c r="DD357" s="18"/>
      <c r="DE357" s="37"/>
      <c r="DF357" s="38"/>
      <c r="DG357" s="18"/>
      <c r="DH357" s="37"/>
      <c r="DI357" s="38"/>
      <c r="DJ357" s="18"/>
      <c r="DK357" s="37"/>
      <c r="DL357" s="38"/>
      <c r="DM357" s="18"/>
      <c r="DN357" s="18"/>
      <c r="DO357" s="18"/>
      <c r="DP357" s="18"/>
      <c r="DQ357" s="18"/>
      <c r="DR357" s="18"/>
      <c r="DS357" s="18"/>
      <c r="DT357" s="18"/>
      <c r="DU357" s="18"/>
      <c r="DV357" s="18"/>
      <c r="DW357" s="18"/>
      <c r="DX357" s="18"/>
      <c r="DY357" s="18"/>
      <c r="DZ357" s="18"/>
    </row>
    <row r="358" spans="1:130" x14ac:dyDescent="0.3">
      <c r="A358" s="18"/>
      <c r="B358" s="18"/>
      <c r="C358" s="18"/>
      <c r="D358" s="18"/>
      <c r="E358" s="18"/>
      <c r="F358" s="18"/>
      <c r="G358" s="18"/>
      <c r="H358" s="18"/>
      <c r="I358" s="18"/>
      <c r="J358" s="18"/>
      <c r="K358" s="18"/>
      <c r="L358" s="18"/>
      <c r="M358" s="18"/>
      <c r="N358" s="17"/>
      <c r="O358" s="17"/>
      <c r="P358" s="17"/>
      <c r="Q358" s="17"/>
      <c r="R358" s="17"/>
      <c r="S358" s="17"/>
      <c r="T358" s="17"/>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7"/>
      <c r="BT358" s="17"/>
      <c r="BU358" s="17"/>
      <c r="BV358" s="17"/>
      <c r="BW358" s="17"/>
      <c r="BX358" s="18"/>
      <c r="BY358" s="18"/>
      <c r="BZ358" s="18"/>
      <c r="CA358" s="18"/>
      <c r="CB358" s="17"/>
      <c r="CC358" s="17"/>
      <c r="CD358" s="17"/>
      <c r="CE358" s="18"/>
      <c r="CF358" s="18"/>
      <c r="CG358" s="18"/>
      <c r="CH358" s="18"/>
      <c r="CI358" s="18"/>
      <c r="CJ358" s="18"/>
      <c r="CK358" s="18"/>
      <c r="CL358" s="18"/>
      <c r="CM358" s="18"/>
      <c r="CN358" s="18"/>
      <c r="CO358" s="18"/>
      <c r="CP358" s="18"/>
      <c r="CQ358" s="18"/>
      <c r="CR358" s="18"/>
      <c r="CS358" s="18"/>
      <c r="CT358" s="18"/>
      <c r="CU358" s="18"/>
      <c r="CV358" s="18"/>
      <c r="CW358" s="18"/>
      <c r="CX358" s="18"/>
      <c r="CY358" s="37"/>
      <c r="CZ358" s="38"/>
      <c r="DA358" s="18"/>
      <c r="DB358" s="37"/>
      <c r="DC358" s="38"/>
      <c r="DD358" s="18"/>
      <c r="DE358" s="37"/>
      <c r="DF358" s="38"/>
      <c r="DG358" s="18"/>
      <c r="DH358" s="37"/>
      <c r="DI358" s="38"/>
      <c r="DJ358" s="18"/>
      <c r="DK358" s="37"/>
      <c r="DL358" s="38"/>
      <c r="DM358" s="18"/>
      <c r="DN358" s="18"/>
      <c r="DO358" s="18"/>
      <c r="DP358" s="18"/>
      <c r="DQ358" s="18"/>
      <c r="DR358" s="18"/>
      <c r="DS358" s="18"/>
      <c r="DT358" s="18"/>
      <c r="DU358" s="18"/>
      <c r="DV358" s="18"/>
      <c r="DW358" s="18"/>
      <c r="DX358" s="18"/>
      <c r="DY358" s="18"/>
      <c r="DZ358" s="18"/>
    </row>
    <row r="359" spans="1:130" x14ac:dyDescent="0.3">
      <c r="A359" s="18"/>
      <c r="B359" s="18"/>
      <c r="C359" s="18"/>
      <c r="D359" s="18"/>
      <c r="E359" s="18"/>
      <c r="F359" s="18"/>
      <c r="G359" s="18"/>
      <c r="H359" s="18"/>
      <c r="I359" s="18"/>
      <c r="J359" s="18"/>
      <c r="K359" s="18"/>
      <c r="L359" s="18"/>
      <c r="M359" s="18"/>
      <c r="N359" s="17"/>
      <c r="O359" s="17"/>
      <c r="P359" s="17"/>
      <c r="Q359" s="17"/>
      <c r="R359" s="17"/>
      <c r="S359" s="17"/>
      <c r="T359" s="17"/>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7"/>
      <c r="BT359" s="17"/>
      <c r="BU359" s="17"/>
      <c r="BV359" s="17"/>
      <c r="BW359" s="17"/>
      <c r="BX359" s="18"/>
      <c r="BY359" s="18"/>
      <c r="BZ359" s="18"/>
      <c r="CA359" s="18"/>
      <c r="CB359" s="17"/>
      <c r="CC359" s="17"/>
      <c r="CD359" s="17"/>
      <c r="CE359" s="18"/>
      <c r="CF359" s="18"/>
      <c r="CG359" s="18"/>
      <c r="CH359" s="18"/>
      <c r="CI359" s="18"/>
      <c r="CJ359" s="18"/>
      <c r="CK359" s="18"/>
      <c r="CL359" s="18"/>
      <c r="CM359" s="18"/>
      <c r="CN359" s="18"/>
      <c r="CO359" s="18"/>
      <c r="CP359" s="18"/>
      <c r="CQ359" s="18"/>
      <c r="CR359" s="18"/>
      <c r="CS359" s="18"/>
      <c r="CT359" s="18"/>
      <c r="CU359" s="18"/>
      <c r="CV359" s="18"/>
      <c r="CW359" s="18"/>
      <c r="CX359" s="18"/>
      <c r="CY359" s="37"/>
      <c r="CZ359" s="38"/>
      <c r="DA359" s="18"/>
      <c r="DB359" s="37"/>
      <c r="DC359" s="38"/>
      <c r="DD359" s="18"/>
      <c r="DE359" s="37"/>
      <c r="DF359" s="38"/>
      <c r="DG359" s="18"/>
      <c r="DH359" s="37"/>
      <c r="DI359" s="38"/>
      <c r="DJ359" s="18"/>
      <c r="DK359" s="37"/>
      <c r="DL359" s="38"/>
      <c r="DM359" s="18"/>
      <c r="DN359" s="18"/>
      <c r="DO359" s="18"/>
      <c r="DP359" s="18"/>
      <c r="DQ359" s="18"/>
      <c r="DR359" s="18"/>
      <c r="DS359" s="18"/>
      <c r="DT359" s="18"/>
      <c r="DU359" s="18"/>
      <c r="DV359" s="18"/>
      <c r="DW359" s="18"/>
      <c r="DX359" s="18"/>
      <c r="DY359" s="18"/>
      <c r="DZ359" s="18"/>
    </row>
    <row r="360" spans="1:130" x14ac:dyDescent="0.3">
      <c r="A360" s="18"/>
      <c r="B360" s="18"/>
      <c r="C360" s="18"/>
      <c r="D360" s="18"/>
      <c r="E360" s="18"/>
      <c r="F360" s="18"/>
      <c r="G360" s="18"/>
      <c r="H360" s="18"/>
      <c r="I360" s="18"/>
      <c r="J360" s="18"/>
      <c r="K360" s="18"/>
      <c r="L360" s="18"/>
      <c r="M360" s="18"/>
      <c r="N360" s="17"/>
      <c r="O360" s="17"/>
      <c r="P360" s="17"/>
      <c r="Q360" s="17"/>
      <c r="R360" s="17"/>
      <c r="S360" s="17"/>
      <c r="T360" s="17"/>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7"/>
      <c r="BT360" s="17"/>
      <c r="BU360" s="17"/>
      <c r="BV360" s="17"/>
      <c r="BW360" s="17"/>
      <c r="BX360" s="18"/>
      <c r="BY360" s="18"/>
      <c r="BZ360" s="18"/>
      <c r="CA360" s="18"/>
      <c r="CB360" s="17"/>
      <c r="CC360" s="17"/>
      <c r="CD360" s="17"/>
      <c r="CE360" s="18"/>
      <c r="CF360" s="18"/>
      <c r="CG360" s="18"/>
      <c r="CH360" s="18"/>
      <c r="CI360" s="18"/>
      <c r="CJ360" s="18"/>
      <c r="CK360" s="18"/>
      <c r="CL360" s="18"/>
      <c r="CM360" s="18"/>
      <c r="CN360" s="18"/>
      <c r="CO360" s="18"/>
      <c r="CP360" s="18"/>
      <c r="CQ360" s="18"/>
      <c r="CR360" s="18"/>
      <c r="CS360" s="18"/>
      <c r="CT360" s="18"/>
      <c r="CU360" s="18"/>
      <c r="CV360" s="18"/>
      <c r="CW360" s="18"/>
      <c r="CX360" s="18"/>
      <c r="CY360" s="37"/>
      <c r="CZ360" s="38"/>
      <c r="DA360" s="18"/>
      <c r="DB360" s="37"/>
      <c r="DC360" s="38"/>
      <c r="DD360" s="18"/>
      <c r="DE360" s="37"/>
      <c r="DF360" s="38"/>
      <c r="DG360" s="18"/>
      <c r="DH360" s="37"/>
      <c r="DI360" s="38"/>
      <c r="DJ360" s="18"/>
      <c r="DK360" s="37"/>
      <c r="DL360" s="38"/>
      <c r="DM360" s="18"/>
      <c r="DN360" s="18"/>
      <c r="DO360" s="18"/>
      <c r="DP360" s="18"/>
      <c r="DQ360" s="18"/>
      <c r="DR360" s="18"/>
      <c r="DS360" s="18"/>
      <c r="DT360" s="18"/>
      <c r="DU360" s="18"/>
      <c r="DV360" s="18"/>
      <c r="DW360" s="18"/>
      <c r="DX360" s="18"/>
      <c r="DY360" s="18"/>
      <c r="DZ360" s="18"/>
    </row>
    <row r="361" spans="1:130" x14ac:dyDescent="0.3">
      <c r="A361" s="18"/>
      <c r="B361" s="18"/>
      <c r="C361" s="18"/>
      <c r="D361" s="18"/>
      <c r="E361" s="18"/>
      <c r="F361" s="18"/>
      <c r="G361" s="18"/>
      <c r="H361" s="18"/>
      <c r="I361" s="18"/>
      <c r="J361" s="18"/>
      <c r="K361" s="18"/>
      <c r="L361" s="18"/>
      <c r="M361" s="18"/>
      <c r="N361" s="17"/>
      <c r="O361" s="17"/>
      <c r="P361" s="17"/>
      <c r="Q361" s="17"/>
      <c r="R361" s="17"/>
      <c r="S361" s="17"/>
      <c r="T361" s="17"/>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7"/>
      <c r="BT361" s="17"/>
      <c r="BU361" s="17"/>
      <c r="BV361" s="17"/>
      <c r="BW361" s="17"/>
      <c r="BX361" s="18"/>
      <c r="BY361" s="18"/>
      <c r="BZ361" s="18"/>
      <c r="CA361" s="18"/>
      <c r="CB361" s="17"/>
      <c r="CC361" s="17"/>
      <c r="CD361" s="17"/>
      <c r="CE361" s="18"/>
      <c r="CF361" s="18"/>
      <c r="CG361" s="18"/>
      <c r="CH361" s="18"/>
      <c r="CI361" s="18"/>
      <c r="CJ361" s="18"/>
      <c r="CK361" s="18"/>
      <c r="CL361" s="18"/>
      <c r="CM361" s="18"/>
      <c r="CN361" s="18"/>
      <c r="CO361" s="18"/>
      <c r="CP361" s="18"/>
      <c r="CQ361" s="18"/>
      <c r="CR361" s="18"/>
      <c r="CS361" s="18"/>
      <c r="CT361" s="18"/>
      <c r="CU361" s="18"/>
      <c r="CV361" s="18"/>
      <c r="CW361" s="18"/>
      <c r="CX361" s="18"/>
      <c r="CY361" s="37"/>
      <c r="CZ361" s="38"/>
      <c r="DA361" s="18"/>
      <c r="DB361" s="37"/>
      <c r="DC361" s="38"/>
      <c r="DD361" s="18"/>
      <c r="DE361" s="37"/>
      <c r="DF361" s="38"/>
      <c r="DG361" s="18"/>
      <c r="DH361" s="37"/>
      <c r="DI361" s="38"/>
      <c r="DJ361" s="18"/>
      <c r="DK361" s="37"/>
      <c r="DL361" s="38"/>
      <c r="DM361" s="18"/>
      <c r="DN361" s="18"/>
      <c r="DO361" s="18"/>
      <c r="DP361" s="18"/>
      <c r="DQ361" s="18"/>
      <c r="DR361" s="18"/>
      <c r="DS361" s="18"/>
      <c r="DT361" s="18"/>
      <c r="DU361" s="18"/>
      <c r="DV361" s="18"/>
      <c r="DW361" s="18"/>
      <c r="DX361" s="18"/>
      <c r="DY361" s="18"/>
      <c r="DZ361" s="18"/>
    </row>
    <row r="362" spans="1:130" x14ac:dyDescent="0.3">
      <c r="A362" s="18"/>
      <c r="B362" s="18"/>
      <c r="C362" s="18"/>
      <c r="D362" s="18"/>
      <c r="E362" s="18"/>
      <c r="F362" s="18"/>
      <c r="G362" s="18"/>
      <c r="H362" s="18"/>
      <c r="I362" s="18"/>
      <c r="J362" s="18"/>
      <c r="K362" s="18"/>
      <c r="L362" s="18"/>
      <c r="M362" s="18"/>
      <c r="N362" s="17"/>
      <c r="O362" s="17"/>
      <c r="P362" s="17"/>
      <c r="Q362" s="17"/>
      <c r="R362" s="17"/>
      <c r="S362" s="17"/>
      <c r="T362" s="17"/>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7"/>
      <c r="BT362" s="17"/>
      <c r="BU362" s="17"/>
      <c r="BV362" s="17"/>
      <c r="BW362" s="17"/>
      <c r="BX362" s="18"/>
      <c r="BY362" s="18"/>
      <c r="BZ362" s="18"/>
      <c r="CA362" s="18"/>
      <c r="CB362" s="17"/>
      <c r="CC362" s="17"/>
      <c r="CD362" s="17"/>
      <c r="CE362" s="18"/>
      <c r="CF362" s="18"/>
      <c r="CG362" s="18"/>
      <c r="CH362" s="18"/>
      <c r="CI362" s="18"/>
      <c r="CJ362" s="18"/>
      <c r="CK362" s="18"/>
      <c r="CL362" s="18"/>
      <c r="CM362" s="18"/>
      <c r="CN362" s="18"/>
      <c r="CO362" s="18"/>
      <c r="CP362" s="18"/>
      <c r="CQ362" s="18"/>
      <c r="CR362" s="18"/>
      <c r="CS362" s="18"/>
      <c r="CT362" s="18"/>
      <c r="CU362" s="18"/>
      <c r="CV362" s="18"/>
      <c r="CW362" s="18"/>
      <c r="CX362" s="18"/>
      <c r="CY362" s="37"/>
      <c r="CZ362" s="38"/>
      <c r="DA362" s="18"/>
      <c r="DB362" s="37"/>
      <c r="DC362" s="38"/>
      <c r="DD362" s="18"/>
      <c r="DE362" s="37"/>
      <c r="DF362" s="38"/>
      <c r="DG362" s="18"/>
      <c r="DH362" s="37"/>
      <c r="DI362" s="38"/>
      <c r="DJ362" s="18"/>
      <c r="DK362" s="37"/>
      <c r="DL362" s="38"/>
      <c r="DM362" s="18"/>
      <c r="DN362" s="18"/>
      <c r="DO362" s="18"/>
      <c r="DP362" s="18"/>
      <c r="DQ362" s="18"/>
      <c r="DR362" s="18"/>
      <c r="DS362" s="18"/>
      <c r="DT362" s="18"/>
      <c r="DU362" s="18"/>
      <c r="DV362" s="18"/>
      <c r="DW362" s="18"/>
      <c r="DX362" s="18"/>
      <c r="DY362" s="18"/>
      <c r="DZ362" s="18"/>
    </row>
    <row r="363" spans="1:130" x14ac:dyDescent="0.3">
      <c r="A363" s="18"/>
      <c r="B363" s="18"/>
      <c r="C363" s="18"/>
      <c r="D363" s="18"/>
      <c r="E363" s="18"/>
      <c r="F363" s="18"/>
      <c r="G363" s="18"/>
      <c r="H363" s="18"/>
      <c r="I363" s="18"/>
      <c r="J363" s="18"/>
      <c r="K363" s="18"/>
      <c r="L363" s="18"/>
      <c r="M363" s="18"/>
      <c r="N363" s="17"/>
      <c r="O363" s="17"/>
      <c r="P363" s="17"/>
      <c r="Q363" s="17"/>
      <c r="R363" s="17"/>
      <c r="S363" s="17"/>
      <c r="T363" s="17"/>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7"/>
      <c r="BT363" s="17"/>
      <c r="BU363" s="17"/>
      <c r="BV363" s="17"/>
      <c r="BW363" s="17"/>
      <c r="BX363" s="18"/>
      <c r="BY363" s="18"/>
      <c r="BZ363" s="18"/>
      <c r="CA363" s="18"/>
      <c r="CB363" s="17"/>
      <c r="CC363" s="17"/>
      <c r="CD363" s="17"/>
      <c r="CE363" s="18"/>
      <c r="CF363" s="18"/>
      <c r="CG363" s="18"/>
      <c r="CH363" s="18"/>
      <c r="CI363" s="18"/>
      <c r="CJ363" s="18"/>
      <c r="CK363" s="18"/>
      <c r="CL363" s="18"/>
      <c r="CM363" s="18"/>
      <c r="CN363" s="18"/>
      <c r="CO363" s="18"/>
      <c r="CP363" s="18"/>
      <c r="CQ363" s="18"/>
      <c r="CR363" s="18"/>
      <c r="CS363" s="18"/>
      <c r="CT363" s="18"/>
      <c r="CU363" s="18"/>
      <c r="CV363" s="18"/>
      <c r="CW363" s="18"/>
      <c r="CX363" s="18"/>
      <c r="CY363" s="37"/>
      <c r="CZ363" s="38"/>
      <c r="DA363" s="18"/>
      <c r="DB363" s="37"/>
      <c r="DC363" s="38"/>
      <c r="DD363" s="18"/>
      <c r="DE363" s="37"/>
      <c r="DF363" s="38"/>
      <c r="DG363" s="18"/>
      <c r="DH363" s="37"/>
      <c r="DI363" s="38"/>
      <c r="DJ363" s="18"/>
      <c r="DK363" s="37"/>
      <c r="DL363" s="38"/>
      <c r="DM363" s="18"/>
      <c r="DN363" s="18"/>
      <c r="DO363" s="18"/>
      <c r="DP363" s="18"/>
      <c r="DQ363" s="18"/>
      <c r="DR363" s="18"/>
      <c r="DS363" s="18"/>
      <c r="DT363" s="18"/>
      <c r="DU363" s="18"/>
      <c r="DV363" s="18"/>
      <c r="DW363" s="18"/>
      <c r="DX363" s="18"/>
      <c r="DY363" s="18"/>
      <c r="DZ363" s="18"/>
    </row>
    <row r="364" spans="1:130" x14ac:dyDescent="0.3">
      <c r="A364" s="18"/>
      <c r="B364" s="18"/>
      <c r="C364" s="18"/>
      <c r="D364" s="18"/>
      <c r="E364" s="18"/>
      <c r="F364" s="18"/>
      <c r="G364" s="18"/>
      <c r="H364" s="18"/>
      <c r="I364" s="18"/>
      <c r="J364" s="18"/>
      <c r="K364" s="18"/>
      <c r="L364" s="18"/>
      <c r="M364" s="18"/>
      <c r="N364" s="17"/>
      <c r="O364" s="17"/>
      <c r="P364" s="17"/>
      <c r="Q364" s="17"/>
      <c r="R364" s="17"/>
      <c r="S364" s="17"/>
      <c r="T364" s="17"/>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7"/>
      <c r="BT364" s="17"/>
      <c r="BU364" s="17"/>
      <c r="BV364" s="17"/>
      <c r="BW364" s="17"/>
      <c r="BX364" s="18"/>
      <c r="BY364" s="18"/>
      <c r="BZ364" s="18"/>
      <c r="CA364" s="18"/>
      <c r="CB364" s="17"/>
      <c r="CC364" s="17"/>
      <c r="CD364" s="17"/>
      <c r="CE364" s="18"/>
      <c r="CF364" s="18"/>
      <c r="CG364" s="18"/>
      <c r="CH364" s="18"/>
      <c r="CI364" s="18"/>
      <c r="CJ364" s="18"/>
      <c r="CK364" s="18"/>
      <c r="CL364" s="18"/>
      <c r="CM364" s="18"/>
      <c r="CN364" s="18"/>
      <c r="CO364" s="18"/>
      <c r="CP364" s="18"/>
      <c r="CQ364" s="18"/>
      <c r="CR364" s="18"/>
      <c r="CS364" s="18"/>
      <c r="CT364" s="18"/>
      <c r="CU364" s="18"/>
      <c r="CV364" s="18"/>
      <c r="CW364" s="18"/>
      <c r="CX364" s="18"/>
      <c r="CY364" s="37"/>
      <c r="CZ364" s="38"/>
      <c r="DA364" s="18"/>
      <c r="DB364" s="37"/>
      <c r="DC364" s="38"/>
      <c r="DD364" s="18"/>
      <c r="DE364" s="37"/>
      <c r="DF364" s="38"/>
      <c r="DG364" s="18"/>
      <c r="DH364" s="37"/>
      <c r="DI364" s="38"/>
      <c r="DJ364" s="18"/>
      <c r="DK364" s="37"/>
      <c r="DL364" s="38"/>
      <c r="DM364" s="18"/>
      <c r="DN364" s="18"/>
      <c r="DO364" s="18"/>
      <c r="DP364" s="18"/>
      <c r="DQ364" s="18"/>
      <c r="DR364" s="18"/>
      <c r="DS364" s="18"/>
      <c r="DT364" s="18"/>
      <c r="DU364" s="18"/>
      <c r="DV364" s="18"/>
      <c r="DW364" s="18"/>
      <c r="DX364" s="18"/>
      <c r="DY364" s="18"/>
      <c r="DZ364" s="18"/>
    </row>
    <row r="365" spans="1:130" x14ac:dyDescent="0.3">
      <c r="A365" s="18"/>
      <c r="B365" s="18"/>
      <c r="C365" s="18"/>
      <c r="D365" s="18"/>
      <c r="E365" s="18"/>
      <c r="F365" s="18"/>
      <c r="G365" s="18"/>
      <c r="H365" s="18"/>
      <c r="I365" s="18"/>
      <c r="J365" s="18"/>
      <c r="K365" s="18"/>
      <c r="L365" s="18"/>
      <c r="M365" s="18"/>
      <c r="N365" s="17"/>
      <c r="O365" s="17"/>
      <c r="P365" s="17"/>
      <c r="Q365" s="17"/>
      <c r="R365" s="17"/>
      <c r="S365" s="17"/>
      <c r="T365" s="17"/>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7"/>
      <c r="BT365" s="17"/>
      <c r="BU365" s="17"/>
      <c r="BV365" s="17"/>
      <c r="BW365" s="17"/>
      <c r="BX365" s="18"/>
      <c r="BY365" s="18"/>
      <c r="BZ365" s="18"/>
      <c r="CA365" s="18"/>
      <c r="CB365" s="17"/>
      <c r="CC365" s="17"/>
      <c r="CD365" s="17"/>
      <c r="CE365" s="18"/>
      <c r="CF365" s="18"/>
      <c r="CG365" s="18"/>
      <c r="CH365" s="18"/>
      <c r="CI365" s="18"/>
      <c r="CJ365" s="18"/>
      <c r="CK365" s="18"/>
      <c r="CL365" s="18"/>
      <c r="CM365" s="18"/>
      <c r="CN365" s="18"/>
      <c r="CO365" s="18"/>
      <c r="CP365" s="18"/>
      <c r="CQ365" s="18"/>
      <c r="CR365" s="18"/>
      <c r="CS365" s="18"/>
      <c r="CT365" s="18"/>
      <c r="CU365" s="18"/>
      <c r="CV365" s="18"/>
      <c r="CW365" s="18"/>
      <c r="CX365" s="18"/>
      <c r="CY365" s="37"/>
      <c r="CZ365" s="38"/>
      <c r="DA365" s="18"/>
      <c r="DB365" s="37"/>
      <c r="DC365" s="38"/>
      <c r="DD365" s="18"/>
      <c r="DE365" s="37"/>
      <c r="DF365" s="38"/>
      <c r="DG365" s="18"/>
      <c r="DH365" s="37"/>
      <c r="DI365" s="38"/>
      <c r="DJ365" s="18"/>
      <c r="DK365" s="37"/>
      <c r="DL365" s="38"/>
      <c r="DM365" s="18"/>
      <c r="DN365" s="18"/>
      <c r="DO365" s="18"/>
      <c r="DP365" s="18"/>
      <c r="DQ365" s="18"/>
      <c r="DR365" s="18"/>
      <c r="DS365" s="18"/>
      <c r="DT365" s="18"/>
      <c r="DU365" s="18"/>
      <c r="DV365" s="18"/>
      <c r="DW365" s="18"/>
      <c r="DX365" s="18"/>
      <c r="DY365" s="18"/>
      <c r="DZ365" s="18"/>
    </row>
    <row r="366" spans="1:130" x14ac:dyDescent="0.3">
      <c r="A366" s="18"/>
      <c r="B366" s="18"/>
      <c r="C366" s="18"/>
      <c r="D366" s="18"/>
      <c r="E366" s="18"/>
      <c r="F366" s="18"/>
      <c r="G366" s="18"/>
      <c r="H366" s="18"/>
      <c r="I366" s="18"/>
      <c r="J366" s="18"/>
      <c r="K366" s="18"/>
      <c r="L366" s="18"/>
      <c r="M366" s="18"/>
      <c r="N366" s="17"/>
      <c r="O366" s="17"/>
      <c r="P366" s="17"/>
      <c r="Q366" s="17"/>
      <c r="R366" s="17"/>
      <c r="S366" s="17"/>
      <c r="T366" s="17"/>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7"/>
      <c r="BT366" s="17"/>
      <c r="BU366" s="17"/>
      <c r="BV366" s="17"/>
      <c r="BW366" s="17"/>
      <c r="BX366" s="18"/>
      <c r="BY366" s="18"/>
      <c r="BZ366" s="18"/>
      <c r="CA366" s="18"/>
      <c r="CB366" s="17"/>
      <c r="CC366" s="17"/>
      <c r="CD366" s="17"/>
      <c r="CE366" s="18"/>
      <c r="CF366" s="18"/>
      <c r="CG366" s="18"/>
      <c r="CH366" s="18"/>
      <c r="CI366" s="18"/>
      <c r="CJ366" s="18"/>
      <c r="CK366" s="18"/>
      <c r="CL366" s="18"/>
      <c r="CM366" s="18"/>
      <c r="CN366" s="18"/>
      <c r="CO366" s="18"/>
      <c r="CP366" s="18"/>
      <c r="CQ366" s="18"/>
      <c r="CR366" s="18"/>
      <c r="CS366" s="18"/>
      <c r="CT366" s="18"/>
      <c r="CU366" s="18"/>
      <c r="CV366" s="18"/>
      <c r="CW366" s="18"/>
      <c r="CX366" s="18"/>
      <c r="CY366" s="37"/>
      <c r="CZ366" s="38"/>
      <c r="DA366" s="18"/>
      <c r="DB366" s="37"/>
      <c r="DC366" s="38"/>
      <c r="DD366" s="18"/>
      <c r="DE366" s="37"/>
      <c r="DF366" s="38"/>
      <c r="DG366" s="18"/>
      <c r="DH366" s="37"/>
      <c r="DI366" s="38"/>
      <c r="DJ366" s="18"/>
      <c r="DK366" s="37"/>
      <c r="DL366" s="38"/>
      <c r="DM366" s="18"/>
      <c r="DN366" s="18"/>
      <c r="DO366" s="18"/>
      <c r="DP366" s="18"/>
      <c r="DQ366" s="18"/>
      <c r="DR366" s="18"/>
      <c r="DS366" s="18"/>
      <c r="DT366" s="18"/>
      <c r="DU366" s="18"/>
      <c r="DV366" s="18"/>
      <c r="DW366" s="18"/>
      <c r="DX366" s="18"/>
      <c r="DY366" s="18"/>
      <c r="DZ366" s="18"/>
    </row>
    <row r="367" spans="1:130" x14ac:dyDescent="0.3">
      <c r="A367" s="18"/>
      <c r="B367" s="18"/>
      <c r="C367" s="18"/>
      <c r="D367" s="18"/>
      <c r="E367" s="18"/>
      <c r="F367" s="18"/>
      <c r="G367" s="18"/>
      <c r="H367" s="18"/>
      <c r="I367" s="18"/>
      <c r="J367" s="18"/>
      <c r="K367" s="18"/>
      <c r="L367" s="18"/>
      <c r="M367" s="18"/>
      <c r="N367" s="17"/>
      <c r="O367" s="17"/>
      <c r="P367" s="17"/>
      <c r="Q367" s="17"/>
      <c r="R367" s="17"/>
      <c r="S367" s="17"/>
      <c r="T367" s="17"/>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7"/>
      <c r="BT367" s="17"/>
      <c r="BU367" s="17"/>
      <c r="BV367" s="17"/>
      <c r="BW367" s="17"/>
      <c r="BX367" s="18"/>
      <c r="BY367" s="18"/>
      <c r="BZ367" s="18"/>
      <c r="CA367" s="18"/>
      <c r="CB367" s="17"/>
      <c r="CC367" s="17"/>
      <c r="CD367" s="17"/>
      <c r="CE367" s="18"/>
      <c r="CF367" s="18"/>
      <c r="CG367" s="18"/>
      <c r="CH367" s="18"/>
      <c r="CI367" s="18"/>
      <c r="CJ367" s="18"/>
      <c r="CK367" s="18"/>
      <c r="CL367" s="18"/>
      <c r="CM367" s="18"/>
      <c r="CN367" s="18"/>
      <c r="CO367" s="18"/>
      <c r="CP367" s="18"/>
      <c r="CQ367" s="18"/>
      <c r="CR367" s="18"/>
      <c r="CS367" s="18"/>
      <c r="CT367" s="18"/>
      <c r="CU367" s="18"/>
      <c r="CV367" s="18"/>
      <c r="CW367" s="18"/>
      <c r="CX367" s="18"/>
      <c r="CY367" s="37"/>
      <c r="CZ367" s="38"/>
      <c r="DA367" s="18"/>
      <c r="DB367" s="37"/>
      <c r="DC367" s="38"/>
      <c r="DD367" s="18"/>
      <c r="DE367" s="37"/>
      <c r="DF367" s="38"/>
      <c r="DG367" s="18"/>
      <c r="DH367" s="37"/>
      <c r="DI367" s="38"/>
      <c r="DJ367" s="18"/>
      <c r="DK367" s="37"/>
      <c r="DL367" s="38"/>
      <c r="DM367" s="18"/>
      <c r="DN367" s="18"/>
      <c r="DO367" s="18"/>
      <c r="DP367" s="18"/>
      <c r="DQ367" s="18"/>
      <c r="DR367" s="18"/>
      <c r="DS367" s="18"/>
      <c r="DT367" s="18"/>
      <c r="DU367" s="18"/>
      <c r="DV367" s="18"/>
      <c r="DW367" s="18"/>
      <c r="DX367" s="18"/>
      <c r="DY367" s="18"/>
      <c r="DZ367" s="18"/>
    </row>
    <row r="368" spans="1:130" x14ac:dyDescent="0.3">
      <c r="A368" s="18"/>
      <c r="B368" s="18"/>
      <c r="C368" s="18"/>
      <c r="D368" s="18"/>
      <c r="E368" s="18"/>
      <c r="F368" s="18"/>
      <c r="G368" s="18"/>
      <c r="H368" s="18"/>
      <c r="I368" s="18"/>
      <c r="J368" s="18"/>
      <c r="K368" s="18"/>
      <c r="L368" s="18"/>
      <c r="M368" s="18"/>
      <c r="N368" s="17"/>
      <c r="O368" s="17"/>
      <c r="P368" s="17"/>
      <c r="Q368" s="17"/>
      <c r="R368" s="17"/>
      <c r="S368" s="17"/>
      <c r="T368" s="17"/>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7"/>
      <c r="BT368" s="17"/>
      <c r="BU368" s="17"/>
      <c r="BV368" s="17"/>
      <c r="BW368" s="17"/>
      <c r="BX368" s="18"/>
      <c r="BY368" s="18"/>
      <c r="BZ368" s="18"/>
      <c r="CA368" s="18"/>
      <c r="CB368" s="17"/>
      <c r="CC368" s="17"/>
      <c r="CD368" s="17"/>
      <c r="CE368" s="18"/>
      <c r="CF368" s="18"/>
      <c r="CG368" s="18"/>
      <c r="CH368" s="18"/>
      <c r="CI368" s="18"/>
      <c r="CJ368" s="18"/>
      <c r="CK368" s="18"/>
      <c r="CL368" s="18"/>
      <c r="CM368" s="18"/>
      <c r="CN368" s="18"/>
      <c r="CO368" s="18"/>
      <c r="CP368" s="18"/>
      <c r="CQ368" s="18"/>
      <c r="CR368" s="18"/>
      <c r="CS368" s="18"/>
      <c r="CT368" s="18"/>
      <c r="CU368" s="18"/>
      <c r="CV368" s="18"/>
      <c r="CW368" s="18"/>
      <c r="CX368" s="18"/>
      <c r="CY368" s="37"/>
      <c r="CZ368" s="38"/>
      <c r="DA368" s="18"/>
      <c r="DB368" s="37"/>
      <c r="DC368" s="38"/>
      <c r="DD368" s="18"/>
      <c r="DE368" s="37"/>
      <c r="DF368" s="38"/>
      <c r="DG368" s="18"/>
      <c r="DH368" s="37"/>
      <c r="DI368" s="38"/>
      <c r="DJ368" s="18"/>
      <c r="DK368" s="37"/>
      <c r="DL368" s="38"/>
      <c r="DM368" s="18"/>
      <c r="DN368" s="18"/>
      <c r="DO368" s="18"/>
      <c r="DP368" s="18"/>
      <c r="DQ368" s="18"/>
      <c r="DR368" s="18"/>
      <c r="DS368" s="18"/>
      <c r="DT368" s="18"/>
      <c r="DU368" s="18"/>
      <c r="DV368" s="18"/>
      <c r="DW368" s="18"/>
      <c r="DX368" s="18"/>
      <c r="DY368" s="18"/>
      <c r="DZ368" s="18"/>
    </row>
    <row r="369" spans="1:130" x14ac:dyDescent="0.3">
      <c r="A369" s="18"/>
      <c r="B369" s="18"/>
      <c r="C369" s="18"/>
      <c r="D369" s="18"/>
      <c r="E369" s="18"/>
      <c r="F369" s="18"/>
      <c r="G369" s="18"/>
      <c r="H369" s="18"/>
      <c r="I369" s="18"/>
      <c r="J369" s="18"/>
      <c r="K369" s="18"/>
      <c r="L369" s="18"/>
      <c r="M369" s="18"/>
      <c r="N369" s="17"/>
      <c r="O369" s="17"/>
      <c r="P369" s="17"/>
      <c r="Q369" s="17"/>
      <c r="R369" s="17"/>
      <c r="S369" s="17"/>
      <c r="T369" s="17"/>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7"/>
      <c r="BT369" s="17"/>
      <c r="BU369" s="17"/>
      <c r="BV369" s="17"/>
      <c r="BW369" s="17"/>
      <c r="BX369" s="18"/>
      <c r="BY369" s="18"/>
      <c r="BZ369" s="18"/>
      <c r="CA369" s="18"/>
      <c r="CB369" s="17"/>
      <c r="CC369" s="17"/>
      <c r="CD369" s="17"/>
      <c r="CE369" s="18"/>
      <c r="CF369" s="18"/>
      <c r="CG369" s="18"/>
      <c r="CH369" s="18"/>
      <c r="CI369" s="18"/>
      <c r="CJ369" s="18"/>
      <c r="CK369" s="18"/>
      <c r="CL369" s="18"/>
      <c r="CM369" s="18"/>
      <c r="CN369" s="18"/>
      <c r="CO369" s="18"/>
      <c r="CP369" s="18"/>
      <c r="CQ369" s="18"/>
      <c r="CR369" s="18"/>
      <c r="CS369" s="18"/>
      <c r="CT369" s="18"/>
      <c r="CU369" s="18"/>
      <c r="CV369" s="18"/>
      <c r="CW369" s="18"/>
      <c r="CX369" s="18"/>
      <c r="CY369" s="37"/>
      <c r="CZ369" s="38"/>
      <c r="DA369" s="18"/>
      <c r="DB369" s="37"/>
      <c r="DC369" s="38"/>
      <c r="DD369" s="18"/>
      <c r="DE369" s="37"/>
      <c r="DF369" s="38"/>
      <c r="DG369" s="18"/>
      <c r="DH369" s="37"/>
      <c r="DI369" s="38"/>
      <c r="DJ369" s="18"/>
      <c r="DK369" s="37"/>
      <c r="DL369" s="38"/>
      <c r="DM369" s="18"/>
      <c r="DN369" s="18"/>
      <c r="DO369" s="18"/>
      <c r="DP369" s="18"/>
      <c r="DQ369" s="18"/>
      <c r="DR369" s="18"/>
      <c r="DS369" s="18"/>
      <c r="DT369" s="18"/>
      <c r="DU369" s="18"/>
      <c r="DV369" s="18"/>
      <c r="DW369" s="18"/>
      <c r="DX369" s="18"/>
      <c r="DY369" s="18"/>
      <c r="DZ369" s="18"/>
    </row>
    <row r="370" spans="1:130" x14ac:dyDescent="0.3">
      <c r="A370" s="18"/>
      <c r="B370" s="18"/>
      <c r="C370" s="18"/>
      <c r="D370" s="18"/>
      <c r="E370" s="18"/>
      <c r="F370" s="18"/>
      <c r="G370" s="18"/>
      <c r="H370" s="18"/>
      <c r="I370" s="18"/>
      <c r="J370" s="18"/>
      <c r="K370" s="18"/>
      <c r="L370" s="18"/>
      <c r="M370" s="18"/>
      <c r="N370" s="17"/>
      <c r="O370" s="17"/>
      <c r="P370" s="17"/>
      <c r="Q370" s="17"/>
      <c r="R370" s="17"/>
      <c r="S370" s="17"/>
      <c r="T370" s="17"/>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7"/>
      <c r="BT370" s="17"/>
      <c r="BU370" s="17"/>
      <c r="BV370" s="17"/>
      <c r="BW370" s="17"/>
      <c r="BX370" s="18"/>
      <c r="BY370" s="18"/>
      <c r="BZ370" s="18"/>
      <c r="CA370" s="18"/>
      <c r="CB370" s="17"/>
      <c r="CC370" s="17"/>
      <c r="CD370" s="17"/>
      <c r="CE370" s="18"/>
      <c r="CF370" s="18"/>
      <c r="CG370" s="18"/>
      <c r="CH370" s="18"/>
      <c r="CI370" s="18"/>
      <c r="CJ370" s="18"/>
      <c r="CK370" s="18"/>
      <c r="CL370" s="18"/>
      <c r="CM370" s="18"/>
      <c r="CN370" s="18"/>
      <c r="CO370" s="18"/>
      <c r="CP370" s="18"/>
      <c r="CQ370" s="18"/>
      <c r="CR370" s="18"/>
      <c r="CS370" s="18"/>
      <c r="CT370" s="18"/>
      <c r="CU370" s="18"/>
      <c r="CV370" s="18"/>
      <c r="CW370" s="18"/>
      <c r="CX370" s="18"/>
      <c r="CY370" s="37"/>
      <c r="CZ370" s="38"/>
      <c r="DA370" s="18"/>
      <c r="DB370" s="37"/>
      <c r="DC370" s="38"/>
      <c r="DD370" s="18"/>
      <c r="DE370" s="37"/>
      <c r="DF370" s="38"/>
      <c r="DG370" s="18"/>
      <c r="DH370" s="37"/>
      <c r="DI370" s="38"/>
      <c r="DJ370" s="18"/>
      <c r="DK370" s="37"/>
      <c r="DL370" s="38"/>
      <c r="DM370" s="18"/>
      <c r="DN370" s="18"/>
      <c r="DO370" s="18"/>
      <c r="DP370" s="18"/>
      <c r="DQ370" s="18"/>
      <c r="DR370" s="18"/>
      <c r="DS370" s="18"/>
      <c r="DT370" s="18"/>
      <c r="DU370" s="18"/>
      <c r="DV370" s="18"/>
      <c r="DW370" s="18"/>
      <c r="DX370" s="18"/>
      <c r="DY370" s="18"/>
      <c r="DZ370" s="18"/>
    </row>
    <row r="371" spans="1:130" x14ac:dyDescent="0.3">
      <c r="A371" s="18"/>
      <c r="B371" s="18"/>
      <c r="C371" s="18"/>
      <c r="D371" s="18"/>
      <c r="E371" s="18"/>
      <c r="F371" s="18"/>
      <c r="G371" s="18"/>
      <c r="H371" s="18"/>
      <c r="I371" s="18"/>
      <c r="J371" s="18"/>
      <c r="K371" s="18"/>
      <c r="L371" s="18"/>
      <c r="M371" s="18"/>
      <c r="N371" s="17"/>
      <c r="O371" s="17"/>
      <c r="P371" s="17"/>
      <c r="Q371" s="17"/>
      <c r="R371" s="17"/>
      <c r="S371" s="17"/>
      <c r="T371" s="17"/>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7"/>
      <c r="BT371" s="17"/>
      <c r="BU371" s="17"/>
      <c r="BV371" s="17"/>
      <c r="BW371" s="17"/>
      <c r="BX371" s="18"/>
      <c r="BY371" s="18"/>
      <c r="BZ371" s="18"/>
      <c r="CA371" s="18"/>
      <c r="CB371" s="17"/>
      <c r="CC371" s="17"/>
      <c r="CD371" s="17"/>
      <c r="CE371" s="18"/>
      <c r="CF371" s="18"/>
      <c r="CG371" s="18"/>
      <c r="CH371" s="18"/>
      <c r="CI371" s="18"/>
      <c r="CJ371" s="18"/>
      <c r="CK371" s="18"/>
      <c r="CL371" s="18"/>
      <c r="CM371" s="18"/>
      <c r="CN371" s="18"/>
      <c r="CO371" s="18"/>
      <c r="CP371" s="18"/>
      <c r="CQ371" s="18"/>
      <c r="CR371" s="18"/>
      <c r="CS371" s="18"/>
      <c r="CT371" s="18"/>
      <c r="CU371" s="18"/>
      <c r="CV371" s="18"/>
      <c r="CW371" s="18"/>
      <c r="CX371" s="18"/>
      <c r="CY371" s="37"/>
      <c r="CZ371" s="38"/>
      <c r="DA371" s="18"/>
      <c r="DB371" s="37"/>
      <c r="DC371" s="38"/>
      <c r="DD371" s="18"/>
      <c r="DE371" s="37"/>
      <c r="DF371" s="38"/>
      <c r="DG371" s="18"/>
      <c r="DH371" s="37"/>
      <c r="DI371" s="38"/>
      <c r="DJ371" s="18"/>
      <c r="DK371" s="37"/>
      <c r="DL371" s="38"/>
      <c r="DM371" s="18"/>
      <c r="DN371" s="18"/>
      <c r="DO371" s="18"/>
      <c r="DP371" s="18"/>
      <c r="DQ371" s="18"/>
      <c r="DR371" s="18"/>
      <c r="DS371" s="18"/>
      <c r="DT371" s="18"/>
      <c r="DU371" s="18"/>
      <c r="DV371" s="18"/>
      <c r="DW371" s="18"/>
      <c r="DX371" s="18"/>
      <c r="DY371" s="18"/>
      <c r="DZ371" s="18"/>
    </row>
    <row r="372" spans="1:130" x14ac:dyDescent="0.3">
      <c r="A372" s="18"/>
      <c r="B372" s="18"/>
      <c r="C372" s="18"/>
      <c r="D372" s="18"/>
      <c r="E372" s="18"/>
      <c r="F372" s="18"/>
      <c r="G372" s="18"/>
      <c r="H372" s="18"/>
      <c r="I372" s="18"/>
      <c r="J372" s="18"/>
      <c r="K372" s="18"/>
      <c r="L372" s="18"/>
      <c r="M372" s="18"/>
      <c r="N372" s="17"/>
      <c r="O372" s="17"/>
      <c r="P372" s="17"/>
      <c r="Q372" s="17"/>
      <c r="R372" s="17"/>
      <c r="S372" s="17"/>
      <c r="T372" s="17"/>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7"/>
      <c r="BT372" s="17"/>
      <c r="BU372" s="17"/>
      <c r="BV372" s="17"/>
      <c r="BW372" s="17"/>
      <c r="BX372" s="18"/>
      <c r="BY372" s="18"/>
      <c r="BZ372" s="18"/>
      <c r="CA372" s="18"/>
      <c r="CB372" s="17"/>
      <c r="CC372" s="17"/>
      <c r="CD372" s="17"/>
      <c r="CE372" s="18"/>
      <c r="CF372" s="18"/>
      <c r="CG372" s="18"/>
      <c r="CH372" s="18"/>
      <c r="CI372" s="18"/>
      <c r="CJ372" s="18"/>
      <c r="CK372" s="18"/>
      <c r="CL372" s="18"/>
      <c r="CM372" s="18"/>
      <c r="CN372" s="18"/>
      <c r="CO372" s="18"/>
      <c r="CP372" s="18"/>
      <c r="CQ372" s="18"/>
      <c r="CR372" s="18"/>
      <c r="CS372" s="18"/>
      <c r="CT372" s="18"/>
      <c r="CU372" s="18"/>
      <c r="CV372" s="18"/>
      <c r="CW372" s="18"/>
      <c r="CX372" s="18"/>
      <c r="CY372" s="37"/>
      <c r="CZ372" s="38"/>
      <c r="DA372" s="18"/>
      <c r="DB372" s="37"/>
      <c r="DC372" s="38"/>
      <c r="DD372" s="18"/>
      <c r="DE372" s="37"/>
      <c r="DF372" s="38"/>
      <c r="DG372" s="18"/>
      <c r="DH372" s="37"/>
      <c r="DI372" s="38"/>
      <c r="DJ372" s="18"/>
      <c r="DK372" s="37"/>
      <c r="DL372" s="38"/>
      <c r="DM372" s="18"/>
      <c r="DN372" s="18"/>
      <c r="DO372" s="18"/>
      <c r="DP372" s="18"/>
      <c r="DQ372" s="18"/>
      <c r="DR372" s="18"/>
      <c r="DS372" s="18"/>
      <c r="DT372" s="18"/>
      <c r="DU372" s="18"/>
      <c r="DV372" s="18"/>
      <c r="DW372" s="18"/>
      <c r="DX372" s="18"/>
      <c r="DY372" s="18"/>
      <c r="DZ372" s="18"/>
    </row>
    <row r="373" spans="1:130" x14ac:dyDescent="0.3">
      <c r="A373" s="18"/>
      <c r="B373" s="18"/>
      <c r="C373" s="18"/>
      <c r="D373" s="18"/>
      <c r="E373" s="18"/>
      <c r="F373" s="18"/>
      <c r="G373" s="18"/>
      <c r="H373" s="18"/>
      <c r="I373" s="18"/>
      <c r="J373" s="18"/>
      <c r="K373" s="18"/>
      <c r="L373" s="18"/>
      <c r="M373" s="18"/>
      <c r="N373" s="17"/>
      <c r="O373" s="17"/>
      <c r="P373" s="17"/>
      <c r="Q373" s="17"/>
      <c r="R373" s="17"/>
      <c r="S373" s="17"/>
      <c r="T373" s="17"/>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7"/>
      <c r="BT373" s="17"/>
      <c r="BU373" s="17"/>
      <c r="BV373" s="17"/>
      <c r="BW373" s="17"/>
      <c r="BX373" s="18"/>
      <c r="BY373" s="18"/>
      <c r="BZ373" s="18"/>
      <c r="CA373" s="18"/>
      <c r="CB373" s="17"/>
      <c r="CC373" s="17"/>
      <c r="CD373" s="17"/>
      <c r="CE373" s="18"/>
      <c r="CF373" s="18"/>
      <c r="CG373" s="18"/>
      <c r="CH373" s="18"/>
      <c r="CI373" s="18"/>
      <c r="CJ373" s="18"/>
      <c r="CK373" s="18"/>
      <c r="CL373" s="18"/>
      <c r="CM373" s="18"/>
      <c r="CN373" s="18"/>
      <c r="CO373" s="18"/>
      <c r="CP373" s="18"/>
      <c r="CQ373" s="18"/>
      <c r="CR373" s="18"/>
      <c r="CS373" s="18"/>
      <c r="CT373" s="18"/>
      <c r="CU373" s="18"/>
      <c r="CV373" s="18"/>
      <c r="CW373" s="18"/>
      <c r="CX373" s="18"/>
      <c r="CY373" s="37"/>
      <c r="CZ373" s="38"/>
      <c r="DA373" s="18"/>
      <c r="DB373" s="37"/>
      <c r="DC373" s="38"/>
      <c r="DD373" s="18"/>
      <c r="DE373" s="37"/>
      <c r="DF373" s="38"/>
      <c r="DG373" s="18"/>
      <c r="DH373" s="37"/>
      <c r="DI373" s="38"/>
      <c r="DJ373" s="18"/>
      <c r="DK373" s="37"/>
      <c r="DL373" s="38"/>
      <c r="DM373" s="18"/>
      <c r="DN373" s="18"/>
      <c r="DO373" s="18"/>
      <c r="DP373" s="18"/>
      <c r="DQ373" s="18"/>
      <c r="DR373" s="18"/>
      <c r="DS373" s="18"/>
      <c r="DT373" s="18"/>
      <c r="DU373" s="18"/>
      <c r="DV373" s="18"/>
      <c r="DW373" s="18"/>
      <c r="DX373" s="18"/>
      <c r="DY373" s="18"/>
      <c r="DZ373" s="18"/>
    </row>
    <row r="374" spans="1:130" x14ac:dyDescent="0.3">
      <c r="A374" s="18"/>
      <c r="B374" s="18"/>
      <c r="C374" s="18"/>
      <c r="D374" s="18"/>
      <c r="E374" s="18"/>
      <c r="F374" s="18"/>
      <c r="G374" s="18"/>
      <c r="H374" s="18"/>
      <c r="I374" s="18"/>
      <c r="J374" s="18"/>
      <c r="K374" s="18"/>
      <c r="L374" s="18"/>
      <c r="M374" s="18"/>
      <c r="N374" s="17"/>
      <c r="O374" s="17"/>
      <c r="P374" s="17"/>
      <c r="Q374" s="17"/>
      <c r="R374" s="17"/>
      <c r="S374" s="17"/>
      <c r="T374" s="17"/>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7"/>
      <c r="BT374" s="17"/>
      <c r="BU374" s="17"/>
      <c r="BV374" s="17"/>
      <c r="BW374" s="17"/>
      <c r="BX374" s="18"/>
      <c r="BY374" s="18"/>
      <c r="BZ374" s="18"/>
      <c r="CA374" s="18"/>
      <c r="CB374" s="17"/>
      <c r="CC374" s="17"/>
      <c r="CD374" s="17"/>
      <c r="CE374" s="18"/>
      <c r="CF374" s="18"/>
      <c r="CG374" s="18"/>
      <c r="CH374" s="18"/>
      <c r="CI374" s="18"/>
      <c r="CJ374" s="18"/>
      <c r="CK374" s="18"/>
      <c r="CL374" s="18"/>
      <c r="CM374" s="18"/>
      <c r="CN374" s="18"/>
      <c r="CO374" s="18"/>
      <c r="CP374" s="18"/>
      <c r="CQ374" s="18"/>
      <c r="CR374" s="18"/>
      <c r="CS374" s="18"/>
      <c r="CT374" s="18"/>
      <c r="CU374" s="18"/>
      <c r="CV374" s="18"/>
      <c r="CW374" s="18"/>
      <c r="CX374" s="18"/>
      <c r="CY374" s="37"/>
      <c r="CZ374" s="38"/>
      <c r="DA374" s="18"/>
      <c r="DB374" s="37"/>
      <c r="DC374" s="38"/>
      <c r="DD374" s="18"/>
      <c r="DE374" s="37"/>
      <c r="DF374" s="38"/>
      <c r="DG374" s="18"/>
      <c r="DH374" s="37"/>
      <c r="DI374" s="38"/>
      <c r="DJ374" s="18"/>
      <c r="DK374" s="37"/>
      <c r="DL374" s="38"/>
      <c r="DM374" s="18"/>
      <c r="DN374" s="18"/>
      <c r="DO374" s="18"/>
      <c r="DP374" s="18"/>
      <c r="DQ374" s="18"/>
      <c r="DR374" s="18"/>
      <c r="DS374" s="18"/>
      <c r="DT374" s="18"/>
      <c r="DU374" s="18"/>
      <c r="DV374" s="18"/>
      <c r="DW374" s="18"/>
      <c r="DX374" s="18"/>
      <c r="DY374" s="18"/>
      <c r="DZ374" s="18"/>
    </row>
    <row r="375" spans="1:130" x14ac:dyDescent="0.3">
      <c r="A375" s="18"/>
      <c r="B375" s="18"/>
      <c r="C375" s="18"/>
      <c r="D375" s="18"/>
      <c r="E375" s="18"/>
      <c r="F375" s="18"/>
      <c r="G375" s="18"/>
      <c r="H375" s="18"/>
      <c r="I375" s="18"/>
      <c r="J375" s="18"/>
      <c r="K375" s="18"/>
      <c r="L375" s="18"/>
      <c r="M375" s="18"/>
      <c r="N375" s="17"/>
      <c r="O375" s="17"/>
      <c r="P375" s="17"/>
      <c r="Q375" s="17"/>
      <c r="R375" s="17"/>
      <c r="S375" s="17"/>
      <c r="T375" s="17"/>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7"/>
      <c r="BT375" s="17"/>
      <c r="BU375" s="17"/>
      <c r="BV375" s="17"/>
      <c r="BW375" s="17"/>
      <c r="BX375" s="18"/>
      <c r="BY375" s="18"/>
      <c r="BZ375" s="18"/>
      <c r="CA375" s="18"/>
      <c r="CB375" s="17"/>
      <c r="CC375" s="17"/>
      <c r="CD375" s="17"/>
      <c r="CE375" s="18"/>
      <c r="CF375" s="18"/>
      <c r="CG375" s="18"/>
      <c r="CH375" s="18"/>
      <c r="CI375" s="18"/>
      <c r="CJ375" s="18"/>
      <c r="CK375" s="18"/>
      <c r="CL375" s="18"/>
      <c r="CM375" s="18"/>
      <c r="CN375" s="18"/>
      <c r="CO375" s="18"/>
      <c r="CP375" s="18"/>
      <c r="CQ375" s="18"/>
      <c r="CR375" s="18"/>
      <c r="CS375" s="18"/>
      <c r="CT375" s="18"/>
      <c r="CU375" s="18"/>
      <c r="CV375" s="18"/>
      <c r="CW375" s="18"/>
      <c r="CX375" s="18"/>
      <c r="CY375" s="37"/>
      <c r="CZ375" s="38"/>
      <c r="DA375" s="18"/>
      <c r="DB375" s="37"/>
      <c r="DC375" s="38"/>
      <c r="DD375" s="18"/>
      <c r="DE375" s="37"/>
      <c r="DF375" s="38"/>
      <c r="DG375" s="18"/>
      <c r="DH375" s="37"/>
      <c r="DI375" s="38"/>
      <c r="DJ375" s="18"/>
      <c r="DK375" s="37"/>
      <c r="DL375" s="38"/>
      <c r="DM375" s="18"/>
      <c r="DN375" s="18"/>
      <c r="DO375" s="18"/>
      <c r="DP375" s="18"/>
      <c r="DQ375" s="18"/>
      <c r="DR375" s="18"/>
      <c r="DS375" s="18"/>
      <c r="DT375" s="18"/>
      <c r="DU375" s="18"/>
      <c r="DV375" s="18"/>
      <c r="DW375" s="18"/>
      <c r="DX375" s="18"/>
      <c r="DY375" s="18"/>
      <c r="DZ375" s="18"/>
    </row>
    <row r="376" spans="1:130" x14ac:dyDescent="0.3">
      <c r="A376" s="18"/>
      <c r="B376" s="18"/>
      <c r="C376" s="18"/>
      <c r="D376" s="18"/>
      <c r="E376" s="18"/>
      <c r="F376" s="18"/>
      <c r="G376" s="18"/>
      <c r="H376" s="18"/>
      <c r="I376" s="18"/>
      <c r="J376" s="18"/>
      <c r="K376" s="18"/>
      <c r="L376" s="18"/>
      <c r="M376" s="18"/>
      <c r="N376" s="17"/>
      <c r="O376" s="17"/>
      <c r="P376" s="17"/>
      <c r="Q376" s="17"/>
      <c r="R376" s="17"/>
      <c r="S376" s="17"/>
      <c r="T376" s="17"/>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7"/>
      <c r="BT376" s="17"/>
      <c r="BU376" s="17"/>
      <c r="BV376" s="17"/>
      <c r="BW376" s="17"/>
      <c r="BX376" s="18"/>
      <c r="BY376" s="18"/>
      <c r="BZ376" s="18"/>
      <c r="CA376" s="18"/>
      <c r="CB376" s="17"/>
      <c r="CC376" s="17"/>
      <c r="CD376" s="17"/>
      <c r="CE376" s="18"/>
      <c r="CF376" s="18"/>
      <c r="CG376" s="18"/>
      <c r="CH376" s="18"/>
      <c r="CI376" s="18"/>
      <c r="CJ376" s="18"/>
      <c r="CK376" s="18"/>
      <c r="CL376" s="18"/>
      <c r="CM376" s="18"/>
      <c r="CN376" s="18"/>
      <c r="CO376" s="18"/>
      <c r="CP376" s="18"/>
      <c r="CQ376" s="18"/>
      <c r="CR376" s="18"/>
      <c r="CS376" s="18"/>
      <c r="CT376" s="18"/>
      <c r="CU376" s="18"/>
      <c r="CV376" s="18"/>
      <c r="CW376" s="18"/>
      <c r="CX376" s="18"/>
      <c r="CY376" s="37"/>
      <c r="CZ376" s="38"/>
      <c r="DA376" s="18"/>
      <c r="DB376" s="37"/>
      <c r="DC376" s="38"/>
      <c r="DD376" s="18"/>
      <c r="DE376" s="37"/>
      <c r="DF376" s="38"/>
      <c r="DG376" s="18"/>
      <c r="DH376" s="37"/>
      <c r="DI376" s="38"/>
      <c r="DJ376" s="18"/>
      <c r="DK376" s="37"/>
      <c r="DL376" s="38"/>
      <c r="DM376" s="18"/>
      <c r="DN376" s="18"/>
      <c r="DO376" s="18"/>
      <c r="DP376" s="18"/>
      <c r="DQ376" s="18"/>
      <c r="DR376" s="18"/>
      <c r="DS376" s="18"/>
      <c r="DT376" s="18"/>
      <c r="DU376" s="18"/>
      <c r="DV376" s="18"/>
      <c r="DW376" s="18"/>
      <c r="DX376" s="18"/>
      <c r="DY376" s="18"/>
      <c r="DZ376" s="18"/>
    </row>
    <row r="377" spans="1:130" x14ac:dyDescent="0.3">
      <c r="A377" s="18"/>
      <c r="B377" s="18"/>
      <c r="C377" s="18"/>
      <c r="D377" s="18"/>
      <c r="E377" s="18"/>
      <c r="F377" s="18"/>
      <c r="G377" s="18"/>
      <c r="H377" s="18"/>
      <c r="I377" s="18"/>
      <c r="J377" s="18"/>
      <c r="K377" s="18"/>
      <c r="L377" s="18"/>
      <c r="M377" s="18"/>
      <c r="N377" s="17"/>
      <c r="O377" s="17"/>
      <c r="P377" s="17"/>
      <c r="Q377" s="17"/>
      <c r="R377" s="17"/>
      <c r="S377" s="17"/>
      <c r="T377" s="17"/>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7"/>
      <c r="BT377" s="17"/>
      <c r="BU377" s="17"/>
      <c r="BV377" s="17"/>
      <c r="BW377" s="17"/>
      <c r="BX377" s="18"/>
      <c r="BY377" s="18"/>
      <c r="BZ377" s="18"/>
      <c r="CA377" s="18"/>
      <c r="CB377" s="17"/>
      <c r="CC377" s="17"/>
      <c r="CD377" s="17"/>
      <c r="CE377" s="18"/>
      <c r="CF377" s="18"/>
      <c r="CG377" s="18"/>
      <c r="CH377" s="18"/>
      <c r="CI377" s="18"/>
      <c r="CJ377" s="18"/>
      <c r="CK377" s="18"/>
      <c r="CL377" s="18"/>
      <c r="CM377" s="18"/>
      <c r="CN377" s="18"/>
      <c r="CO377" s="18"/>
      <c r="CP377" s="18"/>
      <c r="CQ377" s="18"/>
      <c r="CR377" s="18"/>
      <c r="CS377" s="18"/>
      <c r="CT377" s="18"/>
      <c r="CU377" s="18"/>
      <c r="CV377" s="18"/>
      <c r="CW377" s="18"/>
      <c r="CX377" s="18"/>
      <c r="CY377" s="37"/>
      <c r="CZ377" s="38"/>
      <c r="DA377" s="18"/>
      <c r="DB377" s="37"/>
      <c r="DC377" s="38"/>
      <c r="DD377" s="18"/>
      <c r="DE377" s="37"/>
      <c r="DF377" s="38"/>
      <c r="DG377" s="18"/>
      <c r="DH377" s="37"/>
      <c r="DI377" s="38"/>
      <c r="DJ377" s="18"/>
      <c r="DK377" s="37"/>
      <c r="DL377" s="38"/>
      <c r="DM377" s="18"/>
      <c r="DN377" s="18"/>
      <c r="DO377" s="18"/>
      <c r="DP377" s="18"/>
      <c r="DQ377" s="18"/>
      <c r="DR377" s="18"/>
      <c r="DS377" s="18"/>
      <c r="DT377" s="18"/>
      <c r="DU377" s="18"/>
      <c r="DV377" s="18"/>
      <c r="DW377" s="18"/>
      <c r="DX377" s="18"/>
      <c r="DY377" s="18"/>
      <c r="DZ377" s="18"/>
    </row>
    <row r="378" spans="1:130" x14ac:dyDescent="0.3">
      <c r="A378" s="18"/>
      <c r="B378" s="18"/>
      <c r="C378" s="18"/>
      <c r="D378" s="18"/>
      <c r="E378" s="18"/>
      <c r="F378" s="18"/>
      <c r="G378" s="18"/>
      <c r="H378" s="18"/>
      <c r="I378" s="18"/>
      <c r="J378" s="18"/>
      <c r="K378" s="18"/>
      <c r="L378" s="18"/>
      <c r="M378" s="18"/>
      <c r="N378" s="17"/>
      <c r="O378" s="17"/>
      <c r="P378" s="17"/>
      <c r="Q378" s="17"/>
      <c r="R378" s="17"/>
      <c r="S378" s="17"/>
      <c r="T378" s="17"/>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7"/>
      <c r="BT378" s="17"/>
      <c r="BU378" s="17"/>
      <c r="BV378" s="17"/>
      <c r="BW378" s="17"/>
      <c r="BX378" s="18"/>
      <c r="BY378" s="18"/>
      <c r="BZ378" s="18"/>
      <c r="CA378" s="18"/>
      <c r="CB378" s="17"/>
      <c r="CC378" s="17"/>
      <c r="CD378" s="17"/>
      <c r="CE378" s="18"/>
      <c r="CF378" s="18"/>
      <c r="CG378" s="18"/>
      <c r="CH378" s="18"/>
      <c r="CI378" s="18"/>
      <c r="CJ378" s="18"/>
      <c r="CK378" s="18"/>
      <c r="CL378" s="18"/>
      <c r="CM378" s="18"/>
      <c r="CN378" s="18"/>
      <c r="CO378" s="18"/>
      <c r="CP378" s="18"/>
      <c r="CQ378" s="18"/>
      <c r="CR378" s="18"/>
      <c r="CS378" s="18"/>
      <c r="CT378" s="18"/>
      <c r="CU378" s="18"/>
      <c r="CV378" s="18"/>
      <c r="CW378" s="18"/>
      <c r="CX378" s="18"/>
      <c r="CY378" s="37"/>
      <c r="CZ378" s="38"/>
      <c r="DA378" s="18"/>
      <c r="DB378" s="37"/>
      <c r="DC378" s="38"/>
      <c r="DD378" s="18"/>
      <c r="DE378" s="37"/>
      <c r="DF378" s="38"/>
      <c r="DG378" s="18"/>
      <c r="DH378" s="37"/>
      <c r="DI378" s="38"/>
      <c r="DJ378" s="18"/>
      <c r="DK378" s="37"/>
      <c r="DL378" s="38"/>
      <c r="DM378" s="18"/>
      <c r="DN378" s="18"/>
      <c r="DO378" s="18"/>
      <c r="DP378" s="18"/>
      <c r="DQ378" s="18"/>
      <c r="DR378" s="18"/>
      <c r="DS378" s="18"/>
      <c r="DT378" s="18"/>
      <c r="DU378" s="18"/>
      <c r="DV378" s="18"/>
      <c r="DW378" s="18"/>
      <c r="DX378" s="18"/>
      <c r="DY378" s="18"/>
      <c r="DZ378" s="18"/>
    </row>
    <row r="379" spans="1:130" x14ac:dyDescent="0.3">
      <c r="A379" s="18"/>
      <c r="B379" s="18"/>
      <c r="C379" s="18"/>
      <c r="D379" s="18"/>
      <c r="E379" s="18"/>
      <c r="F379" s="18"/>
      <c r="G379" s="18"/>
      <c r="H379" s="18"/>
      <c r="I379" s="18"/>
      <c r="J379" s="18"/>
      <c r="K379" s="18"/>
      <c r="L379" s="18"/>
      <c r="M379" s="18"/>
      <c r="N379" s="17"/>
      <c r="O379" s="17"/>
      <c r="P379" s="17"/>
      <c r="Q379" s="17"/>
      <c r="R379" s="17"/>
      <c r="S379" s="17"/>
      <c r="T379" s="17"/>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7"/>
      <c r="BT379" s="17"/>
      <c r="BU379" s="17"/>
      <c r="BV379" s="17"/>
      <c r="BW379" s="17"/>
      <c r="BX379" s="18"/>
      <c r="BY379" s="18"/>
      <c r="BZ379" s="18"/>
      <c r="CA379" s="18"/>
      <c r="CB379" s="17"/>
      <c r="CC379" s="17"/>
      <c r="CD379" s="17"/>
      <c r="CE379" s="18"/>
      <c r="CF379" s="18"/>
      <c r="CG379" s="18"/>
      <c r="CH379" s="18"/>
      <c r="CI379" s="18"/>
      <c r="CJ379" s="18"/>
      <c r="CK379" s="18"/>
      <c r="CL379" s="18"/>
      <c r="CM379" s="18"/>
      <c r="CN379" s="18"/>
      <c r="CO379" s="18"/>
      <c r="CP379" s="18"/>
      <c r="CQ379" s="18"/>
      <c r="CR379" s="18"/>
      <c r="CS379" s="18"/>
      <c r="CT379" s="18"/>
      <c r="CU379" s="18"/>
      <c r="CV379" s="18"/>
      <c r="CW379" s="18"/>
      <c r="CX379" s="18"/>
      <c r="CY379" s="37"/>
      <c r="CZ379" s="38"/>
      <c r="DA379" s="18"/>
      <c r="DB379" s="37"/>
      <c r="DC379" s="38"/>
      <c r="DD379" s="18"/>
      <c r="DE379" s="37"/>
      <c r="DF379" s="38"/>
      <c r="DG379" s="18"/>
      <c r="DH379" s="37"/>
      <c r="DI379" s="38"/>
      <c r="DJ379" s="18"/>
      <c r="DK379" s="37"/>
      <c r="DL379" s="38"/>
      <c r="DM379" s="18"/>
      <c r="DN379" s="18"/>
      <c r="DO379" s="18"/>
      <c r="DP379" s="18"/>
      <c r="DQ379" s="18"/>
      <c r="DR379" s="18"/>
      <c r="DS379" s="18"/>
      <c r="DT379" s="18"/>
      <c r="DU379" s="18"/>
      <c r="DV379" s="18"/>
      <c r="DW379" s="18"/>
      <c r="DX379" s="18"/>
      <c r="DY379" s="18"/>
      <c r="DZ379" s="18"/>
    </row>
    <row r="380" spans="1:130" x14ac:dyDescent="0.3">
      <c r="A380" s="18"/>
      <c r="B380" s="18"/>
      <c r="C380" s="18"/>
      <c r="D380" s="18"/>
      <c r="E380" s="18"/>
      <c r="F380" s="18"/>
      <c r="G380" s="18"/>
      <c r="H380" s="18"/>
      <c r="I380" s="18"/>
      <c r="J380" s="18"/>
      <c r="K380" s="18"/>
      <c r="L380" s="18"/>
      <c r="M380" s="18"/>
      <c r="N380" s="17"/>
      <c r="O380" s="17"/>
      <c r="P380" s="17"/>
      <c r="Q380" s="17"/>
      <c r="R380" s="17"/>
      <c r="S380" s="17"/>
      <c r="T380" s="17"/>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7"/>
      <c r="BT380" s="17"/>
      <c r="BU380" s="17"/>
      <c r="BV380" s="17"/>
      <c r="BW380" s="17"/>
      <c r="BX380" s="18"/>
      <c r="BY380" s="18"/>
      <c r="BZ380" s="18"/>
      <c r="CA380" s="18"/>
      <c r="CB380" s="17"/>
      <c r="CC380" s="17"/>
      <c r="CD380" s="17"/>
      <c r="CE380" s="18"/>
      <c r="CF380" s="18"/>
      <c r="CG380" s="18"/>
      <c r="CH380" s="18"/>
      <c r="CI380" s="18"/>
      <c r="CJ380" s="18"/>
      <c r="CK380" s="18"/>
      <c r="CL380" s="18"/>
      <c r="CM380" s="18"/>
      <c r="CN380" s="18"/>
      <c r="CO380" s="18"/>
      <c r="CP380" s="18"/>
      <c r="CQ380" s="18"/>
      <c r="CR380" s="18"/>
      <c r="CS380" s="18"/>
      <c r="CT380" s="18"/>
      <c r="CU380" s="18"/>
      <c r="CV380" s="18"/>
      <c r="CW380" s="18"/>
      <c r="CX380" s="18"/>
      <c r="CY380" s="37"/>
      <c r="CZ380" s="38"/>
      <c r="DA380" s="18"/>
      <c r="DB380" s="37"/>
      <c r="DC380" s="38"/>
      <c r="DD380" s="18"/>
      <c r="DE380" s="37"/>
      <c r="DF380" s="38"/>
      <c r="DG380" s="18"/>
      <c r="DH380" s="37"/>
      <c r="DI380" s="38"/>
      <c r="DJ380" s="18"/>
      <c r="DK380" s="37"/>
      <c r="DL380" s="38"/>
      <c r="DM380" s="18"/>
      <c r="DN380" s="18"/>
      <c r="DO380" s="18"/>
      <c r="DP380" s="18"/>
      <c r="DQ380" s="18"/>
      <c r="DR380" s="18"/>
      <c r="DS380" s="18"/>
      <c r="DT380" s="18"/>
      <c r="DU380" s="18"/>
      <c r="DV380" s="18"/>
      <c r="DW380" s="18"/>
      <c r="DX380" s="18"/>
      <c r="DY380" s="18"/>
      <c r="DZ380" s="18"/>
    </row>
    <row r="381" spans="1:130" x14ac:dyDescent="0.3">
      <c r="A381" s="18"/>
      <c r="B381" s="18"/>
      <c r="C381" s="18"/>
      <c r="D381" s="18"/>
      <c r="E381" s="18"/>
      <c r="F381" s="18"/>
      <c r="G381" s="18"/>
      <c r="H381" s="18"/>
      <c r="I381" s="18"/>
      <c r="J381" s="18"/>
      <c r="K381" s="18"/>
      <c r="L381" s="18"/>
      <c r="M381" s="18"/>
      <c r="N381" s="17"/>
      <c r="O381" s="17"/>
      <c r="P381" s="17"/>
      <c r="Q381" s="17"/>
      <c r="R381" s="17"/>
      <c r="S381" s="17"/>
      <c r="T381" s="17"/>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7"/>
      <c r="BT381" s="17"/>
      <c r="BU381" s="17"/>
      <c r="BV381" s="17"/>
      <c r="BW381" s="17"/>
      <c r="BX381" s="18"/>
      <c r="BY381" s="18"/>
      <c r="BZ381" s="18"/>
      <c r="CA381" s="18"/>
      <c r="CB381" s="17"/>
      <c r="CC381" s="17"/>
      <c r="CD381" s="17"/>
      <c r="CE381" s="18"/>
      <c r="CF381" s="18"/>
      <c r="CG381" s="18"/>
      <c r="CH381" s="18"/>
      <c r="CI381" s="18"/>
      <c r="CJ381" s="18"/>
      <c r="CK381" s="18"/>
      <c r="CL381" s="18"/>
      <c r="CM381" s="18"/>
      <c r="CN381" s="18"/>
      <c r="CO381" s="18"/>
      <c r="CP381" s="18"/>
      <c r="CQ381" s="18"/>
      <c r="CR381" s="18"/>
      <c r="CS381" s="18"/>
      <c r="CT381" s="18"/>
      <c r="CU381" s="18"/>
      <c r="CV381" s="18"/>
      <c r="CW381" s="18"/>
      <c r="CX381" s="18"/>
      <c r="CY381" s="37"/>
      <c r="CZ381" s="38"/>
      <c r="DA381" s="18"/>
      <c r="DB381" s="37"/>
      <c r="DC381" s="38"/>
      <c r="DD381" s="18"/>
      <c r="DE381" s="37"/>
      <c r="DF381" s="38"/>
      <c r="DG381" s="18"/>
      <c r="DH381" s="37"/>
      <c r="DI381" s="38"/>
      <c r="DJ381" s="18"/>
      <c r="DK381" s="37"/>
      <c r="DL381" s="38"/>
      <c r="DM381" s="18"/>
      <c r="DN381" s="18"/>
      <c r="DO381" s="18"/>
      <c r="DP381" s="18"/>
      <c r="DQ381" s="18"/>
      <c r="DR381" s="18"/>
      <c r="DS381" s="18"/>
      <c r="DT381" s="18"/>
      <c r="DU381" s="18"/>
      <c r="DV381" s="18"/>
      <c r="DW381" s="18"/>
      <c r="DX381" s="18"/>
      <c r="DY381" s="18"/>
      <c r="DZ381" s="18"/>
    </row>
    <row r="382" spans="1:130" x14ac:dyDescent="0.3">
      <c r="A382" s="18"/>
      <c r="B382" s="18"/>
      <c r="C382" s="18"/>
      <c r="D382" s="18"/>
      <c r="E382" s="18"/>
      <c r="F382" s="18"/>
      <c r="G382" s="18"/>
      <c r="H382" s="18"/>
      <c r="I382" s="18"/>
      <c r="J382" s="18"/>
      <c r="K382" s="18"/>
      <c r="L382" s="18"/>
      <c r="M382" s="18"/>
      <c r="N382" s="17"/>
      <c r="O382" s="17"/>
      <c r="P382" s="17"/>
      <c r="Q382" s="17"/>
      <c r="R382" s="17"/>
      <c r="S382" s="17"/>
      <c r="T382" s="17"/>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7"/>
      <c r="BT382" s="17"/>
      <c r="BU382" s="17"/>
      <c r="BV382" s="17"/>
      <c r="BW382" s="17"/>
      <c r="BX382" s="18"/>
      <c r="BY382" s="18"/>
      <c r="BZ382" s="18"/>
      <c r="CA382" s="18"/>
      <c r="CB382" s="17"/>
      <c r="CC382" s="17"/>
      <c r="CD382" s="17"/>
      <c r="CE382" s="18"/>
      <c r="CF382" s="18"/>
      <c r="CG382" s="18"/>
      <c r="CH382" s="18"/>
      <c r="CI382" s="18"/>
      <c r="CJ382" s="18"/>
      <c r="CK382" s="18"/>
      <c r="CL382" s="18"/>
      <c r="CM382" s="18"/>
      <c r="CN382" s="18"/>
      <c r="CO382" s="18"/>
      <c r="CP382" s="18"/>
      <c r="CQ382" s="18"/>
      <c r="CR382" s="18"/>
      <c r="CS382" s="18"/>
      <c r="CT382" s="18"/>
      <c r="CU382" s="18"/>
      <c r="CV382" s="18"/>
      <c r="CW382" s="18"/>
      <c r="CX382" s="18"/>
      <c r="CY382" s="37"/>
      <c r="CZ382" s="38"/>
      <c r="DA382" s="18"/>
      <c r="DB382" s="37"/>
      <c r="DC382" s="38"/>
      <c r="DD382" s="18"/>
      <c r="DE382" s="37"/>
      <c r="DF382" s="38"/>
      <c r="DG382" s="18"/>
      <c r="DH382" s="37"/>
      <c r="DI382" s="38"/>
      <c r="DJ382" s="18"/>
      <c r="DK382" s="37"/>
      <c r="DL382" s="38"/>
      <c r="DM382" s="18"/>
      <c r="DN382" s="18"/>
      <c r="DO382" s="18"/>
      <c r="DP382" s="18"/>
      <c r="DQ382" s="18"/>
      <c r="DR382" s="18"/>
      <c r="DS382" s="18"/>
      <c r="DT382" s="18"/>
      <c r="DU382" s="18"/>
      <c r="DV382" s="18"/>
      <c r="DW382" s="18"/>
      <c r="DX382" s="18"/>
      <c r="DY382" s="18"/>
      <c r="DZ382" s="18"/>
    </row>
    <row r="383" spans="1:130" x14ac:dyDescent="0.3">
      <c r="A383" s="18"/>
      <c r="B383" s="18"/>
      <c r="C383" s="18"/>
      <c r="D383" s="18"/>
      <c r="E383" s="18"/>
      <c r="F383" s="18"/>
      <c r="G383" s="18"/>
      <c r="H383" s="18"/>
      <c r="I383" s="18"/>
      <c r="J383" s="18"/>
      <c r="K383" s="18"/>
      <c r="L383" s="18"/>
      <c r="M383" s="18"/>
      <c r="N383" s="17"/>
      <c r="O383" s="17"/>
      <c r="P383" s="17"/>
      <c r="Q383" s="17"/>
      <c r="R383" s="17"/>
      <c r="S383" s="17"/>
      <c r="T383" s="17"/>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7"/>
      <c r="BT383" s="17"/>
      <c r="BU383" s="17"/>
      <c r="BV383" s="17"/>
      <c r="BW383" s="17"/>
      <c r="BX383" s="18"/>
      <c r="BY383" s="18"/>
      <c r="BZ383" s="18"/>
      <c r="CA383" s="18"/>
      <c r="CB383" s="17"/>
      <c r="CC383" s="17"/>
      <c r="CD383" s="17"/>
      <c r="CE383" s="18"/>
      <c r="CF383" s="18"/>
      <c r="CG383" s="18"/>
      <c r="CH383" s="18"/>
      <c r="CI383" s="18"/>
      <c r="CJ383" s="18"/>
      <c r="CK383" s="18"/>
      <c r="CL383" s="18"/>
      <c r="CM383" s="18"/>
      <c r="CN383" s="18"/>
      <c r="CO383" s="18"/>
      <c r="CP383" s="18"/>
      <c r="CQ383" s="18"/>
      <c r="CR383" s="18"/>
      <c r="CS383" s="18"/>
      <c r="CT383" s="18"/>
      <c r="CU383" s="18"/>
      <c r="CV383" s="18"/>
      <c r="CW383" s="18"/>
      <c r="CX383" s="18"/>
      <c r="CY383" s="37"/>
      <c r="CZ383" s="38"/>
      <c r="DA383" s="18"/>
      <c r="DB383" s="37"/>
      <c r="DC383" s="38"/>
      <c r="DD383" s="18"/>
      <c r="DE383" s="37"/>
      <c r="DF383" s="38"/>
      <c r="DG383" s="18"/>
      <c r="DH383" s="37"/>
      <c r="DI383" s="38"/>
      <c r="DJ383" s="18"/>
      <c r="DK383" s="37"/>
      <c r="DL383" s="38"/>
      <c r="DM383" s="18"/>
      <c r="DN383" s="18"/>
      <c r="DO383" s="18"/>
      <c r="DP383" s="18"/>
      <c r="DQ383" s="18"/>
      <c r="DR383" s="18"/>
      <c r="DS383" s="18"/>
      <c r="DT383" s="18"/>
      <c r="DU383" s="18"/>
      <c r="DV383" s="18"/>
      <c r="DW383" s="18"/>
      <c r="DX383" s="18"/>
      <c r="DY383" s="18"/>
      <c r="DZ383" s="18"/>
    </row>
    <row r="384" spans="1:130" x14ac:dyDescent="0.3">
      <c r="A384" s="18"/>
      <c r="B384" s="18"/>
      <c r="C384" s="18"/>
      <c r="D384" s="18"/>
      <c r="E384" s="18"/>
      <c r="F384" s="18"/>
      <c r="G384" s="18"/>
      <c r="H384" s="18"/>
      <c r="I384" s="18"/>
      <c r="J384" s="18"/>
      <c r="K384" s="18"/>
      <c r="L384" s="18"/>
      <c r="M384" s="18"/>
      <c r="N384" s="17"/>
      <c r="O384" s="17"/>
      <c r="P384" s="17"/>
      <c r="Q384" s="17"/>
      <c r="R384" s="17"/>
      <c r="S384" s="17"/>
      <c r="T384" s="17"/>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7"/>
      <c r="BT384" s="17"/>
      <c r="BU384" s="17"/>
      <c r="BV384" s="17"/>
      <c r="BW384" s="17"/>
      <c r="BX384" s="18"/>
      <c r="BY384" s="18"/>
      <c r="BZ384" s="18"/>
      <c r="CA384" s="18"/>
      <c r="CB384" s="17"/>
      <c r="CC384" s="17"/>
      <c r="CD384" s="17"/>
      <c r="CE384" s="18"/>
      <c r="CF384" s="18"/>
      <c r="CG384" s="18"/>
      <c r="CH384" s="18"/>
      <c r="CI384" s="18"/>
      <c r="CJ384" s="18"/>
      <c r="CK384" s="18"/>
      <c r="CL384" s="18"/>
      <c r="CM384" s="18"/>
      <c r="CN384" s="18"/>
      <c r="CO384" s="18"/>
      <c r="CP384" s="18"/>
      <c r="CQ384" s="18"/>
      <c r="CR384" s="18"/>
      <c r="CS384" s="18"/>
      <c r="CT384" s="18"/>
      <c r="CU384" s="18"/>
      <c r="CV384" s="18"/>
      <c r="CW384" s="18"/>
      <c r="CX384" s="18"/>
      <c r="CY384" s="37"/>
      <c r="CZ384" s="38"/>
      <c r="DA384" s="18"/>
      <c r="DB384" s="37"/>
      <c r="DC384" s="38"/>
      <c r="DD384" s="18"/>
      <c r="DE384" s="37"/>
      <c r="DF384" s="38"/>
      <c r="DG384" s="18"/>
      <c r="DH384" s="37"/>
      <c r="DI384" s="38"/>
      <c r="DJ384" s="18"/>
      <c r="DK384" s="37"/>
      <c r="DL384" s="38"/>
      <c r="DM384" s="18"/>
      <c r="DN384" s="18"/>
      <c r="DO384" s="18"/>
      <c r="DP384" s="18"/>
      <c r="DQ384" s="18"/>
      <c r="DR384" s="18"/>
      <c r="DS384" s="18"/>
      <c r="DT384" s="18"/>
      <c r="DU384" s="18"/>
      <c r="DV384" s="18"/>
      <c r="DW384" s="18"/>
      <c r="DX384" s="18"/>
      <c r="DY384" s="18"/>
      <c r="DZ384" s="18"/>
    </row>
    <row r="385" spans="1:130" x14ac:dyDescent="0.3">
      <c r="A385" s="18"/>
      <c r="B385" s="18"/>
      <c r="C385" s="18"/>
      <c r="D385" s="18"/>
      <c r="E385" s="18"/>
      <c r="F385" s="18"/>
      <c r="G385" s="18"/>
      <c r="H385" s="18"/>
      <c r="I385" s="18"/>
      <c r="J385" s="18"/>
      <c r="K385" s="18"/>
      <c r="L385" s="18"/>
      <c r="M385" s="18"/>
      <c r="N385" s="17"/>
      <c r="O385" s="17"/>
      <c r="P385" s="17"/>
      <c r="Q385" s="17"/>
      <c r="R385" s="17"/>
      <c r="S385" s="17"/>
      <c r="T385" s="17"/>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7"/>
      <c r="BT385" s="17"/>
      <c r="BU385" s="17"/>
      <c r="BV385" s="17"/>
      <c r="BW385" s="17"/>
      <c r="BX385" s="18"/>
      <c r="BY385" s="18"/>
      <c r="BZ385" s="18"/>
      <c r="CA385" s="18"/>
      <c r="CB385" s="17"/>
      <c r="CC385" s="17"/>
      <c r="CD385" s="17"/>
      <c r="CE385" s="18"/>
      <c r="CF385" s="18"/>
      <c r="CG385" s="18"/>
      <c r="CH385" s="18"/>
      <c r="CI385" s="18"/>
      <c r="CJ385" s="18"/>
      <c r="CK385" s="18"/>
      <c r="CL385" s="18"/>
      <c r="CM385" s="18"/>
      <c r="CN385" s="18"/>
      <c r="CO385" s="18"/>
      <c r="CP385" s="18"/>
      <c r="CQ385" s="18"/>
      <c r="CR385" s="18"/>
      <c r="CS385" s="18"/>
      <c r="CT385" s="18"/>
      <c r="CU385" s="18"/>
      <c r="CV385" s="18"/>
      <c r="CW385" s="18"/>
      <c r="CX385" s="18"/>
      <c r="CY385" s="37"/>
      <c r="CZ385" s="38"/>
      <c r="DA385" s="18"/>
      <c r="DB385" s="37"/>
      <c r="DC385" s="38"/>
      <c r="DD385" s="18"/>
      <c r="DE385" s="37"/>
      <c r="DF385" s="38"/>
      <c r="DG385" s="18"/>
      <c r="DH385" s="37"/>
      <c r="DI385" s="38"/>
      <c r="DJ385" s="18"/>
      <c r="DK385" s="37"/>
      <c r="DL385" s="38"/>
      <c r="DM385" s="18"/>
      <c r="DN385" s="18"/>
      <c r="DO385" s="18"/>
      <c r="DP385" s="18"/>
      <c r="DQ385" s="18"/>
      <c r="DR385" s="18"/>
      <c r="DS385" s="18"/>
      <c r="DT385" s="18"/>
      <c r="DU385" s="18"/>
      <c r="DV385" s="18"/>
      <c r="DW385" s="18"/>
      <c r="DX385" s="18"/>
      <c r="DY385" s="18"/>
      <c r="DZ385" s="18"/>
    </row>
    <row r="386" spans="1:130" x14ac:dyDescent="0.3">
      <c r="A386" s="18"/>
      <c r="B386" s="18"/>
      <c r="C386" s="18"/>
      <c r="D386" s="18"/>
      <c r="E386" s="18"/>
      <c r="F386" s="18"/>
      <c r="G386" s="18"/>
      <c r="H386" s="18"/>
      <c r="I386" s="18"/>
      <c r="J386" s="18"/>
      <c r="K386" s="18"/>
      <c r="L386" s="18"/>
      <c r="M386" s="18"/>
      <c r="N386" s="17"/>
      <c r="O386" s="17"/>
      <c r="P386" s="17"/>
      <c r="Q386" s="17"/>
      <c r="R386" s="17"/>
      <c r="S386" s="17"/>
      <c r="T386" s="17"/>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7"/>
      <c r="BT386" s="17"/>
      <c r="BU386" s="17"/>
      <c r="BV386" s="17"/>
      <c r="BW386" s="17"/>
      <c r="BX386" s="18"/>
      <c r="BY386" s="18"/>
      <c r="BZ386" s="18"/>
      <c r="CA386" s="18"/>
      <c r="CB386" s="17"/>
      <c r="CC386" s="17"/>
      <c r="CD386" s="17"/>
      <c r="CE386" s="18"/>
      <c r="CF386" s="18"/>
      <c r="CG386" s="18"/>
      <c r="CH386" s="18"/>
      <c r="CI386" s="18"/>
      <c r="CJ386" s="18"/>
      <c r="CK386" s="18"/>
      <c r="CL386" s="18"/>
      <c r="CM386" s="18"/>
      <c r="CN386" s="18"/>
      <c r="CO386" s="18"/>
      <c r="CP386" s="18"/>
      <c r="CQ386" s="18"/>
      <c r="CR386" s="18"/>
      <c r="CS386" s="18"/>
      <c r="CT386" s="18"/>
      <c r="CU386" s="18"/>
      <c r="CV386" s="18"/>
      <c r="CW386" s="18"/>
      <c r="CX386" s="18"/>
      <c r="CY386" s="37"/>
      <c r="CZ386" s="38"/>
      <c r="DA386" s="18"/>
      <c r="DB386" s="37"/>
      <c r="DC386" s="38"/>
      <c r="DD386" s="18"/>
      <c r="DE386" s="37"/>
      <c r="DF386" s="38"/>
      <c r="DG386" s="18"/>
      <c r="DH386" s="37"/>
      <c r="DI386" s="38"/>
      <c r="DJ386" s="18"/>
      <c r="DK386" s="37"/>
      <c r="DL386" s="38"/>
      <c r="DM386" s="18"/>
      <c r="DN386" s="18"/>
      <c r="DO386" s="18"/>
      <c r="DP386" s="18"/>
      <c r="DQ386" s="18"/>
      <c r="DR386" s="18"/>
      <c r="DS386" s="18"/>
      <c r="DT386" s="18"/>
      <c r="DU386" s="18"/>
      <c r="DV386" s="18"/>
      <c r="DW386" s="18"/>
      <c r="DX386" s="18"/>
      <c r="DY386" s="18"/>
      <c r="DZ386" s="18"/>
    </row>
    <row r="387" spans="1:130" x14ac:dyDescent="0.3">
      <c r="A387" s="18"/>
      <c r="B387" s="18"/>
      <c r="C387" s="18"/>
      <c r="D387" s="18"/>
      <c r="E387" s="18"/>
      <c r="F387" s="18"/>
      <c r="G387" s="18"/>
      <c r="H387" s="18"/>
      <c r="I387" s="18"/>
      <c r="J387" s="18"/>
      <c r="K387" s="18"/>
      <c r="L387" s="18"/>
      <c r="M387" s="18"/>
      <c r="N387" s="17"/>
      <c r="O387" s="17"/>
      <c r="P387" s="17"/>
      <c r="Q387" s="17"/>
      <c r="R387" s="17"/>
      <c r="S387" s="17"/>
      <c r="T387" s="17"/>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7"/>
      <c r="BT387" s="17"/>
      <c r="BU387" s="17"/>
      <c r="BV387" s="17"/>
      <c r="BW387" s="17"/>
      <c r="BX387" s="18"/>
      <c r="BY387" s="18"/>
      <c r="BZ387" s="18"/>
      <c r="CA387" s="18"/>
      <c r="CB387" s="17"/>
      <c r="CC387" s="17"/>
      <c r="CD387" s="17"/>
      <c r="CE387" s="18"/>
      <c r="CF387" s="18"/>
      <c r="CG387" s="18"/>
      <c r="CH387" s="18"/>
      <c r="CI387" s="18"/>
      <c r="CJ387" s="18"/>
      <c r="CK387" s="18"/>
      <c r="CL387" s="18"/>
      <c r="CM387" s="18"/>
      <c r="CN387" s="18"/>
      <c r="CO387" s="18"/>
      <c r="CP387" s="18"/>
      <c r="CQ387" s="18"/>
      <c r="CR387" s="18"/>
      <c r="CS387" s="18"/>
      <c r="CT387" s="18"/>
      <c r="CU387" s="18"/>
      <c r="CV387" s="18"/>
      <c r="CW387" s="18"/>
      <c r="CX387" s="18"/>
      <c r="CY387" s="37"/>
      <c r="CZ387" s="38"/>
      <c r="DA387" s="18"/>
      <c r="DB387" s="37"/>
      <c r="DC387" s="38"/>
      <c r="DD387" s="18"/>
      <c r="DE387" s="37"/>
      <c r="DF387" s="38"/>
      <c r="DG387" s="18"/>
      <c r="DH387" s="37"/>
      <c r="DI387" s="38"/>
      <c r="DJ387" s="18"/>
      <c r="DK387" s="37"/>
      <c r="DL387" s="38"/>
      <c r="DM387" s="18"/>
      <c r="DN387" s="18"/>
      <c r="DO387" s="18"/>
      <c r="DP387" s="18"/>
      <c r="DQ387" s="18"/>
      <c r="DR387" s="18"/>
      <c r="DS387" s="18"/>
      <c r="DT387" s="18"/>
      <c r="DU387" s="18"/>
      <c r="DV387" s="18"/>
      <c r="DW387" s="18"/>
      <c r="DX387" s="18"/>
      <c r="DY387" s="18"/>
      <c r="DZ387" s="18"/>
    </row>
    <row r="388" spans="1:130" x14ac:dyDescent="0.3">
      <c r="A388" s="18"/>
      <c r="B388" s="18"/>
      <c r="C388" s="18"/>
      <c r="D388" s="18"/>
      <c r="E388" s="18"/>
      <c r="F388" s="18"/>
      <c r="G388" s="18"/>
      <c r="H388" s="18"/>
      <c r="I388" s="18"/>
      <c r="J388" s="18"/>
      <c r="K388" s="18"/>
      <c r="L388" s="18"/>
      <c r="M388" s="18"/>
      <c r="N388" s="17"/>
      <c r="O388" s="17"/>
      <c r="P388" s="17"/>
      <c r="Q388" s="17"/>
      <c r="R388" s="17"/>
      <c r="S388" s="17"/>
      <c r="T388" s="17"/>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7"/>
      <c r="BT388" s="17"/>
      <c r="BU388" s="17"/>
      <c r="BV388" s="17"/>
      <c r="BW388" s="17"/>
      <c r="BX388" s="18"/>
      <c r="BY388" s="18"/>
      <c r="BZ388" s="18"/>
      <c r="CA388" s="18"/>
      <c r="CB388" s="17"/>
      <c r="CC388" s="17"/>
      <c r="CD388" s="17"/>
      <c r="CE388" s="18"/>
      <c r="CF388" s="18"/>
      <c r="CG388" s="18"/>
      <c r="CH388" s="18"/>
      <c r="CI388" s="18"/>
      <c r="CJ388" s="18"/>
      <c r="CK388" s="18"/>
      <c r="CL388" s="18"/>
      <c r="CM388" s="18"/>
      <c r="CN388" s="18"/>
      <c r="CO388" s="18"/>
      <c r="CP388" s="18"/>
      <c r="CQ388" s="18"/>
      <c r="CR388" s="18"/>
      <c r="CS388" s="18"/>
      <c r="CT388" s="18"/>
      <c r="CU388" s="18"/>
      <c r="CV388" s="18"/>
      <c r="CW388" s="18"/>
      <c r="CX388" s="18"/>
      <c r="CY388" s="37"/>
      <c r="CZ388" s="38"/>
      <c r="DA388" s="18"/>
      <c r="DB388" s="37"/>
      <c r="DC388" s="38"/>
      <c r="DD388" s="18"/>
      <c r="DE388" s="37"/>
      <c r="DF388" s="38"/>
      <c r="DG388" s="18"/>
      <c r="DH388" s="37"/>
      <c r="DI388" s="38"/>
      <c r="DJ388" s="18"/>
      <c r="DK388" s="37"/>
      <c r="DL388" s="38"/>
      <c r="DM388" s="18"/>
      <c r="DN388" s="18"/>
      <c r="DO388" s="18"/>
      <c r="DP388" s="18"/>
      <c r="DQ388" s="18"/>
      <c r="DR388" s="18"/>
      <c r="DS388" s="18"/>
      <c r="DT388" s="18"/>
      <c r="DU388" s="18"/>
      <c r="DV388" s="18"/>
      <c r="DW388" s="18"/>
      <c r="DX388" s="18"/>
      <c r="DY388" s="18"/>
      <c r="DZ388" s="18"/>
    </row>
    <row r="389" spans="1:130" x14ac:dyDescent="0.3">
      <c r="A389" s="18"/>
      <c r="B389" s="18"/>
      <c r="C389" s="18"/>
      <c r="D389" s="18"/>
      <c r="E389" s="18"/>
      <c r="F389" s="18"/>
      <c r="G389" s="18"/>
      <c r="H389" s="18"/>
      <c r="I389" s="18"/>
      <c r="J389" s="18"/>
      <c r="K389" s="18"/>
      <c r="L389" s="18"/>
      <c r="M389" s="18"/>
      <c r="N389" s="17"/>
      <c r="O389" s="17"/>
      <c r="P389" s="17"/>
      <c r="Q389" s="17"/>
      <c r="R389" s="17"/>
      <c r="S389" s="17"/>
      <c r="T389" s="17"/>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7"/>
      <c r="BT389" s="17"/>
      <c r="BU389" s="17"/>
      <c r="BV389" s="17"/>
      <c r="BW389" s="17"/>
      <c r="BX389" s="18"/>
      <c r="BY389" s="18"/>
      <c r="BZ389" s="18"/>
      <c r="CA389" s="18"/>
      <c r="CB389" s="17"/>
      <c r="CC389" s="17"/>
      <c r="CD389" s="17"/>
      <c r="CE389" s="18"/>
      <c r="CF389" s="18"/>
      <c r="CG389" s="18"/>
      <c r="CH389" s="18"/>
      <c r="CI389" s="18"/>
      <c r="CJ389" s="18"/>
      <c r="CK389" s="18"/>
      <c r="CL389" s="18"/>
      <c r="CM389" s="18"/>
      <c r="CN389" s="18"/>
      <c r="CO389" s="18"/>
      <c r="CP389" s="18"/>
      <c r="CQ389" s="18"/>
      <c r="CR389" s="18"/>
      <c r="CS389" s="18"/>
      <c r="CT389" s="18"/>
      <c r="CU389" s="18"/>
      <c r="CV389" s="18"/>
      <c r="CW389" s="18"/>
      <c r="CX389" s="18"/>
      <c r="CY389" s="37"/>
      <c r="CZ389" s="38"/>
      <c r="DA389" s="18"/>
      <c r="DB389" s="37"/>
      <c r="DC389" s="38"/>
      <c r="DD389" s="18"/>
      <c r="DE389" s="37"/>
      <c r="DF389" s="38"/>
      <c r="DG389" s="18"/>
      <c r="DH389" s="37"/>
      <c r="DI389" s="38"/>
      <c r="DJ389" s="18"/>
      <c r="DK389" s="37"/>
      <c r="DL389" s="38"/>
      <c r="DM389" s="18"/>
      <c r="DN389" s="18"/>
      <c r="DO389" s="18"/>
      <c r="DP389" s="18"/>
      <c r="DQ389" s="18"/>
      <c r="DR389" s="18"/>
      <c r="DS389" s="18"/>
      <c r="DT389" s="18"/>
      <c r="DU389" s="18"/>
      <c r="DV389" s="18"/>
      <c r="DW389" s="18"/>
      <c r="DX389" s="18"/>
      <c r="DY389" s="18"/>
      <c r="DZ389" s="18"/>
    </row>
    <row r="390" spans="1:130" x14ac:dyDescent="0.3">
      <c r="A390" s="18"/>
      <c r="B390" s="18"/>
      <c r="C390" s="18"/>
      <c r="D390" s="18"/>
      <c r="E390" s="18"/>
      <c r="F390" s="18"/>
      <c r="G390" s="18"/>
      <c r="H390" s="18"/>
      <c r="I390" s="18"/>
      <c r="J390" s="18"/>
      <c r="K390" s="18"/>
      <c r="L390" s="18"/>
      <c r="M390" s="18"/>
      <c r="N390" s="17"/>
      <c r="O390" s="17"/>
      <c r="P390" s="17"/>
      <c r="Q390" s="17"/>
      <c r="R390" s="17"/>
      <c r="S390" s="17"/>
      <c r="T390" s="17"/>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7"/>
      <c r="BT390" s="17"/>
      <c r="BU390" s="17"/>
      <c r="BV390" s="17"/>
      <c r="BW390" s="17"/>
      <c r="BX390" s="18"/>
      <c r="BY390" s="18"/>
      <c r="BZ390" s="18"/>
      <c r="CA390" s="18"/>
      <c r="CB390" s="17"/>
      <c r="CC390" s="17"/>
      <c r="CD390" s="17"/>
      <c r="CE390" s="18"/>
      <c r="CF390" s="18"/>
      <c r="CG390" s="18"/>
      <c r="CH390" s="18"/>
      <c r="CI390" s="18"/>
      <c r="CJ390" s="18"/>
      <c r="CK390" s="18"/>
      <c r="CL390" s="18"/>
      <c r="CM390" s="18"/>
      <c r="CN390" s="18"/>
      <c r="CO390" s="18"/>
      <c r="CP390" s="18"/>
      <c r="CQ390" s="18"/>
      <c r="CR390" s="18"/>
      <c r="CS390" s="18"/>
      <c r="CT390" s="18"/>
      <c r="CU390" s="18"/>
      <c r="CV390" s="18"/>
      <c r="CW390" s="18"/>
      <c r="CX390" s="18"/>
      <c r="CY390" s="37"/>
      <c r="CZ390" s="38"/>
      <c r="DA390" s="18"/>
      <c r="DB390" s="37"/>
      <c r="DC390" s="38"/>
      <c r="DD390" s="18"/>
      <c r="DE390" s="37"/>
      <c r="DF390" s="38"/>
      <c r="DG390" s="18"/>
      <c r="DH390" s="37"/>
      <c r="DI390" s="38"/>
      <c r="DJ390" s="18"/>
      <c r="DK390" s="37"/>
      <c r="DL390" s="38"/>
      <c r="DM390" s="18"/>
      <c r="DN390" s="18"/>
      <c r="DO390" s="18"/>
      <c r="DP390" s="18"/>
      <c r="DQ390" s="18"/>
      <c r="DR390" s="18"/>
      <c r="DS390" s="18"/>
      <c r="DT390" s="18"/>
      <c r="DU390" s="18"/>
      <c r="DV390" s="18"/>
      <c r="DW390" s="18"/>
      <c r="DX390" s="18"/>
      <c r="DY390" s="18"/>
      <c r="DZ390" s="18"/>
    </row>
    <row r="391" spans="1:130" x14ac:dyDescent="0.3">
      <c r="A391" s="18"/>
      <c r="B391" s="18"/>
      <c r="C391" s="18"/>
      <c r="D391" s="18"/>
      <c r="E391" s="18"/>
      <c r="F391" s="18"/>
      <c r="G391" s="18"/>
      <c r="H391" s="18"/>
      <c r="I391" s="18"/>
      <c r="J391" s="18"/>
      <c r="K391" s="18"/>
      <c r="L391" s="18"/>
      <c r="M391" s="18"/>
      <c r="N391" s="17"/>
      <c r="O391" s="17"/>
      <c r="P391" s="17"/>
      <c r="Q391" s="17"/>
      <c r="R391" s="17"/>
      <c r="S391" s="17"/>
      <c r="T391" s="17"/>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7"/>
      <c r="BT391" s="17"/>
      <c r="BU391" s="17"/>
      <c r="BV391" s="17"/>
      <c r="BW391" s="17"/>
      <c r="BX391" s="18"/>
      <c r="BY391" s="18"/>
      <c r="BZ391" s="18"/>
      <c r="CA391" s="18"/>
      <c r="CB391" s="17"/>
      <c r="CC391" s="17"/>
      <c r="CD391" s="17"/>
      <c r="CE391" s="18"/>
      <c r="CF391" s="18"/>
      <c r="CG391" s="18"/>
      <c r="CH391" s="18"/>
      <c r="CI391" s="18"/>
      <c r="CJ391" s="18"/>
      <c r="CK391" s="18"/>
      <c r="CL391" s="18"/>
      <c r="CM391" s="18"/>
      <c r="CN391" s="18"/>
      <c r="CO391" s="18"/>
      <c r="CP391" s="18"/>
      <c r="CQ391" s="18"/>
      <c r="CR391" s="18"/>
      <c r="CS391" s="18"/>
      <c r="CT391" s="18"/>
      <c r="CU391" s="18"/>
      <c r="CV391" s="18"/>
      <c r="CW391" s="18"/>
      <c r="CX391" s="18"/>
      <c r="CY391" s="37"/>
      <c r="CZ391" s="38"/>
      <c r="DA391" s="18"/>
      <c r="DB391" s="37"/>
      <c r="DC391" s="38"/>
      <c r="DD391" s="18"/>
      <c r="DE391" s="37"/>
      <c r="DF391" s="38"/>
      <c r="DG391" s="18"/>
      <c r="DH391" s="37"/>
      <c r="DI391" s="38"/>
      <c r="DJ391" s="18"/>
      <c r="DK391" s="37"/>
      <c r="DL391" s="38"/>
      <c r="DM391" s="18"/>
      <c r="DN391" s="18"/>
      <c r="DO391" s="18"/>
      <c r="DP391" s="18"/>
      <c r="DQ391" s="18"/>
      <c r="DR391" s="18"/>
      <c r="DS391" s="18"/>
      <c r="DT391" s="18"/>
      <c r="DU391" s="18"/>
      <c r="DV391" s="18"/>
      <c r="DW391" s="18"/>
      <c r="DX391" s="18"/>
      <c r="DY391" s="18"/>
      <c r="DZ391" s="18"/>
    </row>
    <row r="392" spans="1:130" x14ac:dyDescent="0.3">
      <c r="A392" s="18"/>
      <c r="B392" s="18"/>
      <c r="C392" s="18"/>
      <c r="D392" s="18"/>
      <c r="E392" s="18"/>
      <c r="F392" s="18"/>
      <c r="G392" s="18"/>
      <c r="H392" s="18"/>
      <c r="I392" s="18"/>
      <c r="J392" s="18"/>
      <c r="K392" s="18"/>
      <c r="L392" s="18"/>
      <c r="M392" s="18"/>
      <c r="N392" s="17"/>
      <c r="O392" s="17"/>
      <c r="P392" s="17"/>
      <c r="Q392" s="17"/>
      <c r="R392" s="17"/>
      <c r="S392" s="17"/>
      <c r="T392" s="17"/>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7"/>
      <c r="BT392" s="17"/>
      <c r="BU392" s="17"/>
      <c r="BV392" s="17"/>
      <c r="BW392" s="17"/>
      <c r="BX392" s="18"/>
      <c r="BY392" s="18"/>
      <c r="BZ392" s="18"/>
      <c r="CA392" s="18"/>
      <c r="CB392" s="17"/>
      <c r="CC392" s="17"/>
      <c r="CD392" s="17"/>
      <c r="CE392" s="18"/>
      <c r="CF392" s="18"/>
      <c r="CG392" s="18"/>
      <c r="CH392" s="18"/>
      <c r="CI392" s="18"/>
      <c r="CJ392" s="18"/>
      <c r="CK392" s="18"/>
      <c r="CL392" s="18"/>
      <c r="CM392" s="18"/>
      <c r="CN392" s="18"/>
      <c r="CO392" s="18"/>
      <c r="CP392" s="18"/>
      <c r="CQ392" s="18"/>
      <c r="CR392" s="18"/>
      <c r="CS392" s="18"/>
      <c r="CT392" s="18"/>
      <c r="CU392" s="18"/>
      <c r="CV392" s="18"/>
      <c r="CW392" s="18"/>
      <c r="CX392" s="18"/>
      <c r="CY392" s="37"/>
      <c r="CZ392" s="38"/>
      <c r="DA392" s="18"/>
      <c r="DB392" s="37"/>
      <c r="DC392" s="38"/>
      <c r="DD392" s="18"/>
      <c r="DE392" s="37"/>
      <c r="DF392" s="38"/>
      <c r="DG392" s="18"/>
      <c r="DH392" s="37"/>
      <c r="DI392" s="38"/>
      <c r="DJ392" s="18"/>
      <c r="DK392" s="37"/>
      <c r="DL392" s="38"/>
      <c r="DM392" s="18"/>
      <c r="DN392" s="18"/>
      <c r="DO392" s="18"/>
      <c r="DP392" s="18"/>
      <c r="DQ392" s="18"/>
      <c r="DR392" s="18"/>
      <c r="DS392" s="18"/>
      <c r="DT392" s="18"/>
      <c r="DU392" s="18"/>
      <c r="DV392" s="18"/>
      <c r="DW392" s="18"/>
      <c r="DX392" s="18"/>
      <c r="DY392" s="18"/>
      <c r="DZ392" s="18"/>
    </row>
    <row r="393" spans="1:130" x14ac:dyDescent="0.3">
      <c r="A393" s="18"/>
      <c r="B393" s="18"/>
      <c r="C393" s="18"/>
      <c r="D393" s="18"/>
      <c r="E393" s="18"/>
      <c r="F393" s="18"/>
      <c r="G393" s="18"/>
      <c r="H393" s="18"/>
      <c r="I393" s="18"/>
      <c r="J393" s="18"/>
      <c r="K393" s="18"/>
      <c r="L393" s="18"/>
      <c r="M393" s="18"/>
      <c r="N393" s="17"/>
      <c r="O393" s="17"/>
      <c r="P393" s="17"/>
      <c r="Q393" s="17"/>
      <c r="R393" s="17"/>
      <c r="S393" s="17"/>
      <c r="T393" s="17"/>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7"/>
      <c r="BT393" s="17"/>
      <c r="BU393" s="17"/>
      <c r="BV393" s="17"/>
      <c r="BW393" s="17"/>
      <c r="BX393" s="18"/>
      <c r="BY393" s="18"/>
      <c r="BZ393" s="18"/>
      <c r="CA393" s="18"/>
      <c r="CB393" s="17"/>
      <c r="CC393" s="17"/>
      <c r="CD393" s="17"/>
      <c r="CE393" s="18"/>
      <c r="CF393" s="18"/>
      <c r="CG393" s="18"/>
      <c r="CH393" s="18"/>
      <c r="CI393" s="18"/>
      <c r="CJ393" s="18"/>
      <c r="CK393" s="18"/>
      <c r="CL393" s="18"/>
      <c r="CM393" s="18"/>
      <c r="CN393" s="18"/>
      <c r="CO393" s="18"/>
      <c r="CP393" s="18"/>
      <c r="CQ393" s="18"/>
      <c r="CR393" s="18"/>
      <c r="CS393" s="18"/>
      <c r="CT393" s="18"/>
      <c r="CU393" s="18"/>
      <c r="CV393" s="18"/>
      <c r="CW393" s="18"/>
      <c r="CX393" s="18"/>
      <c r="CY393" s="37"/>
      <c r="CZ393" s="38"/>
      <c r="DA393" s="18"/>
      <c r="DB393" s="37"/>
      <c r="DC393" s="38"/>
      <c r="DD393" s="18"/>
      <c r="DE393" s="37"/>
      <c r="DF393" s="38"/>
      <c r="DG393" s="18"/>
      <c r="DH393" s="37"/>
      <c r="DI393" s="38"/>
      <c r="DJ393" s="18"/>
      <c r="DK393" s="37"/>
      <c r="DL393" s="38"/>
      <c r="DM393" s="18"/>
      <c r="DN393" s="18"/>
      <c r="DO393" s="18"/>
      <c r="DP393" s="18"/>
      <c r="DQ393" s="18"/>
      <c r="DR393" s="18"/>
      <c r="DS393" s="18"/>
      <c r="DT393" s="18"/>
      <c r="DU393" s="18"/>
      <c r="DV393" s="18"/>
      <c r="DW393" s="18"/>
      <c r="DX393" s="18"/>
      <c r="DY393" s="18"/>
      <c r="DZ393" s="18"/>
    </row>
    <row r="394" spans="1:130" x14ac:dyDescent="0.3">
      <c r="A394" s="18"/>
      <c r="B394" s="18"/>
      <c r="C394" s="18"/>
      <c r="D394" s="18"/>
      <c r="E394" s="18"/>
      <c r="F394" s="18"/>
      <c r="G394" s="18"/>
      <c r="H394" s="18"/>
      <c r="I394" s="18"/>
      <c r="J394" s="18"/>
      <c r="K394" s="18"/>
      <c r="L394" s="18"/>
      <c r="M394" s="18"/>
      <c r="N394" s="17"/>
      <c r="O394" s="17"/>
      <c r="P394" s="17"/>
      <c r="Q394" s="17"/>
      <c r="R394" s="17"/>
      <c r="S394" s="17"/>
      <c r="T394" s="17"/>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7"/>
      <c r="BT394" s="17"/>
      <c r="BU394" s="17"/>
      <c r="BV394" s="17"/>
      <c r="BW394" s="17"/>
      <c r="BX394" s="18"/>
      <c r="BY394" s="18"/>
      <c r="BZ394" s="18"/>
      <c r="CA394" s="18"/>
      <c r="CB394" s="17"/>
      <c r="CC394" s="17"/>
      <c r="CD394" s="17"/>
      <c r="CE394" s="18"/>
      <c r="CF394" s="18"/>
      <c r="CG394" s="18"/>
      <c r="CH394" s="18"/>
      <c r="CI394" s="18"/>
      <c r="CJ394" s="18"/>
      <c r="CK394" s="18"/>
      <c r="CL394" s="18"/>
      <c r="CM394" s="18"/>
      <c r="CN394" s="18"/>
      <c r="CO394" s="18"/>
      <c r="CP394" s="18"/>
      <c r="CQ394" s="18"/>
      <c r="CR394" s="18"/>
      <c r="CS394" s="18"/>
      <c r="CT394" s="18"/>
      <c r="CU394" s="18"/>
      <c r="CV394" s="18"/>
      <c r="CW394" s="18"/>
      <c r="CX394" s="18"/>
      <c r="CY394" s="37"/>
      <c r="CZ394" s="38"/>
      <c r="DA394" s="18"/>
      <c r="DB394" s="37"/>
      <c r="DC394" s="38"/>
      <c r="DD394" s="18"/>
      <c r="DE394" s="37"/>
      <c r="DF394" s="38"/>
      <c r="DG394" s="18"/>
      <c r="DH394" s="37"/>
      <c r="DI394" s="38"/>
      <c r="DJ394" s="18"/>
      <c r="DK394" s="37"/>
      <c r="DL394" s="38"/>
      <c r="DM394" s="18"/>
      <c r="DN394" s="18"/>
      <c r="DO394" s="18"/>
      <c r="DP394" s="18"/>
      <c r="DQ394" s="18"/>
      <c r="DR394" s="18"/>
      <c r="DS394" s="18"/>
      <c r="DT394" s="18"/>
      <c r="DU394" s="18"/>
      <c r="DV394" s="18"/>
      <c r="DW394" s="18"/>
      <c r="DX394" s="18"/>
      <c r="DY394" s="18"/>
      <c r="DZ394" s="18"/>
    </row>
    <row r="395" spans="1:130" x14ac:dyDescent="0.3">
      <c r="A395" s="18"/>
      <c r="B395" s="18"/>
      <c r="C395" s="18"/>
      <c r="D395" s="18"/>
      <c r="E395" s="18"/>
      <c r="F395" s="18"/>
      <c r="G395" s="18"/>
      <c r="H395" s="18"/>
      <c r="I395" s="18"/>
      <c r="J395" s="18"/>
      <c r="K395" s="18"/>
      <c r="L395" s="18"/>
      <c r="M395" s="18"/>
      <c r="N395" s="17"/>
      <c r="O395" s="17"/>
      <c r="P395" s="17"/>
      <c r="Q395" s="17"/>
      <c r="R395" s="17"/>
      <c r="S395" s="17"/>
      <c r="T395" s="17"/>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7"/>
      <c r="BT395" s="17"/>
      <c r="BU395" s="17"/>
      <c r="BV395" s="17"/>
      <c r="BW395" s="17"/>
      <c r="BX395" s="18"/>
      <c r="BY395" s="18"/>
      <c r="BZ395" s="18"/>
      <c r="CA395" s="18"/>
      <c r="CB395" s="17"/>
      <c r="CC395" s="17"/>
      <c r="CD395" s="17"/>
      <c r="CE395" s="18"/>
      <c r="CF395" s="18"/>
      <c r="CG395" s="18"/>
      <c r="CH395" s="18"/>
      <c r="CI395" s="18"/>
      <c r="CJ395" s="18"/>
      <c r="CK395" s="18"/>
      <c r="CL395" s="18"/>
      <c r="CM395" s="18"/>
      <c r="CN395" s="18"/>
      <c r="CO395" s="18"/>
      <c r="CP395" s="18"/>
      <c r="CQ395" s="18"/>
      <c r="CR395" s="18"/>
      <c r="CS395" s="18"/>
      <c r="CT395" s="18"/>
      <c r="CU395" s="18"/>
      <c r="CV395" s="18"/>
      <c r="CW395" s="18"/>
      <c r="CX395" s="18"/>
      <c r="CY395" s="37"/>
      <c r="CZ395" s="38"/>
      <c r="DA395" s="18"/>
      <c r="DB395" s="37"/>
      <c r="DC395" s="38"/>
      <c r="DD395" s="18"/>
      <c r="DE395" s="37"/>
      <c r="DF395" s="38"/>
      <c r="DG395" s="18"/>
      <c r="DH395" s="37"/>
      <c r="DI395" s="38"/>
      <c r="DJ395" s="18"/>
      <c r="DK395" s="37"/>
      <c r="DL395" s="38"/>
      <c r="DM395" s="18"/>
      <c r="DN395" s="18"/>
      <c r="DO395" s="18"/>
      <c r="DP395" s="18"/>
      <c r="DQ395" s="18"/>
      <c r="DR395" s="18"/>
      <c r="DS395" s="18"/>
      <c r="DT395" s="18"/>
      <c r="DU395" s="18"/>
      <c r="DV395" s="18"/>
      <c r="DW395" s="18"/>
      <c r="DX395" s="18"/>
      <c r="DY395" s="18"/>
      <c r="DZ395" s="18"/>
    </row>
    <row r="396" spans="1:130" x14ac:dyDescent="0.3">
      <c r="A396" s="18"/>
      <c r="B396" s="18"/>
      <c r="C396" s="18"/>
      <c r="D396" s="18"/>
      <c r="E396" s="18"/>
      <c r="F396" s="18"/>
      <c r="G396" s="18"/>
      <c r="H396" s="18"/>
      <c r="I396" s="18"/>
      <c r="J396" s="18"/>
      <c r="K396" s="18"/>
      <c r="L396" s="18"/>
      <c r="M396" s="18"/>
      <c r="N396" s="17"/>
      <c r="O396" s="17"/>
      <c r="P396" s="17"/>
      <c r="Q396" s="17"/>
      <c r="R396" s="17"/>
      <c r="S396" s="17"/>
      <c r="T396" s="17"/>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7"/>
      <c r="BT396" s="17"/>
      <c r="BU396" s="17"/>
      <c r="BV396" s="17"/>
      <c r="BW396" s="17"/>
      <c r="BX396" s="18"/>
      <c r="BY396" s="18"/>
      <c r="BZ396" s="18"/>
      <c r="CA396" s="18"/>
      <c r="CB396" s="17"/>
      <c r="CC396" s="17"/>
      <c r="CD396" s="17"/>
      <c r="CE396" s="18"/>
      <c r="CF396" s="18"/>
      <c r="CG396" s="18"/>
      <c r="CH396" s="18"/>
      <c r="CI396" s="18"/>
      <c r="CJ396" s="18"/>
      <c r="CK396" s="18"/>
      <c r="CL396" s="18"/>
      <c r="CM396" s="18"/>
      <c r="CN396" s="18"/>
      <c r="CO396" s="18"/>
      <c r="CP396" s="18"/>
      <c r="CQ396" s="18"/>
      <c r="CR396" s="18"/>
      <c r="CS396" s="18"/>
      <c r="CT396" s="18"/>
      <c r="CU396" s="18"/>
      <c r="CV396" s="18"/>
      <c r="CW396" s="18"/>
      <c r="CX396" s="18"/>
      <c r="CY396" s="37"/>
      <c r="CZ396" s="38"/>
      <c r="DA396" s="18"/>
      <c r="DB396" s="37"/>
      <c r="DC396" s="38"/>
      <c r="DD396" s="18"/>
      <c r="DE396" s="37"/>
      <c r="DF396" s="38"/>
      <c r="DG396" s="18"/>
      <c r="DH396" s="37"/>
      <c r="DI396" s="38"/>
      <c r="DJ396" s="18"/>
      <c r="DK396" s="37"/>
      <c r="DL396" s="38"/>
      <c r="DM396" s="18"/>
      <c r="DN396" s="18"/>
      <c r="DO396" s="18"/>
      <c r="DP396" s="18"/>
      <c r="DQ396" s="18"/>
      <c r="DR396" s="18"/>
      <c r="DS396" s="18"/>
      <c r="DT396" s="18"/>
      <c r="DU396" s="18"/>
      <c r="DV396" s="18"/>
      <c r="DW396" s="18"/>
      <c r="DX396" s="18"/>
      <c r="DY396" s="18"/>
      <c r="DZ396" s="18"/>
    </row>
    <row r="397" spans="1:130" x14ac:dyDescent="0.3">
      <c r="A397" s="18"/>
      <c r="B397" s="18"/>
      <c r="C397" s="18"/>
      <c r="D397" s="18"/>
      <c r="E397" s="18"/>
      <c r="F397" s="18"/>
      <c r="G397" s="18"/>
      <c r="H397" s="18"/>
      <c r="I397" s="18"/>
      <c r="J397" s="18"/>
      <c r="K397" s="18"/>
      <c r="L397" s="18"/>
      <c r="M397" s="18"/>
      <c r="N397" s="17"/>
      <c r="O397" s="17"/>
      <c r="P397" s="17"/>
      <c r="Q397" s="17"/>
      <c r="R397" s="17"/>
      <c r="S397" s="17"/>
      <c r="T397" s="17"/>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7"/>
      <c r="BT397" s="17"/>
      <c r="BU397" s="17"/>
      <c r="BV397" s="17"/>
      <c r="BW397" s="17"/>
      <c r="BX397" s="18"/>
      <c r="BY397" s="18"/>
      <c r="BZ397" s="18"/>
      <c r="CA397" s="18"/>
      <c r="CB397" s="17"/>
      <c r="CC397" s="17"/>
      <c r="CD397" s="17"/>
      <c r="CE397" s="18"/>
      <c r="CF397" s="18"/>
      <c r="CG397" s="18"/>
      <c r="CH397" s="18"/>
      <c r="CI397" s="18"/>
      <c r="CJ397" s="18"/>
      <c r="CK397" s="18"/>
      <c r="CL397" s="18"/>
      <c r="CM397" s="18"/>
      <c r="CN397" s="18"/>
      <c r="CO397" s="18"/>
      <c r="CP397" s="18"/>
      <c r="CQ397" s="18"/>
      <c r="CR397" s="18"/>
      <c r="CS397" s="18"/>
      <c r="CT397" s="18"/>
      <c r="CU397" s="18"/>
      <c r="CV397" s="18"/>
      <c r="CW397" s="18"/>
      <c r="CX397" s="18"/>
      <c r="CY397" s="37"/>
      <c r="CZ397" s="38"/>
      <c r="DA397" s="18"/>
      <c r="DB397" s="37"/>
      <c r="DC397" s="38"/>
      <c r="DD397" s="18"/>
      <c r="DE397" s="37"/>
      <c r="DF397" s="38"/>
      <c r="DG397" s="18"/>
      <c r="DH397" s="37"/>
      <c r="DI397" s="38"/>
      <c r="DJ397" s="18"/>
      <c r="DK397" s="37"/>
      <c r="DL397" s="38"/>
      <c r="DM397" s="18"/>
      <c r="DN397" s="18"/>
      <c r="DO397" s="18"/>
      <c r="DP397" s="18"/>
      <c r="DQ397" s="18"/>
      <c r="DR397" s="18"/>
      <c r="DS397" s="18"/>
      <c r="DT397" s="18"/>
      <c r="DU397" s="18"/>
      <c r="DV397" s="18"/>
      <c r="DW397" s="18"/>
      <c r="DX397" s="18"/>
      <c r="DY397" s="18"/>
      <c r="DZ397" s="18"/>
    </row>
    <row r="398" spans="1:130" x14ac:dyDescent="0.3">
      <c r="A398" s="18"/>
      <c r="B398" s="18"/>
      <c r="C398" s="18"/>
      <c r="D398" s="18"/>
      <c r="E398" s="18"/>
      <c r="F398" s="18"/>
      <c r="G398" s="18"/>
      <c r="H398" s="18"/>
      <c r="I398" s="18"/>
      <c r="J398" s="18"/>
      <c r="K398" s="18"/>
      <c r="L398" s="18"/>
      <c r="M398" s="18"/>
      <c r="N398" s="17"/>
      <c r="O398" s="17"/>
      <c r="P398" s="17"/>
      <c r="Q398" s="17"/>
      <c r="R398" s="17"/>
      <c r="S398" s="17"/>
      <c r="T398" s="17"/>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7"/>
      <c r="BT398" s="17"/>
      <c r="BU398" s="17"/>
      <c r="BV398" s="17"/>
      <c r="BW398" s="17"/>
      <c r="BX398" s="18"/>
      <c r="BY398" s="18"/>
      <c r="BZ398" s="18"/>
      <c r="CA398" s="18"/>
      <c r="CB398" s="17"/>
      <c r="CC398" s="17"/>
      <c r="CD398" s="17"/>
      <c r="CE398" s="18"/>
      <c r="CF398" s="18"/>
      <c r="CG398" s="18"/>
      <c r="CH398" s="18"/>
      <c r="CI398" s="18"/>
      <c r="CJ398" s="18"/>
      <c r="CK398" s="18"/>
      <c r="CL398" s="18"/>
      <c r="CM398" s="18"/>
      <c r="CN398" s="18"/>
      <c r="CO398" s="18"/>
      <c r="CP398" s="18"/>
      <c r="CQ398" s="18"/>
      <c r="CR398" s="18"/>
      <c r="CS398" s="18"/>
      <c r="CT398" s="18"/>
      <c r="CU398" s="18"/>
      <c r="CV398" s="18"/>
      <c r="CW398" s="18"/>
      <c r="CX398" s="18"/>
      <c r="CY398" s="37"/>
      <c r="CZ398" s="38"/>
      <c r="DA398" s="18"/>
      <c r="DB398" s="37"/>
      <c r="DC398" s="38"/>
      <c r="DD398" s="18"/>
      <c r="DE398" s="37"/>
      <c r="DF398" s="38"/>
      <c r="DG398" s="18"/>
      <c r="DH398" s="37"/>
      <c r="DI398" s="38"/>
      <c r="DJ398" s="18"/>
      <c r="DK398" s="37"/>
      <c r="DL398" s="38"/>
      <c r="DM398" s="18"/>
      <c r="DN398" s="18"/>
      <c r="DO398" s="18"/>
      <c r="DP398" s="18"/>
      <c r="DQ398" s="18"/>
      <c r="DR398" s="18"/>
      <c r="DS398" s="18"/>
      <c r="DT398" s="18"/>
      <c r="DU398" s="18"/>
      <c r="DV398" s="18"/>
      <c r="DW398" s="18"/>
      <c r="DX398" s="18"/>
      <c r="DY398" s="18"/>
      <c r="DZ398" s="18"/>
    </row>
    <row r="399" spans="1:130" x14ac:dyDescent="0.3">
      <c r="A399" s="18"/>
      <c r="B399" s="18"/>
      <c r="C399" s="18"/>
      <c r="D399" s="18"/>
      <c r="E399" s="18"/>
      <c r="F399" s="18"/>
      <c r="G399" s="18"/>
      <c r="H399" s="18"/>
      <c r="I399" s="18"/>
      <c r="J399" s="18"/>
      <c r="K399" s="18"/>
      <c r="L399" s="18"/>
      <c r="M399" s="18"/>
      <c r="N399" s="17"/>
      <c r="O399" s="17"/>
      <c r="P399" s="17"/>
      <c r="Q399" s="17"/>
      <c r="R399" s="17"/>
      <c r="S399" s="17"/>
      <c r="T399" s="17"/>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7"/>
      <c r="BT399" s="17"/>
      <c r="BU399" s="17"/>
      <c r="BV399" s="17"/>
      <c r="BW399" s="17"/>
      <c r="BX399" s="18"/>
      <c r="BY399" s="18"/>
      <c r="BZ399" s="18"/>
      <c r="CA399" s="18"/>
      <c r="CB399" s="17"/>
      <c r="CC399" s="17"/>
      <c r="CD399" s="17"/>
      <c r="CE399" s="18"/>
      <c r="CF399" s="18"/>
      <c r="CG399" s="18"/>
      <c r="CH399" s="18"/>
      <c r="CI399" s="18"/>
      <c r="CJ399" s="18"/>
      <c r="CK399" s="18"/>
      <c r="CL399" s="18"/>
      <c r="CM399" s="18"/>
      <c r="CN399" s="18"/>
      <c r="CO399" s="18"/>
      <c r="CP399" s="18"/>
      <c r="CQ399" s="18"/>
      <c r="CR399" s="18"/>
      <c r="CS399" s="18"/>
      <c r="CT399" s="18"/>
      <c r="CU399" s="18"/>
      <c r="CV399" s="18"/>
      <c r="CW399" s="18"/>
      <c r="CX399" s="18"/>
      <c r="CY399" s="37"/>
      <c r="CZ399" s="38"/>
      <c r="DA399" s="18"/>
      <c r="DB399" s="37"/>
      <c r="DC399" s="38"/>
      <c r="DD399" s="18"/>
      <c r="DE399" s="37"/>
      <c r="DF399" s="38"/>
      <c r="DG399" s="18"/>
      <c r="DH399" s="37"/>
      <c r="DI399" s="38"/>
      <c r="DJ399" s="18"/>
      <c r="DK399" s="37"/>
      <c r="DL399" s="38"/>
      <c r="DM399" s="18"/>
      <c r="DN399" s="18"/>
      <c r="DO399" s="18"/>
      <c r="DP399" s="18"/>
      <c r="DQ399" s="18"/>
      <c r="DR399" s="18"/>
      <c r="DS399" s="18"/>
      <c r="DT399" s="18"/>
      <c r="DU399" s="18"/>
      <c r="DV399" s="18"/>
      <c r="DW399" s="18"/>
      <c r="DX399" s="18"/>
      <c r="DY399" s="18"/>
      <c r="DZ399" s="18"/>
    </row>
    <row r="400" spans="1:130" x14ac:dyDescent="0.3">
      <c r="A400" s="18"/>
      <c r="B400" s="18"/>
      <c r="C400" s="18"/>
      <c r="D400" s="18"/>
      <c r="E400" s="18"/>
      <c r="F400" s="18"/>
      <c r="G400" s="18"/>
      <c r="H400" s="18"/>
      <c r="I400" s="18"/>
      <c r="J400" s="18"/>
      <c r="K400" s="18"/>
      <c r="L400" s="18"/>
      <c r="M400" s="18"/>
      <c r="N400" s="17"/>
      <c r="O400" s="17"/>
      <c r="P400" s="17"/>
      <c r="Q400" s="17"/>
      <c r="R400" s="17"/>
      <c r="S400" s="17"/>
      <c r="T400" s="17"/>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7"/>
      <c r="BT400" s="17"/>
      <c r="BU400" s="17"/>
      <c r="BV400" s="17"/>
      <c r="BW400" s="17"/>
      <c r="BX400" s="18"/>
      <c r="BY400" s="18"/>
      <c r="BZ400" s="18"/>
      <c r="CA400" s="18"/>
      <c r="CB400" s="17"/>
      <c r="CC400" s="17"/>
      <c r="CD400" s="17"/>
      <c r="CE400" s="18"/>
      <c r="CF400" s="18"/>
      <c r="CG400" s="18"/>
      <c r="CH400" s="18"/>
      <c r="CI400" s="18"/>
      <c r="CJ400" s="18"/>
      <c r="CK400" s="18"/>
      <c r="CL400" s="18"/>
      <c r="CM400" s="18"/>
      <c r="CN400" s="18"/>
      <c r="CO400" s="18"/>
      <c r="CP400" s="18"/>
      <c r="CQ400" s="18"/>
      <c r="CR400" s="18"/>
      <c r="CS400" s="18"/>
      <c r="CT400" s="18"/>
      <c r="CU400" s="18"/>
      <c r="CV400" s="18"/>
      <c r="CW400" s="18"/>
      <c r="CX400" s="18"/>
      <c r="CY400" s="37"/>
      <c r="CZ400" s="38"/>
      <c r="DA400" s="18"/>
      <c r="DB400" s="37"/>
      <c r="DC400" s="38"/>
      <c r="DD400" s="18"/>
      <c r="DE400" s="37"/>
      <c r="DF400" s="38"/>
      <c r="DG400" s="18"/>
      <c r="DH400" s="37"/>
      <c r="DI400" s="38"/>
      <c r="DJ400" s="18"/>
      <c r="DK400" s="37"/>
      <c r="DL400" s="38"/>
      <c r="DM400" s="18"/>
      <c r="DN400" s="18"/>
      <c r="DO400" s="18"/>
      <c r="DP400" s="18"/>
      <c r="DQ400" s="18"/>
      <c r="DR400" s="18"/>
      <c r="DS400" s="18"/>
      <c r="DT400" s="18"/>
      <c r="DU400" s="18"/>
      <c r="DV400" s="18"/>
      <c r="DW400" s="18"/>
      <c r="DX400" s="18"/>
      <c r="DY400" s="18"/>
      <c r="DZ400" s="18"/>
    </row>
    <row r="401" spans="1:130" x14ac:dyDescent="0.3">
      <c r="A401" s="18"/>
      <c r="B401" s="18"/>
      <c r="C401" s="18"/>
      <c r="D401" s="18"/>
      <c r="E401" s="18"/>
      <c r="F401" s="18"/>
      <c r="G401" s="18"/>
      <c r="H401" s="18"/>
      <c r="I401" s="18"/>
      <c r="J401" s="18"/>
      <c r="K401" s="18"/>
      <c r="L401" s="18"/>
      <c r="M401" s="18"/>
      <c r="N401" s="17"/>
      <c r="O401" s="17"/>
      <c r="P401" s="17"/>
      <c r="Q401" s="17"/>
      <c r="R401" s="17"/>
      <c r="S401" s="17"/>
      <c r="T401" s="17"/>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7"/>
      <c r="BT401" s="17"/>
      <c r="BU401" s="17"/>
      <c r="BV401" s="17"/>
      <c r="BW401" s="17"/>
      <c r="BX401" s="18"/>
      <c r="BY401" s="18"/>
      <c r="BZ401" s="18"/>
      <c r="CA401" s="18"/>
      <c r="CB401" s="17"/>
      <c r="CC401" s="17"/>
      <c r="CD401" s="17"/>
      <c r="CE401" s="18"/>
      <c r="CF401" s="18"/>
      <c r="CG401" s="18"/>
      <c r="CH401" s="18"/>
      <c r="CI401" s="18"/>
      <c r="CJ401" s="18"/>
      <c r="CK401" s="18"/>
      <c r="CL401" s="18"/>
      <c r="CM401" s="18"/>
      <c r="CN401" s="18"/>
      <c r="CO401" s="18"/>
      <c r="CP401" s="18"/>
      <c r="CQ401" s="18"/>
      <c r="CR401" s="18"/>
      <c r="CS401" s="18"/>
      <c r="CT401" s="18"/>
      <c r="CU401" s="18"/>
      <c r="CV401" s="18"/>
      <c r="CW401" s="18"/>
      <c r="CX401" s="18"/>
      <c r="CY401" s="37"/>
      <c r="CZ401" s="38"/>
      <c r="DA401" s="18"/>
      <c r="DB401" s="37"/>
      <c r="DC401" s="38"/>
      <c r="DD401" s="18"/>
      <c r="DE401" s="37"/>
      <c r="DF401" s="38"/>
      <c r="DG401" s="18"/>
      <c r="DH401" s="37"/>
      <c r="DI401" s="38"/>
      <c r="DJ401" s="18"/>
      <c r="DK401" s="37"/>
      <c r="DL401" s="38"/>
      <c r="DM401" s="18"/>
      <c r="DN401" s="18"/>
      <c r="DO401" s="18"/>
      <c r="DP401" s="18"/>
      <c r="DQ401" s="18"/>
      <c r="DR401" s="18"/>
      <c r="DS401" s="18"/>
      <c r="DT401" s="18"/>
      <c r="DU401" s="18"/>
      <c r="DV401" s="18"/>
      <c r="DW401" s="18"/>
      <c r="DX401" s="18"/>
      <c r="DY401" s="18"/>
      <c r="DZ401" s="18"/>
    </row>
    <row r="402" spans="1:130" x14ac:dyDescent="0.3">
      <c r="A402" s="18"/>
      <c r="B402" s="18"/>
      <c r="C402" s="18"/>
      <c r="D402" s="18"/>
      <c r="E402" s="18"/>
      <c r="F402" s="18"/>
      <c r="G402" s="18"/>
      <c r="H402" s="18"/>
      <c r="I402" s="18"/>
      <c r="J402" s="18"/>
      <c r="K402" s="18"/>
      <c r="L402" s="18"/>
      <c r="M402" s="18"/>
      <c r="N402" s="17"/>
      <c r="O402" s="17"/>
      <c r="P402" s="17"/>
      <c r="Q402" s="17"/>
      <c r="R402" s="17"/>
      <c r="S402" s="17"/>
      <c r="T402" s="17"/>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7"/>
      <c r="BT402" s="17"/>
      <c r="BU402" s="17"/>
      <c r="BV402" s="17"/>
      <c r="BW402" s="17"/>
      <c r="BX402" s="18"/>
      <c r="BY402" s="18"/>
      <c r="BZ402" s="18"/>
      <c r="CA402" s="18"/>
      <c r="CB402" s="17"/>
      <c r="CC402" s="17"/>
      <c r="CD402" s="17"/>
      <c r="CE402" s="18"/>
      <c r="CF402" s="18"/>
      <c r="CG402" s="18"/>
      <c r="CH402" s="18"/>
      <c r="CI402" s="18"/>
      <c r="CJ402" s="18"/>
      <c r="CK402" s="18"/>
      <c r="CL402" s="18"/>
      <c r="CM402" s="18"/>
      <c r="CN402" s="18"/>
      <c r="CO402" s="18"/>
      <c r="CP402" s="18"/>
      <c r="CQ402" s="18"/>
      <c r="CR402" s="18"/>
      <c r="CS402" s="18"/>
      <c r="CT402" s="18"/>
      <c r="CU402" s="18"/>
      <c r="CV402" s="18"/>
      <c r="CW402" s="18"/>
      <c r="CX402" s="18"/>
      <c r="CY402" s="37"/>
      <c r="CZ402" s="38"/>
      <c r="DA402" s="18"/>
      <c r="DB402" s="37"/>
      <c r="DC402" s="38"/>
      <c r="DD402" s="18"/>
      <c r="DE402" s="37"/>
      <c r="DF402" s="38"/>
      <c r="DG402" s="18"/>
      <c r="DH402" s="37"/>
      <c r="DI402" s="38"/>
      <c r="DJ402" s="18"/>
      <c r="DK402" s="37"/>
      <c r="DL402" s="38"/>
      <c r="DM402" s="18"/>
      <c r="DN402" s="18"/>
      <c r="DO402" s="18"/>
      <c r="DP402" s="18"/>
      <c r="DQ402" s="18"/>
      <c r="DR402" s="18"/>
      <c r="DS402" s="18"/>
      <c r="DT402" s="18"/>
      <c r="DU402" s="18"/>
      <c r="DV402" s="18"/>
      <c r="DW402" s="18"/>
      <c r="DX402" s="18"/>
      <c r="DY402" s="18"/>
      <c r="DZ402" s="18"/>
    </row>
    <row r="403" spans="1:130" x14ac:dyDescent="0.3">
      <c r="A403" s="18"/>
      <c r="B403" s="18"/>
      <c r="C403" s="18"/>
      <c r="D403" s="18"/>
      <c r="E403" s="18"/>
      <c r="F403" s="18"/>
      <c r="G403" s="18"/>
      <c r="H403" s="18"/>
      <c r="I403" s="18"/>
      <c r="J403" s="18"/>
      <c r="K403" s="18"/>
      <c r="L403" s="18"/>
      <c r="M403" s="18"/>
      <c r="N403" s="17"/>
      <c r="O403" s="17"/>
      <c r="P403" s="17"/>
      <c r="Q403" s="17"/>
      <c r="R403" s="17"/>
      <c r="S403" s="17"/>
      <c r="T403" s="17"/>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7"/>
      <c r="BT403" s="17"/>
      <c r="BU403" s="17"/>
      <c r="BV403" s="17"/>
      <c r="BW403" s="17"/>
      <c r="BX403" s="18"/>
      <c r="BY403" s="18"/>
      <c r="BZ403" s="18"/>
      <c r="CA403" s="18"/>
      <c r="CB403" s="17"/>
      <c r="CC403" s="17"/>
      <c r="CD403" s="17"/>
      <c r="CE403" s="18"/>
      <c r="CF403" s="18"/>
      <c r="CG403" s="18"/>
      <c r="CH403" s="18"/>
      <c r="CI403" s="18"/>
      <c r="CJ403" s="18"/>
      <c r="CK403" s="18"/>
      <c r="CL403" s="18"/>
      <c r="CM403" s="18"/>
      <c r="CN403" s="18"/>
      <c r="CO403" s="18"/>
      <c r="CP403" s="18"/>
      <c r="CQ403" s="18"/>
      <c r="CR403" s="18"/>
      <c r="CS403" s="18"/>
      <c r="CT403" s="18"/>
      <c r="CU403" s="18"/>
      <c r="CV403" s="18"/>
      <c r="CW403" s="18"/>
      <c r="CX403" s="18"/>
      <c r="CY403" s="37"/>
      <c r="CZ403" s="38"/>
      <c r="DA403" s="18"/>
      <c r="DB403" s="37"/>
      <c r="DC403" s="38"/>
      <c r="DD403" s="18"/>
      <c r="DE403" s="37"/>
      <c r="DF403" s="38"/>
      <c r="DG403" s="18"/>
      <c r="DH403" s="37"/>
      <c r="DI403" s="38"/>
      <c r="DJ403" s="18"/>
      <c r="DK403" s="37"/>
      <c r="DL403" s="38"/>
      <c r="DM403" s="18"/>
      <c r="DN403" s="18"/>
      <c r="DO403" s="18"/>
      <c r="DP403" s="18"/>
      <c r="DQ403" s="18"/>
      <c r="DR403" s="18"/>
      <c r="DS403" s="18"/>
      <c r="DT403" s="18"/>
      <c r="DU403" s="18"/>
      <c r="DV403" s="18"/>
      <c r="DW403" s="18"/>
      <c r="DX403" s="18"/>
      <c r="DY403" s="18"/>
      <c r="DZ403" s="18"/>
    </row>
    <row r="404" spans="1:130" x14ac:dyDescent="0.3">
      <c r="A404" s="18"/>
      <c r="B404" s="18"/>
      <c r="C404" s="18"/>
      <c r="D404" s="18"/>
      <c r="E404" s="18"/>
      <c r="F404" s="18"/>
      <c r="G404" s="18"/>
      <c r="H404" s="18"/>
      <c r="I404" s="18"/>
      <c r="J404" s="18"/>
      <c r="K404" s="18"/>
      <c r="L404" s="18"/>
      <c r="M404" s="18"/>
      <c r="N404" s="17"/>
      <c r="O404" s="17"/>
      <c r="P404" s="17"/>
      <c r="Q404" s="17"/>
      <c r="R404" s="17"/>
      <c r="S404" s="17"/>
      <c r="T404" s="17"/>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7"/>
      <c r="BT404" s="17"/>
      <c r="BU404" s="17"/>
      <c r="BV404" s="17"/>
      <c r="BW404" s="17"/>
      <c r="BX404" s="18"/>
      <c r="BY404" s="18"/>
      <c r="BZ404" s="18"/>
      <c r="CA404" s="18"/>
      <c r="CB404" s="17"/>
      <c r="CC404" s="17"/>
      <c r="CD404" s="17"/>
      <c r="CE404" s="18"/>
      <c r="CF404" s="18"/>
      <c r="CG404" s="18"/>
      <c r="CH404" s="18"/>
      <c r="CI404" s="18"/>
      <c r="CJ404" s="18"/>
      <c r="CK404" s="18"/>
      <c r="CL404" s="18"/>
      <c r="CM404" s="18"/>
      <c r="CN404" s="18"/>
      <c r="CO404" s="18"/>
      <c r="CP404" s="18"/>
      <c r="CQ404" s="18"/>
      <c r="CR404" s="18"/>
      <c r="CS404" s="18"/>
      <c r="CT404" s="18"/>
      <c r="CU404" s="18"/>
      <c r="CV404" s="18"/>
      <c r="CW404" s="18"/>
      <c r="CX404" s="18"/>
      <c r="CY404" s="37"/>
      <c r="CZ404" s="38"/>
      <c r="DA404" s="18"/>
      <c r="DB404" s="37"/>
      <c r="DC404" s="38"/>
      <c r="DD404" s="18"/>
      <c r="DE404" s="37"/>
      <c r="DF404" s="38"/>
      <c r="DG404" s="18"/>
      <c r="DH404" s="37"/>
      <c r="DI404" s="38"/>
      <c r="DJ404" s="18"/>
      <c r="DK404" s="37"/>
      <c r="DL404" s="38"/>
      <c r="DM404" s="18"/>
      <c r="DN404" s="18"/>
      <c r="DO404" s="18"/>
      <c r="DP404" s="18"/>
      <c r="DQ404" s="18"/>
      <c r="DR404" s="18"/>
      <c r="DS404" s="18"/>
      <c r="DT404" s="18"/>
      <c r="DU404" s="18"/>
      <c r="DV404" s="18"/>
      <c r="DW404" s="18"/>
      <c r="DX404" s="18"/>
      <c r="DY404" s="18"/>
      <c r="DZ404" s="18"/>
    </row>
    <row r="405" spans="1:130" x14ac:dyDescent="0.3">
      <c r="A405" s="18"/>
      <c r="B405" s="18"/>
      <c r="C405" s="18"/>
      <c r="D405" s="18"/>
      <c r="E405" s="18"/>
      <c r="F405" s="18"/>
      <c r="G405" s="18"/>
      <c r="H405" s="18"/>
      <c r="I405" s="18"/>
      <c r="J405" s="18"/>
      <c r="K405" s="18"/>
      <c r="L405" s="18"/>
      <c r="M405" s="18"/>
      <c r="N405" s="17"/>
      <c r="O405" s="17"/>
      <c r="P405" s="17"/>
      <c r="Q405" s="17"/>
      <c r="R405" s="17"/>
      <c r="S405" s="17"/>
      <c r="T405" s="17"/>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7"/>
      <c r="BT405" s="17"/>
      <c r="BU405" s="17"/>
      <c r="BV405" s="17"/>
      <c r="BW405" s="17"/>
      <c r="BX405" s="18"/>
      <c r="BY405" s="18"/>
      <c r="BZ405" s="18"/>
      <c r="CA405" s="18"/>
      <c r="CB405" s="17"/>
      <c r="CC405" s="17"/>
      <c r="CD405" s="17"/>
      <c r="CE405" s="18"/>
      <c r="CF405" s="18"/>
      <c r="CG405" s="18"/>
      <c r="CH405" s="18"/>
      <c r="CI405" s="18"/>
      <c r="CJ405" s="18"/>
      <c r="CK405" s="18"/>
      <c r="CL405" s="18"/>
      <c r="CM405" s="18"/>
      <c r="CN405" s="18"/>
      <c r="CO405" s="18"/>
      <c r="CP405" s="18"/>
      <c r="CQ405" s="18"/>
      <c r="CR405" s="18"/>
      <c r="CS405" s="18"/>
      <c r="CT405" s="18"/>
      <c r="CU405" s="18"/>
      <c r="CV405" s="18"/>
      <c r="CW405" s="18"/>
      <c r="CX405" s="18"/>
      <c r="CY405" s="37"/>
      <c r="CZ405" s="38"/>
      <c r="DA405" s="18"/>
      <c r="DB405" s="37"/>
      <c r="DC405" s="38"/>
      <c r="DD405" s="18"/>
      <c r="DE405" s="37"/>
      <c r="DF405" s="38"/>
      <c r="DG405" s="18"/>
      <c r="DH405" s="37"/>
      <c r="DI405" s="38"/>
      <c r="DJ405" s="18"/>
      <c r="DK405" s="37"/>
      <c r="DL405" s="38"/>
      <c r="DM405" s="18"/>
      <c r="DN405" s="18"/>
      <c r="DO405" s="18"/>
      <c r="DP405" s="18"/>
      <c r="DQ405" s="18"/>
      <c r="DR405" s="18"/>
      <c r="DS405" s="18"/>
      <c r="DT405" s="18"/>
      <c r="DU405" s="18"/>
      <c r="DV405" s="18"/>
      <c r="DW405" s="18"/>
      <c r="DX405" s="18"/>
      <c r="DY405" s="18"/>
      <c r="DZ405" s="18"/>
    </row>
    <row r="406" spans="1:130" x14ac:dyDescent="0.3">
      <c r="A406" s="18"/>
      <c r="B406" s="18"/>
      <c r="C406" s="18"/>
      <c r="D406" s="18"/>
      <c r="E406" s="18"/>
      <c r="F406" s="18"/>
      <c r="G406" s="18"/>
      <c r="H406" s="18"/>
      <c r="I406" s="18"/>
      <c r="J406" s="18"/>
      <c r="K406" s="18"/>
      <c r="L406" s="18"/>
      <c r="M406" s="18"/>
      <c r="N406" s="17"/>
      <c r="O406" s="17"/>
      <c r="P406" s="17"/>
      <c r="Q406" s="17"/>
      <c r="R406" s="17"/>
      <c r="S406" s="17"/>
      <c r="T406" s="17"/>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7"/>
      <c r="BT406" s="17"/>
      <c r="BU406" s="17"/>
      <c r="BV406" s="17"/>
      <c r="BW406" s="17"/>
      <c r="BX406" s="18"/>
      <c r="BY406" s="18"/>
      <c r="BZ406" s="18"/>
      <c r="CA406" s="18"/>
      <c r="CB406" s="17"/>
      <c r="CC406" s="17"/>
      <c r="CD406" s="17"/>
      <c r="CE406" s="18"/>
      <c r="CF406" s="18"/>
      <c r="CG406" s="18"/>
      <c r="CH406" s="18"/>
      <c r="CI406" s="18"/>
      <c r="CJ406" s="18"/>
      <c r="CK406" s="18"/>
      <c r="CL406" s="18"/>
      <c r="CM406" s="18"/>
      <c r="CN406" s="18"/>
      <c r="CO406" s="18"/>
      <c r="CP406" s="18"/>
      <c r="CQ406" s="18"/>
      <c r="CR406" s="18"/>
      <c r="CS406" s="18"/>
      <c r="CT406" s="18"/>
      <c r="CU406" s="18"/>
      <c r="CV406" s="18"/>
      <c r="CW406" s="18"/>
      <c r="CX406" s="18"/>
      <c r="CY406" s="37"/>
      <c r="CZ406" s="38"/>
      <c r="DA406" s="18"/>
      <c r="DB406" s="37"/>
      <c r="DC406" s="38"/>
      <c r="DD406" s="18"/>
      <c r="DE406" s="37"/>
      <c r="DF406" s="38"/>
      <c r="DG406" s="18"/>
      <c r="DH406" s="37"/>
      <c r="DI406" s="38"/>
      <c r="DJ406" s="18"/>
      <c r="DK406" s="37"/>
      <c r="DL406" s="38"/>
      <c r="DM406" s="18"/>
      <c r="DN406" s="18"/>
      <c r="DO406" s="18"/>
      <c r="DP406" s="18"/>
      <c r="DQ406" s="18"/>
      <c r="DR406" s="18"/>
      <c r="DS406" s="18"/>
      <c r="DT406" s="18"/>
      <c r="DU406" s="18"/>
      <c r="DV406" s="18"/>
      <c r="DW406" s="18"/>
      <c r="DX406" s="18"/>
      <c r="DY406" s="18"/>
      <c r="DZ406" s="18"/>
    </row>
    <row r="407" spans="1:130" x14ac:dyDescent="0.3">
      <c r="A407" s="18"/>
      <c r="B407" s="18"/>
      <c r="C407" s="18"/>
      <c r="D407" s="18"/>
      <c r="E407" s="18"/>
      <c r="F407" s="18"/>
      <c r="G407" s="18"/>
      <c r="H407" s="18"/>
      <c r="I407" s="18"/>
      <c r="J407" s="18"/>
      <c r="K407" s="18"/>
      <c r="L407" s="18"/>
      <c r="M407" s="18"/>
      <c r="N407" s="17"/>
      <c r="O407" s="17"/>
      <c r="P407" s="17"/>
      <c r="Q407" s="17"/>
      <c r="R407" s="17"/>
      <c r="S407" s="17"/>
      <c r="T407" s="17"/>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7"/>
      <c r="BT407" s="17"/>
      <c r="BU407" s="17"/>
      <c r="BV407" s="17"/>
      <c r="BW407" s="17"/>
      <c r="BX407" s="18"/>
      <c r="BY407" s="18"/>
      <c r="BZ407" s="18"/>
      <c r="CA407" s="18"/>
      <c r="CB407" s="17"/>
      <c r="CC407" s="17"/>
      <c r="CD407" s="17"/>
      <c r="CE407" s="18"/>
      <c r="CF407" s="18"/>
      <c r="CG407" s="18"/>
      <c r="CH407" s="18"/>
      <c r="CI407" s="18"/>
      <c r="CJ407" s="18"/>
      <c r="CK407" s="18"/>
      <c r="CL407" s="18"/>
      <c r="CM407" s="18"/>
      <c r="CN407" s="18"/>
      <c r="CO407" s="18"/>
      <c r="CP407" s="18"/>
      <c r="CQ407" s="18"/>
      <c r="CR407" s="18"/>
      <c r="CS407" s="18"/>
      <c r="CT407" s="18"/>
      <c r="CU407" s="18"/>
      <c r="CV407" s="18"/>
      <c r="CW407" s="18"/>
      <c r="CX407" s="18"/>
      <c r="CY407" s="37"/>
      <c r="CZ407" s="38"/>
      <c r="DA407" s="18"/>
      <c r="DB407" s="37"/>
      <c r="DC407" s="38"/>
      <c r="DD407" s="18"/>
      <c r="DE407" s="37"/>
      <c r="DF407" s="38"/>
      <c r="DG407" s="18"/>
      <c r="DH407" s="37"/>
      <c r="DI407" s="38"/>
      <c r="DJ407" s="18"/>
      <c r="DK407" s="37"/>
      <c r="DL407" s="38"/>
      <c r="DM407" s="18"/>
      <c r="DN407" s="18"/>
      <c r="DO407" s="18"/>
      <c r="DP407" s="18"/>
      <c r="DQ407" s="18"/>
      <c r="DR407" s="18"/>
      <c r="DS407" s="18"/>
      <c r="DT407" s="18"/>
      <c r="DU407" s="18"/>
      <c r="DV407" s="18"/>
      <c r="DW407" s="18"/>
      <c r="DX407" s="18"/>
      <c r="DY407" s="18"/>
      <c r="DZ407" s="18"/>
    </row>
    <row r="408" spans="1:130" x14ac:dyDescent="0.3">
      <c r="A408" s="18"/>
      <c r="B408" s="18"/>
      <c r="C408" s="18"/>
      <c r="D408" s="18"/>
      <c r="E408" s="18"/>
      <c r="F408" s="18"/>
      <c r="G408" s="18"/>
      <c r="H408" s="18"/>
      <c r="I408" s="18"/>
      <c r="J408" s="18"/>
      <c r="K408" s="18"/>
      <c r="L408" s="18"/>
      <c r="M408" s="18"/>
      <c r="N408" s="17"/>
      <c r="O408" s="17"/>
      <c r="P408" s="17"/>
      <c r="Q408" s="17"/>
      <c r="R408" s="17"/>
      <c r="S408" s="17"/>
      <c r="T408" s="17"/>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7"/>
      <c r="BT408" s="17"/>
      <c r="BU408" s="17"/>
      <c r="BV408" s="17"/>
      <c r="BW408" s="17"/>
      <c r="BX408" s="18"/>
      <c r="BY408" s="18"/>
      <c r="BZ408" s="18"/>
      <c r="CA408" s="18"/>
      <c r="CB408" s="17"/>
      <c r="CC408" s="17"/>
      <c r="CD408" s="17"/>
      <c r="CE408" s="18"/>
      <c r="CF408" s="18"/>
      <c r="CG408" s="18"/>
      <c r="CH408" s="18"/>
      <c r="CI408" s="18"/>
      <c r="CJ408" s="18"/>
      <c r="CK408" s="18"/>
      <c r="CL408" s="18"/>
      <c r="CM408" s="18"/>
      <c r="CN408" s="18"/>
      <c r="CO408" s="18"/>
      <c r="CP408" s="18"/>
      <c r="CQ408" s="18"/>
      <c r="CR408" s="18"/>
      <c r="CS408" s="18"/>
      <c r="CT408" s="18"/>
      <c r="CU408" s="18"/>
      <c r="CV408" s="18"/>
      <c r="CW408" s="18"/>
      <c r="CX408" s="18"/>
      <c r="CY408" s="37"/>
      <c r="CZ408" s="38"/>
      <c r="DA408" s="18"/>
      <c r="DB408" s="37"/>
      <c r="DC408" s="38"/>
      <c r="DD408" s="18"/>
      <c r="DE408" s="37"/>
      <c r="DF408" s="38"/>
      <c r="DG408" s="18"/>
      <c r="DH408" s="37"/>
      <c r="DI408" s="38"/>
      <c r="DJ408" s="18"/>
      <c r="DK408" s="37"/>
      <c r="DL408" s="38"/>
      <c r="DM408" s="18"/>
      <c r="DN408" s="18"/>
      <c r="DO408" s="18"/>
      <c r="DP408" s="18"/>
      <c r="DQ408" s="18"/>
      <c r="DR408" s="18"/>
      <c r="DS408" s="18"/>
      <c r="DT408" s="18"/>
      <c r="DU408" s="18"/>
      <c r="DV408" s="18"/>
      <c r="DW408" s="18"/>
      <c r="DX408" s="18"/>
      <c r="DY408" s="18"/>
      <c r="DZ408" s="18"/>
    </row>
    <row r="409" spans="1:130" x14ac:dyDescent="0.3">
      <c r="A409" s="18"/>
      <c r="B409" s="18"/>
      <c r="C409" s="18"/>
      <c r="D409" s="18"/>
      <c r="E409" s="18"/>
      <c r="F409" s="18"/>
      <c r="G409" s="18"/>
      <c r="H409" s="18"/>
      <c r="I409" s="18"/>
      <c r="J409" s="18"/>
      <c r="K409" s="18"/>
      <c r="L409" s="18"/>
      <c r="M409" s="18"/>
      <c r="N409" s="17"/>
      <c r="O409" s="17"/>
      <c r="P409" s="17"/>
      <c r="Q409" s="17"/>
      <c r="R409" s="17"/>
      <c r="S409" s="17"/>
      <c r="T409" s="17"/>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7"/>
      <c r="BT409" s="17"/>
      <c r="BU409" s="17"/>
      <c r="BV409" s="17"/>
      <c r="BW409" s="17"/>
      <c r="BX409" s="18"/>
      <c r="BY409" s="18"/>
      <c r="BZ409" s="18"/>
      <c r="CA409" s="18"/>
      <c r="CB409" s="17"/>
      <c r="CC409" s="17"/>
      <c r="CD409" s="17"/>
      <c r="CE409" s="18"/>
      <c r="CF409" s="18"/>
      <c r="CG409" s="18"/>
      <c r="CH409" s="18"/>
      <c r="CI409" s="18"/>
      <c r="CJ409" s="18"/>
      <c r="CK409" s="18"/>
      <c r="CL409" s="18"/>
      <c r="CM409" s="18"/>
      <c r="CN409" s="18"/>
      <c r="CO409" s="18"/>
      <c r="CP409" s="18"/>
      <c r="CQ409" s="18"/>
      <c r="CR409" s="18"/>
      <c r="CS409" s="18"/>
      <c r="CT409" s="18"/>
      <c r="CU409" s="18"/>
      <c r="CV409" s="18"/>
      <c r="CW409" s="18"/>
      <c r="CX409" s="18"/>
      <c r="CY409" s="37"/>
      <c r="CZ409" s="38"/>
      <c r="DA409" s="18"/>
      <c r="DB409" s="37"/>
      <c r="DC409" s="38"/>
      <c r="DD409" s="18"/>
      <c r="DE409" s="37"/>
      <c r="DF409" s="38"/>
      <c r="DG409" s="18"/>
      <c r="DH409" s="37"/>
      <c r="DI409" s="38"/>
      <c r="DJ409" s="18"/>
      <c r="DK409" s="37"/>
      <c r="DL409" s="38"/>
      <c r="DM409" s="18"/>
      <c r="DN409" s="18"/>
      <c r="DO409" s="18"/>
      <c r="DP409" s="18"/>
      <c r="DQ409" s="18"/>
      <c r="DR409" s="18"/>
      <c r="DS409" s="18"/>
      <c r="DT409" s="18"/>
      <c r="DU409" s="18"/>
      <c r="DV409" s="18"/>
      <c r="DW409" s="18"/>
      <c r="DX409" s="18"/>
      <c r="DY409" s="18"/>
      <c r="DZ409" s="18"/>
    </row>
    <row r="410" spans="1:130" x14ac:dyDescent="0.3">
      <c r="A410" s="18"/>
      <c r="B410" s="18"/>
      <c r="C410" s="18"/>
      <c r="D410" s="18"/>
      <c r="E410" s="18"/>
      <c r="F410" s="18"/>
      <c r="G410" s="18"/>
      <c r="H410" s="18"/>
      <c r="I410" s="18"/>
      <c r="J410" s="18"/>
      <c r="K410" s="18"/>
      <c r="L410" s="18"/>
      <c r="M410" s="18"/>
      <c r="N410" s="17"/>
      <c r="O410" s="17"/>
      <c r="P410" s="17"/>
      <c r="Q410" s="17"/>
      <c r="R410" s="17"/>
      <c r="S410" s="17"/>
      <c r="T410" s="17"/>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7"/>
      <c r="BT410" s="17"/>
      <c r="BU410" s="17"/>
      <c r="BV410" s="17"/>
      <c r="BW410" s="17"/>
      <c r="BX410" s="18"/>
      <c r="BY410" s="18"/>
      <c r="BZ410" s="18"/>
      <c r="CA410" s="18"/>
      <c r="CB410" s="17"/>
      <c r="CC410" s="17"/>
      <c r="CD410" s="17"/>
      <c r="CE410" s="18"/>
      <c r="CF410" s="18"/>
      <c r="CG410" s="18"/>
      <c r="CH410" s="18"/>
      <c r="CI410" s="18"/>
      <c r="CJ410" s="18"/>
      <c r="CK410" s="18"/>
      <c r="CL410" s="18"/>
      <c r="CM410" s="18"/>
      <c r="CN410" s="18"/>
      <c r="CO410" s="18"/>
      <c r="CP410" s="18"/>
      <c r="CQ410" s="18"/>
      <c r="CR410" s="18"/>
      <c r="CS410" s="18"/>
      <c r="CT410" s="18"/>
      <c r="CU410" s="18"/>
      <c r="CV410" s="18"/>
      <c r="CW410" s="18"/>
      <c r="CX410" s="18"/>
      <c r="CY410" s="37"/>
      <c r="CZ410" s="38"/>
      <c r="DA410" s="18"/>
      <c r="DB410" s="37"/>
      <c r="DC410" s="38"/>
      <c r="DD410" s="18"/>
      <c r="DE410" s="37"/>
      <c r="DF410" s="38"/>
      <c r="DG410" s="18"/>
      <c r="DH410" s="37"/>
      <c r="DI410" s="38"/>
      <c r="DJ410" s="18"/>
      <c r="DK410" s="37"/>
      <c r="DL410" s="38"/>
      <c r="DM410" s="18"/>
      <c r="DN410" s="18"/>
      <c r="DO410" s="18"/>
      <c r="DP410" s="18"/>
      <c r="DQ410" s="18"/>
      <c r="DR410" s="18"/>
      <c r="DS410" s="18"/>
      <c r="DT410" s="18"/>
      <c r="DU410" s="18"/>
      <c r="DV410" s="18"/>
      <c r="DW410" s="18"/>
      <c r="DX410" s="18"/>
      <c r="DY410" s="18"/>
      <c r="DZ410" s="18"/>
    </row>
    <row r="411" spans="1:130" x14ac:dyDescent="0.3">
      <c r="A411" s="18"/>
      <c r="B411" s="18"/>
      <c r="C411" s="18"/>
      <c r="D411" s="18"/>
      <c r="E411" s="18"/>
      <c r="F411" s="18"/>
      <c r="G411" s="18"/>
      <c r="H411" s="18"/>
      <c r="I411" s="18"/>
      <c r="J411" s="18"/>
      <c r="K411" s="18"/>
      <c r="L411" s="18"/>
      <c r="M411" s="18"/>
      <c r="N411" s="17"/>
      <c r="O411" s="17"/>
      <c r="P411" s="17"/>
      <c r="Q411" s="17"/>
      <c r="R411" s="17"/>
      <c r="S411" s="17"/>
      <c r="T411" s="17"/>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7"/>
      <c r="BT411" s="17"/>
      <c r="BU411" s="17"/>
      <c r="BV411" s="17"/>
      <c r="BW411" s="17"/>
      <c r="BX411" s="18"/>
      <c r="BY411" s="18"/>
      <c r="BZ411" s="18"/>
      <c r="CA411" s="18"/>
      <c r="CB411" s="17"/>
      <c r="CC411" s="17"/>
      <c r="CD411" s="17"/>
      <c r="CE411" s="18"/>
      <c r="CF411" s="18"/>
      <c r="CG411" s="18"/>
      <c r="CH411" s="18"/>
      <c r="CI411" s="18"/>
      <c r="CJ411" s="18"/>
      <c r="CK411" s="18"/>
      <c r="CL411" s="18"/>
      <c r="CM411" s="18"/>
      <c r="CN411" s="18"/>
      <c r="CO411" s="18"/>
      <c r="CP411" s="18"/>
      <c r="CQ411" s="18"/>
      <c r="CR411" s="18"/>
      <c r="CS411" s="18"/>
      <c r="CT411" s="18"/>
      <c r="CU411" s="18"/>
      <c r="CV411" s="18"/>
      <c r="CW411" s="18"/>
      <c r="CX411" s="18"/>
      <c r="CY411" s="37"/>
      <c r="CZ411" s="38"/>
      <c r="DA411" s="18"/>
      <c r="DB411" s="37"/>
      <c r="DC411" s="38"/>
      <c r="DD411" s="18"/>
      <c r="DE411" s="37"/>
      <c r="DF411" s="38"/>
      <c r="DG411" s="18"/>
      <c r="DH411" s="37"/>
      <c r="DI411" s="38"/>
      <c r="DJ411" s="18"/>
      <c r="DK411" s="37"/>
      <c r="DL411" s="38"/>
      <c r="DM411" s="18"/>
      <c r="DN411" s="18"/>
      <c r="DO411" s="18"/>
      <c r="DP411" s="18"/>
      <c r="DQ411" s="18"/>
      <c r="DR411" s="18"/>
      <c r="DS411" s="18"/>
      <c r="DT411" s="18"/>
      <c r="DU411" s="18"/>
      <c r="DV411" s="18"/>
      <c r="DW411" s="18"/>
      <c r="DX411" s="18"/>
      <c r="DY411" s="18"/>
      <c r="DZ411" s="18"/>
    </row>
    <row r="412" spans="1:130" x14ac:dyDescent="0.3">
      <c r="A412" s="18"/>
      <c r="B412" s="18"/>
      <c r="C412" s="18"/>
      <c r="D412" s="18"/>
      <c r="E412" s="18"/>
      <c r="F412" s="18"/>
      <c r="G412" s="18"/>
      <c r="H412" s="18"/>
      <c r="I412" s="18"/>
      <c r="J412" s="18"/>
      <c r="K412" s="18"/>
      <c r="L412" s="18"/>
      <c r="M412" s="18"/>
      <c r="N412" s="17"/>
      <c r="O412" s="17"/>
      <c r="P412" s="17"/>
      <c r="Q412" s="17"/>
      <c r="R412" s="17"/>
      <c r="S412" s="17"/>
      <c r="T412" s="17"/>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7"/>
      <c r="BT412" s="17"/>
      <c r="BU412" s="17"/>
      <c r="BV412" s="17"/>
      <c r="BW412" s="17"/>
      <c r="BX412" s="18"/>
      <c r="BY412" s="18"/>
      <c r="BZ412" s="18"/>
      <c r="CA412" s="18"/>
      <c r="CB412" s="17"/>
      <c r="CC412" s="17"/>
      <c r="CD412" s="17"/>
      <c r="CE412" s="18"/>
      <c r="CF412" s="18"/>
      <c r="CG412" s="18"/>
      <c r="CH412" s="18"/>
      <c r="CI412" s="18"/>
      <c r="CJ412" s="18"/>
      <c r="CK412" s="18"/>
      <c r="CL412" s="18"/>
      <c r="CM412" s="18"/>
      <c r="CN412" s="18"/>
      <c r="CO412" s="18"/>
      <c r="CP412" s="18"/>
      <c r="CQ412" s="18"/>
      <c r="CR412" s="18"/>
      <c r="CS412" s="18"/>
      <c r="CT412" s="18"/>
      <c r="CU412" s="18"/>
      <c r="CV412" s="18"/>
      <c r="CW412" s="18"/>
      <c r="CX412" s="18"/>
      <c r="CY412" s="37"/>
      <c r="CZ412" s="38"/>
      <c r="DA412" s="18"/>
      <c r="DB412" s="37"/>
      <c r="DC412" s="38"/>
      <c r="DD412" s="18"/>
      <c r="DE412" s="37"/>
      <c r="DF412" s="38"/>
      <c r="DG412" s="18"/>
      <c r="DH412" s="37"/>
      <c r="DI412" s="38"/>
      <c r="DJ412" s="18"/>
      <c r="DK412" s="37"/>
      <c r="DL412" s="38"/>
      <c r="DM412" s="18"/>
      <c r="DN412" s="18"/>
      <c r="DO412" s="18"/>
      <c r="DP412" s="18"/>
      <c r="DQ412" s="18"/>
      <c r="DR412" s="18"/>
      <c r="DS412" s="18"/>
      <c r="DT412" s="18"/>
      <c r="DU412" s="18"/>
      <c r="DV412" s="18"/>
      <c r="DW412" s="18"/>
      <c r="DX412" s="18"/>
      <c r="DY412" s="18"/>
      <c r="DZ412" s="18"/>
    </row>
    <row r="413" spans="1:130" x14ac:dyDescent="0.3">
      <c r="A413" s="18"/>
      <c r="B413" s="18"/>
      <c r="C413" s="18"/>
      <c r="D413" s="18"/>
      <c r="E413" s="18"/>
      <c r="F413" s="18"/>
      <c r="G413" s="18"/>
      <c r="H413" s="18"/>
      <c r="I413" s="18"/>
      <c r="J413" s="18"/>
      <c r="K413" s="18"/>
      <c r="L413" s="18"/>
      <c r="M413" s="18"/>
      <c r="N413" s="17"/>
      <c r="O413" s="17"/>
      <c r="P413" s="17"/>
      <c r="Q413" s="17"/>
      <c r="R413" s="17"/>
      <c r="S413" s="17"/>
      <c r="T413" s="17"/>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7"/>
      <c r="BT413" s="17"/>
      <c r="BU413" s="17"/>
      <c r="BV413" s="17"/>
      <c r="BW413" s="17"/>
      <c r="BX413" s="18"/>
      <c r="BY413" s="18"/>
      <c r="BZ413" s="18"/>
      <c r="CA413" s="18"/>
      <c r="CB413" s="17"/>
      <c r="CC413" s="17"/>
      <c r="CD413" s="17"/>
      <c r="CE413" s="18"/>
      <c r="CF413" s="18"/>
      <c r="CG413" s="18"/>
      <c r="CH413" s="18"/>
      <c r="CI413" s="18"/>
      <c r="CJ413" s="18"/>
      <c r="CK413" s="18"/>
      <c r="CL413" s="18"/>
      <c r="CM413" s="18"/>
      <c r="CN413" s="18"/>
      <c r="CO413" s="18"/>
      <c r="CP413" s="18"/>
      <c r="CQ413" s="18"/>
      <c r="CR413" s="18"/>
      <c r="CS413" s="18"/>
      <c r="CT413" s="18"/>
      <c r="CU413" s="18"/>
      <c r="CV413" s="18"/>
      <c r="CW413" s="18"/>
      <c r="CX413" s="18"/>
      <c r="CY413" s="37"/>
      <c r="CZ413" s="38"/>
      <c r="DA413" s="18"/>
      <c r="DB413" s="37"/>
      <c r="DC413" s="38"/>
      <c r="DD413" s="18"/>
      <c r="DE413" s="37"/>
      <c r="DF413" s="38"/>
      <c r="DG413" s="18"/>
      <c r="DH413" s="37"/>
      <c r="DI413" s="38"/>
      <c r="DJ413" s="18"/>
      <c r="DK413" s="37"/>
      <c r="DL413" s="38"/>
      <c r="DM413" s="18"/>
      <c r="DN413" s="18"/>
      <c r="DO413" s="18"/>
      <c r="DP413" s="18"/>
      <c r="DQ413" s="18"/>
      <c r="DR413" s="18"/>
      <c r="DS413" s="18"/>
      <c r="DT413" s="18"/>
      <c r="DU413" s="18"/>
      <c r="DV413" s="18"/>
      <c r="DW413" s="18"/>
      <c r="DX413" s="18"/>
      <c r="DY413" s="18"/>
      <c r="DZ413" s="18"/>
    </row>
    <row r="414" spans="1:130" x14ac:dyDescent="0.3">
      <c r="A414" s="18"/>
      <c r="B414" s="18"/>
      <c r="C414" s="18"/>
      <c r="D414" s="18"/>
      <c r="E414" s="18"/>
      <c r="F414" s="18"/>
      <c r="G414" s="18"/>
      <c r="H414" s="18"/>
      <c r="I414" s="18"/>
      <c r="J414" s="18"/>
      <c r="K414" s="18"/>
      <c r="L414" s="18"/>
      <c r="M414" s="18"/>
      <c r="N414" s="17"/>
      <c r="O414" s="17"/>
      <c r="P414" s="17"/>
      <c r="Q414" s="17"/>
      <c r="R414" s="17"/>
      <c r="S414" s="17"/>
      <c r="T414" s="17"/>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7"/>
      <c r="BT414" s="17"/>
      <c r="BU414" s="17"/>
      <c r="BV414" s="17"/>
      <c r="BW414" s="17"/>
      <c r="BX414" s="18"/>
      <c r="BY414" s="18"/>
      <c r="BZ414" s="18"/>
      <c r="CA414" s="18"/>
      <c r="CB414" s="17"/>
      <c r="CC414" s="17"/>
      <c r="CD414" s="17"/>
      <c r="CE414" s="18"/>
      <c r="CF414" s="18"/>
      <c r="CG414" s="18"/>
      <c r="CH414" s="18"/>
      <c r="CI414" s="18"/>
      <c r="CJ414" s="18"/>
      <c r="CK414" s="18"/>
      <c r="CL414" s="18"/>
      <c r="CM414" s="18"/>
      <c r="CN414" s="18"/>
      <c r="CO414" s="18"/>
      <c r="CP414" s="18"/>
      <c r="CQ414" s="18"/>
      <c r="CR414" s="18"/>
      <c r="CS414" s="18"/>
      <c r="CT414" s="18"/>
      <c r="CU414" s="18"/>
      <c r="CV414" s="18"/>
      <c r="CW414" s="18"/>
      <c r="CX414" s="18"/>
      <c r="CY414" s="37"/>
      <c r="CZ414" s="38"/>
      <c r="DA414" s="18"/>
      <c r="DB414" s="37"/>
      <c r="DC414" s="38"/>
      <c r="DD414" s="18"/>
      <c r="DE414" s="37"/>
      <c r="DF414" s="38"/>
      <c r="DG414" s="18"/>
      <c r="DH414" s="37"/>
      <c r="DI414" s="38"/>
      <c r="DJ414" s="18"/>
      <c r="DK414" s="37"/>
      <c r="DL414" s="38"/>
      <c r="DM414" s="18"/>
      <c r="DN414" s="18"/>
      <c r="DO414" s="18"/>
      <c r="DP414" s="18"/>
      <c r="DQ414" s="18"/>
      <c r="DR414" s="18"/>
      <c r="DS414" s="18"/>
      <c r="DT414" s="18"/>
      <c r="DU414" s="18"/>
      <c r="DV414" s="18"/>
      <c r="DW414" s="18"/>
      <c r="DX414" s="18"/>
      <c r="DY414" s="18"/>
      <c r="DZ414" s="18"/>
    </row>
    <row r="415" spans="1:130" x14ac:dyDescent="0.3">
      <c r="A415" s="18"/>
      <c r="B415" s="18"/>
      <c r="C415" s="18"/>
      <c r="D415" s="18"/>
      <c r="E415" s="18"/>
      <c r="F415" s="18"/>
      <c r="G415" s="18"/>
      <c r="H415" s="18"/>
      <c r="I415" s="18"/>
      <c r="J415" s="18"/>
      <c r="K415" s="18"/>
      <c r="L415" s="18"/>
      <c r="M415" s="18"/>
      <c r="N415" s="17"/>
      <c r="O415" s="17"/>
      <c r="P415" s="17"/>
      <c r="Q415" s="17"/>
      <c r="R415" s="17"/>
      <c r="S415" s="17"/>
      <c r="T415" s="17"/>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7"/>
      <c r="BT415" s="17"/>
      <c r="BU415" s="17"/>
      <c r="BV415" s="17"/>
      <c r="BW415" s="17"/>
      <c r="BX415" s="18"/>
      <c r="BY415" s="18"/>
      <c r="BZ415" s="18"/>
      <c r="CA415" s="18"/>
      <c r="CB415" s="17"/>
      <c r="CC415" s="17"/>
      <c r="CD415" s="17"/>
      <c r="CE415" s="18"/>
      <c r="CF415" s="18"/>
      <c r="CG415" s="18"/>
      <c r="CH415" s="18"/>
      <c r="CI415" s="18"/>
      <c r="CJ415" s="18"/>
      <c r="CK415" s="18"/>
      <c r="CL415" s="18"/>
      <c r="CM415" s="18"/>
      <c r="CN415" s="18"/>
      <c r="CO415" s="18"/>
      <c r="CP415" s="18"/>
      <c r="CQ415" s="18"/>
      <c r="CR415" s="18"/>
      <c r="CS415" s="18"/>
      <c r="CT415" s="18"/>
      <c r="CU415" s="18"/>
      <c r="CV415" s="18"/>
      <c r="CW415" s="18"/>
      <c r="CX415" s="18"/>
      <c r="CY415" s="37"/>
      <c r="CZ415" s="38"/>
      <c r="DA415" s="18"/>
      <c r="DB415" s="37"/>
      <c r="DC415" s="38"/>
      <c r="DD415" s="18"/>
      <c r="DE415" s="37"/>
      <c r="DF415" s="38"/>
      <c r="DG415" s="18"/>
      <c r="DH415" s="37"/>
      <c r="DI415" s="38"/>
      <c r="DJ415" s="18"/>
      <c r="DK415" s="37"/>
      <c r="DL415" s="38"/>
      <c r="DM415" s="18"/>
      <c r="DN415" s="18"/>
      <c r="DO415" s="18"/>
      <c r="DP415" s="18"/>
      <c r="DQ415" s="18"/>
      <c r="DR415" s="18"/>
      <c r="DS415" s="18"/>
      <c r="DT415" s="18"/>
      <c r="DU415" s="18"/>
      <c r="DV415" s="18"/>
      <c r="DW415" s="18"/>
      <c r="DX415" s="18"/>
      <c r="DY415" s="18"/>
      <c r="DZ415" s="18"/>
    </row>
    <row r="416" spans="1:130" x14ac:dyDescent="0.3">
      <c r="A416" s="18"/>
      <c r="B416" s="18"/>
      <c r="C416" s="18"/>
      <c r="D416" s="18"/>
      <c r="E416" s="18"/>
      <c r="F416" s="18"/>
      <c r="G416" s="18"/>
      <c r="H416" s="18"/>
      <c r="I416" s="18"/>
      <c r="J416" s="18"/>
      <c r="K416" s="18"/>
      <c r="L416" s="18"/>
      <c r="M416" s="18"/>
      <c r="N416" s="17"/>
      <c r="O416" s="17"/>
      <c r="P416" s="17"/>
      <c r="Q416" s="17"/>
      <c r="R416" s="17"/>
      <c r="S416" s="17"/>
      <c r="T416" s="17"/>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7"/>
      <c r="BT416" s="17"/>
      <c r="BU416" s="17"/>
      <c r="BV416" s="17"/>
      <c r="BW416" s="17"/>
      <c r="BX416" s="18"/>
      <c r="BY416" s="18"/>
      <c r="BZ416" s="18"/>
      <c r="CA416" s="18"/>
      <c r="CB416" s="17"/>
      <c r="CC416" s="17"/>
      <c r="CD416" s="17"/>
      <c r="CE416" s="18"/>
      <c r="CF416" s="18"/>
      <c r="CG416" s="18"/>
      <c r="CH416" s="18"/>
      <c r="CI416" s="18"/>
      <c r="CJ416" s="18"/>
      <c r="CK416" s="18"/>
      <c r="CL416" s="18"/>
      <c r="CM416" s="18"/>
      <c r="CN416" s="18"/>
      <c r="CO416" s="18"/>
      <c r="CP416" s="18"/>
      <c r="CQ416" s="18"/>
      <c r="CR416" s="18"/>
      <c r="CS416" s="18"/>
      <c r="CT416" s="18"/>
      <c r="CU416" s="18"/>
      <c r="CV416" s="18"/>
      <c r="CW416" s="18"/>
      <c r="CX416" s="18"/>
      <c r="CY416" s="37"/>
      <c r="CZ416" s="38"/>
      <c r="DA416" s="18"/>
      <c r="DB416" s="37"/>
      <c r="DC416" s="38"/>
      <c r="DD416" s="18"/>
      <c r="DE416" s="37"/>
      <c r="DF416" s="38"/>
      <c r="DG416" s="18"/>
      <c r="DH416" s="37"/>
      <c r="DI416" s="38"/>
      <c r="DJ416" s="18"/>
      <c r="DK416" s="37"/>
      <c r="DL416" s="38"/>
      <c r="DM416" s="18"/>
      <c r="DN416" s="18"/>
      <c r="DO416" s="18"/>
      <c r="DP416" s="18"/>
      <c r="DQ416" s="18"/>
      <c r="DR416" s="18"/>
      <c r="DS416" s="18"/>
      <c r="DT416" s="18"/>
      <c r="DU416" s="18"/>
      <c r="DV416" s="18"/>
      <c r="DW416" s="18"/>
      <c r="DX416" s="18"/>
      <c r="DY416" s="18"/>
      <c r="DZ416" s="18"/>
    </row>
    <row r="417" spans="1:130" x14ac:dyDescent="0.3">
      <c r="A417" s="18"/>
      <c r="B417" s="18"/>
      <c r="C417" s="18"/>
      <c r="D417" s="18"/>
      <c r="E417" s="18"/>
      <c r="F417" s="18"/>
      <c r="G417" s="18"/>
      <c r="H417" s="18"/>
      <c r="I417" s="18"/>
      <c r="J417" s="18"/>
      <c r="K417" s="18"/>
      <c r="L417" s="18"/>
      <c r="M417" s="18"/>
      <c r="N417" s="17"/>
      <c r="O417" s="17"/>
      <c r="P417" s="17"/>
      <c r="Q417" s="17"/>
      <c r="R417" s="17"/>
      <c r="S417" s="17"/>
      <c r="T417" s="17"/>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7"/>
      <c r="BT417" s="17"/>
      <c r="BU417" s="17"/>
      <c r="BV417" s="17"/>
      <c r="BW417" s="17"/>
      <c r="BX417" s="18"/>
      <c r="BY417" s="18"/>
      <c r="BZ417" s="18"/>
      <c r="CA417" s="18"/>
      <c r="CB417" s="17"/>
      <c r="CC417" s="17"/>
      <c r="CD417" s="17"/>
      <c r="CE417" s="18"/>
      <c r="CF417" s="18"/>
      <c r="CG417" s="18"/>
      <c r="CH417" s="18"/>
      <c r="CI417" s="18"/>
      <c r="CJ417" s="18"/>
      <c r="CK417" s="18"/>
      <c r="CL417" s="18"/>
      <c r="CM417" s="18"/>
      <c r="CN417" s="18"/>
      <c r="CO417" s="18"/>
      <c r="CP417" s="18"/>
      <c r="CQ417" s="18"/>
      <c r="CR417" s="18"/>
      <c r="CS417" s="18"/>
      <c r="CT417" s="18"/>
      <c r="CU417" s="18"/>
      <c r="CV417" s="18"/>
      <c r="CW417" s="18"/>
      <c r="CX417" s="18"/>
      <c r="CY417" s="37"/>
      <c r="CZ417" s="38"/>
      <c r="DA417" s="18"/>
      <c r="DB417" s="37"/>
      <c r="DC417" s="38"/>
      <c r="DD417" s="18"/>
      <c r="DE417" s="37"/>
      <c r="DF417" s="38"/>
      <c r="DG417" s="18"/>
      <c r="DH417" s="37"/>
      <c r="DI417" s="38"/>
      <c r="DJ417" s="18"/>
      <c r="DK417" s="37"/>
      <c r="DL417" s="38"/>
      <c r="DM417" s="18"/>
      <c r="DN417" s="18"/>
      <c r="DO417" s="18"/>
      <c r="DP417" s="18"/>
      <c r="DQ417" s="18"/>
      <c r="DR417" s="18"/>
      <c r="DS417" s="18"/>
      <c r="DT417" s="18"/>
      <c r="DU417" s="18"/>
      <c r="DV417" s="18"/>
      <c r="DW417" s="18"/>
      <c r="DX417" s="18"/>
      <c r="DY417" s="18"/>
      <c r="DZ417" s="18"/>
    </row>
    <row r="418" spans="1:130" x14ac:dyDescent="0.3">
      <c r="A418" s="18"/>
      <c r="B418" s="18"/>
      <c r="C418" s="18"/>
      <c r="D418" s="18"/>
      <c r="E418" s="18"/>
      <c r="F418" s="18"/>
      <c r="G418" s="18"/>
      <c r="H418" s="18"/>
      <c r="I418" s="18"/>
      <c r="J418" s="18"/>
      <c r="K418" s="18"/>
      <c r="L418" s="18"/>
      <c r="M418" s="18"/>
      <c r="N418" s="17"/>
      <c r="O418" s="17"/>
      <c r="P418" s="17"/>
      <c r="Q418" s="17"/>
      <c r="R418" s="17"/>
      <c r="S418" s="17"/>
      <c r="T418" s="17"/>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7"/>
      <c r="BT418" s="17"/>
      <c r="BU418" s="17"/>
      <c r="BV418" s="17"/>
      <c r="BW418" s="17"/>
      <c r="BX418" s="18"/>
      <c r="BY418" s="18"/>
      <c r="BZ418" s="18"/>
      <c r="CA418" s="18"/>
      <c r="CB418" s="17"/>
      <c r="CC418" s="17"/>
      <c r="CD418" s="17"/>
      <c r="CE418" s="18"/>
      <c r="CF418" s="18"/>
      <c r="CG418" s="18"/>
      <c r="CH418" s="18"/>
      <c r="CI418" s="18"/>
      <c r="CJ418" s="18"/>
      <c r="CK418" s="18"/>
      <c r="CL418" s="18"/>
      <c r="CM418" s="18"/>
      <c r="CN418" s="18"/>
      <c r="CO418" s="18"/>
      <c r="CP418" s="18"/>
      <c r="CQ418" s="18"/>
      <c r="CR418" s="18"/>
      <c r="CS418" s="18"/>
      <c r="CT418" s="18"/>
      <c r="CU418" s="18"/>
      <c r="CV418" s="18"/>
      <c r="CW418" s="18"/>
      <c r="CX418" s="18"/>
      <c r="CY418" s="37"/>
      <c r="CZ418" s="38"/>
      <c r="DA418" s="18"/>
      <c r="DB418" s="37"/>
      <c r="DC418" s="38"/>
      <c r="DD418" s="18"/>
      <c r="DE418" s="37"/>
      <c r="DF418" s="38"/>
      <c r="DG418" s="18"/>
      <c r="DH418" s="37"/>
      <c r="DI418" s="38"/>
      <c r="DJ418" s="18"/>
      <c r="DK418" s="37"/>
      <c r="DL418" s="38"/>
      <c r="DM418" s="18"/>
      <c r="DN418" s="18"/>
      <c r="DO418" s="18"/>
      <c r="DP418" s="18"/>
      <c r="DQ418" s="18"/>
      <c r="DR418" s="18"/>
      <c r="DS418" s="18"/>
      <c r="DT418" s="18"/>
      <c r="DU418" s="18"/>
      <c r="DV418" s="18"/>
      <c r="DW418" s="18"/>
      <c r="DX418" s="18"/>
      <c r="DY418" s="18"/>
      <c r="DZ418" s="18"/>
    </row>
    <row r="419" spans="1:130" x14ac:dyDescent="0.3">
      <c r="A419" s="18"/>
      <c r="B419" s="18"/>
      <c r="C419" s="18"/>
      <c r="D419" s="18"/>
      <c r="E419" s="18"/>
      <c r="F419" s="18"/>
      <c r="G419" s="18"/>
      <c r="H419" s="18"/>
      <c r="I419" s="18"/>
      <c r="J419" s="18"/>
      <c r="K419" s="18"/>
      <c r="L419" s="18"/>
      <c r="M419" s="18"/>
      <c r="N419" s="17"/>
      <c r="O419" s="17"/>
      <c r="P419" s="17"/>
      <c r="Q419" s="17"/>
      <c r="R419" s="17"/>
      <c r="S419" s="17"/>
      <c r="T419" s="17"/>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7"/>
      <c r="BT419" s="17"/>
      <c r="BU419" s="17"/>
      <c r="BV419" s="17"/>
      <c r="BW419" s="17"/>
      <c r="BX419" s="18"/>
      <c r="BY419" s="18"/>
      <c r="BZ419" s="18"/>
      <c r="CA419" s="18"/>
      <c r="CB419" s="17"/>
      <c r="CC419" s="17"/>
      <c r="CD419" s="17"/>
      <c r="CE419" s="18"/>
      <c r="CF419" s="18"/>
      <c r="CG419" s="18"/>
      <c r="CH419" s="18"/>
      <c r="CI419" s="18"/>
      <c r="CJ419" s="18"/>
      <c r="CK419" s="18"/>
      <c r="CL419" s="18"/>
      <c r="CM419" s="18"/>
      <c r="CN419" s="18"/>
      <c r="CO419" s="18"/>
      <c r="CP419" s="18"/>
      <c r="CQ419" s="18"/>
      <c r="CR419" s="18"/>
      <c r="CS419" s="18"/>
      <c r="CT419" s="18"/>
      <c r="CU419" s="18"/>
      <c r="CV419" s="18"/>
      <c r="CW419" s="18"/>
      <c r="CX419" s="18"/>
      <c r="CY419" s="37"/>
      <c r="CZ419" s="38"/>
      <c r="DA419" s="18"/>
      <c r="DB419" s="37"/>
      <c r="DC419" s="38"/>
      <c r="DD419" s="18"/>
      <c r="DE419" s="37"/>
      <c r="DF419" s="38"/>
      <c r="DG419" s="18"/>
      <c r="DH419" s="37"/>
      <c r="DI419" s="38"/>
      <c r="DJ419" s="18"/>
      <c r="DK419" s="37"/>
      <c r="DL419" s="38"/>
      <c r="DM419" s="18"/>
      <c r="DN419" s="18"/>
      <c r="DO419" s="18"/>
      <c r="DP419" s="18"/>
      <c r="DQ419" s="18"/>
      <c r="DR419" s="18"/>
      <c r="DS419" s="18"/>
      <c r="DT419" s="18"/>
      <c r="DU419" s="18"/>
      <c r="DV419" s="18"/>
      <c r="DW419" s="18"/>
      <c r="DX419" s="18"/>
      <c r="DY419" s="18"/>
      <c r="DZ419" s="18"/>
    </row>
    <row r="420" spans="1:130" x14ac:dyDescent="0.3">
      <c r="A420" s="18"/>
      <c r="B420" s="18"/>
      <c r="C420" s="18"/>
      <c r="D420" s="18"/>
      <c r="E420" s="18"/>
      <c r="F420" s="18"/>
      <c r="G420" s="18"/>
      <c r="H420" s="18"/>
      <c r="I420" s="18"/>
      <c r="J420" s="18"/>
      <c r="K420" s="18"/>
      <c r="L420" s="18"/>
      <c r="M420" s="18"/>
      <c r="N420" s="17"/>
      <c r="O420" s="17"/>
      <c r="P420" s="17"/>
      <c r="Q420" s="17"/>
      <c r="R420" s="17"/>
      <c r="S420" s="17"/>
      <c r="T420" s="17"/>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7"/>
      <c r="BT420" s="17"/>
      <c r="BU420" s="17"/>
      <c r="BV420" s="17"/>
      <c r="BW420" s="17"/>
      <c r="BX420" s="18"/>
      <c r="BY420" s="18"/>
      <c r="BZ420" s="18"/>
      <c r="CA420" s="18"/>
      <c r="CB420" s="17"/>
      <c r="CC420" s="17"/>
      <c r="CD420" s="17"/>
      <c r="CE420" s="18"/>
      <c r="CF420" s="18"/>
      <c r="CG420" s="18"/>
      <c r="CH420" s="18"/>
      <c r="CI420" s="18"/>
      <c r="CJ420" s="18"/>
      <c r="CK420" s="18"/>
      <c r="CL420" s="18"/>
      <c r="CM420" s="18"/>
      <c r="CN420" s="18"/>
      <c r="CO420" s="18"/>
      <c r="CP420" s="18"/>
      <c r="CQ420" s="18"/>
      <c r="CR420" s="18"/>
      <c r="CS420" s="18"/>
      <c r="CT420" s="18"/>
      <c r="CU420" s="18"/>
      <c r="CV420" s="18"/>
      <c r="CW420" s="18"/>
      <c r="CX420" s="18"/>
      <c r="CY420" s="37"/>
      <c r="CZ420" s="38"/>
      <c r="DA420" s="18"/>
      <c r="DB420" s="37"/>
      <c r="DC420" s="38"/>
      <c r="DD420" s="18"/>
      <c r="DE420" s="37"/>
      <c r="DF420" s="38"/>
      <c r="DG420" s="18"/>
      <c r="DH420" s="37"/>
      <c r="DI420" s="38"/>
      <c r="DJ420" s="18"/>
      <c r="DK420" s="37"/>
      <c r="DL420" s="38"/>
      <c r="DM420" s="18"/>
      <c r="DN420" s="18"/>
      <c r="DO420" s="18"/>
      <c r="DP420" s="18"/>
      <c r="DQ420" s="18"/>
      <c r="DR420" s="18"/>
      <c r="DS420" s="18"/>
      <c r="DT420" s="18"/>
      <c r="DU420" s="18"/>
      <c r="DV420" s="18"/>
      <c r="DW420" s="18"/>
      <c r="DX420" s="18"/>
      <c r="DY420" s="18"/>
      <c r="DZ420" s="18"/>
    </row>
    <row r="421" spans="1:130" x14ac:dyDescent="0.3">
      <c r="A421" s="18"/>
      <c r="B421" s="18"/>
      <c r="C421" s="18"/>
      <c r="D421" s="18"/>
      <c r="E421" s="18"/>
      <c r="F421" s="18"/>
      <c r="G421" s="18"/>
      <c r="H421" s="18"/>
      <c r="I421" s="18"/>
      <c r="J421" s="18"/>
      <c r="K421" s="18"/>
      <c r="L421" s="18"/>
      <c r="M421" s="18"/>
      <c r="N421" s="17"/>
      <c r="O421" s="17"/>
      <c r="P421" s="17"/>
      <c r="Q421" s="17"/>
      <c r="R421" s="17"/>
      <c r="S421" s="17"/>
      <c r="T421" s="17"/>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7"/>
      <c r="BT421" s="17"/>
      <c r="BU421" s="17"/>
      <c r="BV421" s="17"/>
      <c r="BW421" s="17"/>
      <c r="BX421" s="18"/>
      <c r="BY421" s="18"/>
      <c r="BZ421" s="18"/>
      <c r="CA421" s="18"/>
      <c r="CB421" s="17"/>
      <c r="CC421" s="17"/>
      <c r="CD421" s="17"/>
      <c r="CE421" s="18"/>
      <c r="CF421" s="18"/>
      <c r="CG421" s="18"/>
      <c r="CH421" s="18"/>
      <c r="CI421" s="18"/>
      <c r="CJ421" s="18"/>
      <c r="CK421" s="18"/>
      <c r="CL421" s="18"/>
      <c r="CM421" s="18"/>
      <c r="CN421" s="18"/>
      <c r="CO421" s="18"/>
      <c r="CP421" s="18"/>
      <c r="CQ421" s="18"/>
      <c r="CR421" s="18"/>
      <c r="CS421" s="18"/>
      <c r="CT421" s="18"/>
      <c r="CU421" s="18"/>
      <c r="CV421" s="18"/>
      <c r="CW421" s="18"/>
      <c r="CX421" s="18"/>
      <c r="CY421" s="37"/>
      <c r="CZ421" s="38"/>
      <c r="DA421" s="18"/>
      <c r="DB421" s="37"/>
      <c r="DC421" s="38"/>
      <c r="DD421" s="18"/>
      <c r="DE421" s="37"/>
      <c r="DF421" s="38"/>
      <c r="DG421" s="18"/>
      <c r="DH421" s="37"/>
      <c r="DI421" s="38"/>
      <c r="DJ421" s="18"/>
      <c r="DK421" s="37"/>
      <c r="DL421" s="38"/>
      <c r="DM421" s="18"/>
      <c r="DN421" s="18"/>
      <c r="DO421" s="18"/>
      <c r="DP421" s="18"/>
      <c r="DQ421" s="18"/>
      <c r="DR421" s="18"/>
      <c r="DS421" s="18"/>
      <c r="DT421" s="18"/>
      <c r="DU421" s="18"/>
      <c r="DV421" s="18"/>
      <c r="DW421" s="18"/>
      <c r="DX421" s="18"/>
      <c r="DY421" s="18"/>
      <c r="DZ421" s="18"/>
    </row>
    <row r="422" spans="1:130" x14ac:dyDescent="0.3">
      <c r="A422" s="18"/>
      <c r="B422" s="18"/>
      <c r="C422" s="18"/>
      <c r="D422" s="18"/>
      <c r="E422" s="18"/>
      <c r="F422" s="18"/>
      <c r="G422" s="18"/>
      <c r="H422" s="18"/>
      <c r="I422" s="18"/>
      <c r="J422" s="18"/>
      <c r="K422" s="18"/>
      <c r="L422" s="18"/>
      <c r="M422" s="18"/>
      <c r="N422" s="17"/>
      <c r="O422" s="17"/>
      <c r="P422" s="17"/>
      <c r="Q422" s="17"/>
      <c r="R422" s="17"/>
      <c r="S422" s="17"/>
      <c r="T422" s="17"/>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7"/>
      <c r="BT422" s="17"/>
      <c r="BU422" s="17"/>
      <c r="BV422" s="17"/>
      <c r="BW422" s="17"/>
      <c r="BX422" s="18"/>
      <c r="BY422" s="18"/>
      <c r="BZ422" s="18"/>
      <c r="CA422" s="18"/>
      <c r="CB422" s="17"/>
      <c r="CC422" s="17"/>
      <c r="CD422" s="17"/>
      <c r="CE422" s="18"/>
      <c r="CF422" s="18"/>
      <c r="CG422" s="18"/>
      <c r="CH422" s="18"/>
      <c r="CI422" s="18"/>
      <c r="CJ422" s="18"/>
      <c r="CK422" s="18"/>
      <c r="CL422" s="18"/>
      <c r="CM422" s="18"/>
      <c r="CN422" s="18"/>
      <c r="CO422" s="18"/>
      <c r="CP422" s="18"/>
      <c r="CQ422" s="18"/>
      <c r="CR422" s="18"/>
      <c r="CS422" s="18"/>
      <c r="CT422" s="18"/>
      <c r="CU422" s="18"/>
      <c r="CV422" s="18"/>
      <c r="CW422" s="18"/>
      <c r="CX422" s="18"/>
      <c r="CY422" s="37"/>
      <c r="CZ422" s="38"/>
      <c r="DA422" s="18"/>
      <c r="DB422" s="37"/>
      <c r="DC422" s="38"/>
      <c r="DD422" s="18"/>
      <c r="DE422" s="37"/>
      <c r="DF422" s="38"/>
      <c r="DG422" s="18"/>
      <c r="DH422" s="37"/>
      <c r="DI422" s="38"/>
      <c r="DJ422" s="18"/>
      <c r="DK422" s="37"/>
      <c r="DL422" s="38"/>
      <c r="DM422" s="18"/>
      <c r="DN422" s="18"/>
      <c r="DO422" s="18"/>
      <c r="DP422" s="18"/>
      <c r="DQ422" s="18"/>
      <c r="DR422" s="18"/>
      <c r="DS422" s="18"/>
      <c r="DT422" s="18"/>
      <c r="DU422" s="18"/>
      <c r="DV422" s="18"/>
      <c r="DW422" s="18"/>
      <c r="DX422" s="18"/>
      <c r="DY422" s="18"/>
      <c r="DZ422" s="18"/>
    </row>
    <row r="423" spans="1:130" x14ac:dyDescent="0.3">
      <c r="A423" s="18"/>
      <c r="B423" s="18"/>
      <c r="C423" s="18"/>
      <c r="D423" s="18"/>
      <c r="E423" s="18"/>
      <c r="F423" s="18"/>
      <c r="G423" s="18"/>
      <c r="H423" s="18"/>
      <c r="I423" s="18"/>
      <c r="J423" s="18"/>
      <c r="K423" s="18"/>
      <c r="L423" s="18"/>
      <c r="M423" s="18"/>
      <c r="N423" s="17"/>
      <c r="O423" s="17"/>
      <c r="P423" s="17"/>
      <c r="Q423" s="17"/>
      <c r="R423" s="17"/>
      <c r="S423" s="17"/>
      <c r="T423" s="17"/>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7"/>
      <c r="BT423" s="17"/>
      <c r="BU423" s="17"/>
      <c r="BV423" s="17"/>
      <c r="BW423" s="17"/>
      <c r="BX423" s="18"/>
      <c r="BY423" s="18"/>
      <c r="BZ423" s="18"/>
      <c r="CA423" s="18"/>
      <c r="CB423" s="17"/>
      <c r="CC423" s="17"/>
      <c r="CD423" s="17"/>
      <c r="CE423" s="18"/>
      <c r="CF423" s="18"/>
      <c r="CG423" s="18"/>
      <c r="CH423" s="18"/>
      <c r="CI423" s="18"/>
      <c r="CJ423" s="18"/>
      <c r="CK423" s="18"/>
      <c r="CL423" s="18"/>
      <c r="CM423" s="18"/>
      <c r="CN423" s="18"/>
      <c r="CO423" s="18"/>
      <c r="CP423" s="18"/>
      <c r="CQ423" s="18"/>
      <c r="CR423" s="18"/>
      <c r="CS423" s="18"/>
      <c r="CT423" s="18"/>
      <c r="CU423" s="18"/>
      <c r="CV423" s="18"/>
      <c r="CW423" s="18"/>
      <c r="CX423" s="18"/>
      <c r="CY423" s="37"/>
      <c r="CZ423" s="38"/>
      <c r="DA423" s="18"/>
      <c r="DB423" s="37"/>
      <c r="DC423" s="38"/>
      <c r="DD423" s="18"/>
      <c r="DE423" s="37"/>
      <c r="DF423" s="38"/>
      <c r="DG423" s="18"/>
      <c r="DH423" s="37"/>
      <c r="DI423" s="38"/>
      <c r="DJ423" s="18"/>
      <c r="DK423" s="37"/>
      <c r="DL423" s="38"/>
      <c r="DM423" s="18"/>
      <c r="DN423" s="18"/>
      <c r="DO423" s="18"/>
      <c r="DP423" s="18"/>
      <c r="DQ423" s="18"/>
      <c r="DR423" s="18"/>
      <c r="DS423" s="18"/>
      <c r="DT423" s="18"/>
      <c r="DU423" s="18"/>
      <c r="DV423" s="18"/>
      <c r="DW423" s="18"/>
      <c r="DX423" s="18"/>
      <c r="DY423" s="18"/>
      <c r="DZ423" s="18"/>
    </row>
    <row r="424" spans="1:130" x14ac:dyDescent="0.3">
      <c r="A424" s="18"/>
      <c r="B424" s="18"/>
      <c r="C424" s="18"/>
      <c r="D424" s="18"/>
      <c r="E424" s="18"/>
      <c r="F424" s="18"/>
      <c r="G424" s="18"/>
      <c r="H424" s="18"/>
      <c r="I424" s="18"/>
      <c r="J424" s="18"/>
      <c r="K424" s="18"/>
      <c r="L424" s="18"/>
      <c r="M424" s="18"/>
      <c r="N424" s="17"/>
      <c r="O424" s="17"/>
      <c r="P424" s="17"/>
      <c r="Q424" s="17"/>
      <c r="R424" s="17"/>
      <c r="S424" s="17"/>
      <c r="T424" s="17"/>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7"/>
      <c r="BT424" s="17"/>
      <c r="BU424" s="17"/>
      <c r="BV424" s="17"/>
      <c r="BW424" s="17"/>
      <c r="BX424" s="18"/>
      <c r="BY424" s="18"/>
      <c r="BZ424" s="18"/>
      <c r="CA424" s="18"/>
      <c r="CB424" s="17"/>
      <c r="CC424" s="17"/>
      <c r="CD424" s="17"/>
      <c r="CE424" s="18"/>
      <c r="CF424" s="18"/>
      <c r="CG424" s="18"/>
      <c r="CH424" s="18"/>
      <c r="CI424" s="18"/>
      <c r="CJ424" s="18"/>
      <c r="CK424" s="18"/>
      <c r="CL424" s="18"/>
      <c r="CM424" s="18"/>
      <c r="CN424" s="18"/>
      <c r="CO424" s="18"/>
      <c r="CP424" s="18"/>
      <c r="CQ424" s="18"/>
      <c r="CR424" s="18"/>
      <c r="CS424" s="18"/>
      <c r="CT424" s="18"/>
      <c r="CU424" s="18"/>
      <c r="CV424" s="18"/>
      <c r="CW424" s="18"/>
      <c r="CX424" s="18"/>
      <c r="CY424" s="37"/>
      <c r="CZ424" s="38"/>
      <c r="DA424" s="18"/>
      <c r="DB424" s="37"/>
      <c r="DC424" s="38"/>
      <c r="DD424" s="18"/>
      <c r="DE424" s="37"/>
      <c r="DF424" s="38"/>
      <c r="DG424" s="18"/>
      <c r="DH424" s="37"/>
      <c r="DI424" s="38"/>
      <c r="DJ424" s="18"/>
      <c r="DK424" s="37"/>
      <c r="DL424" s="38"/>
      <c r="DM424" s="18"/>
      <c r="DN424" s="18"/>
      <c r="DO424" s="18"/>
      <c r="DP424" s="18"/>
      <c r="DQ424" s="18"/>
      <c r="DR424" s="18"/>
      <c r="DS424" s="18"/>
      <c r="DT424" s="18"/>
      <c r="DU424" s="18"/>
      <c r="DV424" s="18"/>
      <c r="DW424" s="18"/>
      <c r="DX424" s="18"/>
      <c r="DY424" s="18"/>
      <c r="DZ424" s="18"/>
    </row>
    <row r="425" spans="1:130" x14ac:dyDescent="0.3">
      <c r="A425" s="18"/>
      <c r="B425" s="18"/>
      <c r="C425" s="18"/>
      <c r="D425" s="18"/>
      <c r="E425" s="18"/>
      <c r="F425" s="18"/>
      <c r="G425" s="18"/>
      <c r="H425" s="18"/>
      <c r="I425" s="18"/>
      <c r="J425" s="18"/>
      <c r="K425" s="18"/>
      <c r="L425" s="18"/>
      <c r="M425" s="18"/>
      <c r="N425" s="17"/>
      <c r="O425" s="17"/>
      <c r="P425" s="17"/>
      <c r="Q425" s="17"/>
      <c r="R425" s="17"/>
      <c r="S425" s="17"/>
      <c r="T425" s="17"/>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7"/>
      <c r="BT425" s="17"/>
      <c r="BU425" s="17"/>
      <c r="BV425" s="17"/>
      <c r="BW425" s="17"/>
      <c r="BX425" s="18"/>
      <c r="BY425" s="18"/>
      <c r="BZ425" s="18"/>
      <c r="CA425" s="18"/>
      <c r="CB425" s="17"/>
      <c r="CC425" s="17"/>
      <c r="CD425" s="17"/>
      <c r="CE425" s="18"/>
      <c r="CF425" s="18"/>
      <c r="CG425" s="18"/>
      <c r="CH425" s="18"/>
      <c r="CI425" s="18"/>
      <c r="CJ425" s="18"/>
      <c r="CK425" s="18"/>
      <c r="CL425" s="18"/>
      <c r="CM425" s="18"/>
      <c r="CN425" s="18"/>
      <c r="CO425" s="18"/>
      <c r="CP425" s="18"/>
      <c r="CQ425" s="18"/>
      <c r="CR425" s="18"/>
      <c r="CS425" s="18"/>
      <c r="CT425" s="18"/>
      <c r="CU425" s="18"/>
      <c r="CV425" s="18"/>
      <c r="CW425" s="18"/>
      <c r="CX425" s="18"/>
      <c r="CY425" s="37"/>
      <c r="CZ425" s="38"/>
      <c r="DA425" s="18"/>
      <c r="DB425" s="37"/>
      <c r="DC425" s="38"/>
      <c r="DD425" s="18"/>
      <c r="DE425" s="37"/>
      <c r="DF425" s="38"/>
      <c r="DG425" s="18"/>
      <c r="DH425" s="37"/>
      <c r="DI425" s="38"/>
      <c r="DJ425" s="18"/>
      <c r="DK425" s="37"/>
      <c r="DL425" s="38"/>
      <c r="DM425" s="18"/>
      <c r="DN425" s="18"/>
      <c r="DO425" s="18"/>
      <c r="DP425" s="18"/>
      <c r="DQ425" s="18"/>
      <c r="DR425" s="18"/>
      <c r="DS425" s="18"/>
      <c r="DT425" s="18"/>
      <c r="DU425" s="18"/>
      <c r="DV425" s="18"/>
      <c r="DW425" s="18"/>
      <c r="DX425" s="18"/>
      <c r="DY425" s="18"/>
      <c r="DZ425" s="18"/>
    </row>
    <row r="426" spans="1:130" x14ac:dyDescent="0.3">
      <c r="A426" s="18"/>
      <c r="B426" s="18"/>
      <c r="C426" s="18"/>
      <c r="D426" s="18"/>
      <c r="E426" s="18"/>
      <c r="F426" s="18"/>
      <c r="G426" s="18"/>
      <c r="H426" s="18"/>
      <c r="I426" s="18"/>
      <c r="J426" s="18"/>
      <c r="K426" s="18"/>
      <c r="L426" s="18"/>
      <c r="M426" s="18"/>
      <c r="N426" s="17"/>
      <c r="O426" s="17"/>
      <c r="P426" s="17"/>
      <c r="Q426" s="17"/>
      <c r="R426" s="17"/>
      <c r="S426" s="17"/>
      <c r="T426" s="17"/>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7"/>
      <c r="BT426" s="17"/>
      <c r="BU426" s="17"/>
      <c r="BV426" s="17"/>
      <c r="BW426" s="17"/>
      <c r="BX426" s="18"/>
      <c r="BY426" s="18"/>
      <c r="BZ426" s="18"/>
      <c r="CA426" s="18"/>
      <c r="CB426" s="17"/>
      <c r="CC426" s="17"/>
      <c r="CD426" s="17"/>
      <c r="CE426" s="18"/>
      <c r="CF426" s="18"/>
      <c r="CG426" s="18"/>
      <c r="CH426" s="18"/>
      <c r="CI426" s="18"/>
      <c r="CJ426" s="18"/>
      <c r="CK426" s="18"/>
      <c r="CL426" s="18"/>
      <c r="CM426" s="18"/>
      <c r="CN426" s="18"/>
      <c r="CO426" s="18"/>
      <c r="CP426" s="18"/>
      <c r="CQ426" s="18"/>
      <c r="CR426" s="18"/>
      <c r="CS426" s="18"/>
      <c r="CT426" s="18"/>
      <c r="CU426" s="18"/>
      <c r="CV426" s="18"/>
      <c r="CW426" s="18"/>
      <c r="CX426" s="18"/>
      <c r="CY426" s="37"/>
      <c r="CZ426" s="38"/>
      <c r="DA426" s="18"/>
      <c r="DB426" s="37"/>
      <c r="DC426" s="38"/>
      <c r="DD426" s="18"/>
      <c r="DE426" s="37"/>
      <c r="DF426" s="38"/>
      <c r="DG426" s="18"/>
      <c r="DH426" s="37"/>
      <c r="DI426" s="38"/>
      <c r="DJ426" s="18"/>
      <c r="DK426" s="37"/>
      <c r="DL426" s="38"/>
      <c r="DM426" s="18"/>
      <c r="DN426" s="18"/>
      <c r="DO426" s="18"/>
      <c r="DP426" s="18"/>
      <c r="DQ426" s="18"/>
      <c r="DR426" s="18"/>
      <c r="DS426" s="18"/>
      <c r="DT426" s="18"/>
      <c r="DU426" s="18"/>
      <c r="DV426" s="18"/>
      <c r="DW426" s="18"/>
      <c r="DX426" s="18"/>
      <c r="DY426" s="18"/>
      <c r="DZ426" s="18"/>
    </row>
    <row r="427" spans="1:130" x14ac:dyDescent="0.3">
      <c r="A427" s="18"/>
      <c r="B427" s="18"/>
      <c r="C427" s="18"/>
      <c r="D427" s="18"/>
      <c r="E427" s="18"/>
      <c r="F427" s="18"/>
      <c r="G427" s="18"/>
      <c r="H427" s="18"/>
      <c r="I427" s="18"/>
      <c r="J427" s="18"/>
      <c r="K427" s="18"/>
      <c r="L427" s="18"/>
      <c r="M427" s="18"/>
      <c r="N427" s="17"/>
      <c r="O427" s="17"/>
      <c r="P427" s="17"/>
      <c r="Q427" s="17"/>
      <c r="R427" s="17"/>
      <c r="S427" s="17"/>
      <c r="T427" s="17"/>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7"/>
      <c r="BT427" s="17"/>
      <c r="BU427" s="17"/>
      <c r="BV427" s="17"/>
      <c r="BW427" s="17"/>
      <c r="BX427" s="18"/>
      <c r="BY427" s="18"/>
      <c r="BZ427" s="18"/>
      <c r="CA427" s="18"/>
      <c r="CB427" s="17"/>
      <c r="CC427" s="17"/>
      <c r="CD427" s="17"/>
      <c r="CE427" s="18"/>
      <c r="CF427" s="18"/>
      <c r="CG427" s="18"/>
      <c r="CH427" s="18"/>
      <c r="CI427" s="18"/>
      <c r="CJ427" s="18"/>
      <c r="CK427" s="18"/>
      <c r="CL427" s="18"/>
      <c r="CM427" s="18"/>
      <c r="CN427" s="18"/>
      <c r="CO427" s="18"/>
      <c r="CP427" s="18"/>
      <c r="CQ427" s="18"/>
      <c r="CR427" s="18"/>
      <c r="CS427" s="18"/>
      <c r="CT427" s="18"/>
      <c r="CU427" s="18"/>
      <c r="CV427" s="18"/>
      <c r="CW427" s="18"/>
      <c r="CX427" s="18"/>
      <c r="CY427" s="37"/>
      <c r="CZ427" s="38"/>
      <c r="DA427" s="18"/>
      <c r="DB427" s="37"/>
      <c r="DC427" s="38"/>
      <c r="DD427" s="18"/>
      <c r="DE427" s="37"/>
      <c r="DF427" s="38"/>
      <c r="DG427" s="18"/>
      <c r="DH427" s="37"/>
      <c r="DI427" s="38"/>
      <c r="DJ427" s="18"/>
      <c r="DK427" s="37"/>
      <c r="DL427" s="38"/>
      <c r="DM427" s="18"/>
      <c r="DN427" s="18"/>
      <c r="DO427" s="18"/>
      <c r="DP427" s="18"/>
      <c r="DQ427" s="18"/>
      <c r="DR427" s="18"/>
      <c r="DS427" s="18"/>
      <c r="DT427" s="18"/>
      <c r="DU427" s="18"/>
      <c r="DV427" s="18"/>
      <c r="DW427" s="18"/>
      <c r="DX427" s="18"/>
      <c r="DY427" s="18"/>
      <c r="DZ427" s="18"/>
    </row>
    <row r="428" spans="1:130" x14ac:dyDescent="0.3">
      <c r="A428" s="18"/>
      <c r="B428" s="18"/>
      <c r="C428" s="18"/>
      <c r="D428" s="18"/>
      <c r="E428" s="18"/>
      <c r="F428" s="18"/>
      <c r="G428" s="18"/>
      <c r="H428" s="18"/>
      <c r="I428" s="18"/>
      <c r="J428" s="18"/>
      <c r="K428" s="18"/>
      <c r="L428" s="18"/>
      <c r="M428" s="18"/>
      <c r="N428" s="17"/>
      <c r="O428" s="17"/>
      <c r="P428" s="17"/>
      <c r="Q428" s="17"/>
      <c r="R428" s="17"/>
      <c r="S428" s="17"/>
      <c r="T428" s="17"/>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7"/>
      <c r="BT428" s="17"/>
      <c r="BU428" s="17"/>
      <c r="BV428" s="17"/>
      <c r="BW428" s="17"/>
      <c r="BX428" s="18"/>
      <c r="BY428" s="18"/>
      <c r="BZ428" s="18"/>
      <c r="CA428" s="18"/>
      <c r="CB428" s="17"/>
      <c r="CC428" s="17"/>
      <c r="CD428" s="17"/>
      <c r="CE428" s="18"/>
      <c r="CF428" s="18"/>
      <c r="CG428" s="18"/>
      <c r="CH428" s="18"/>
      <c r="CI428" s="18"/>
      <c r="CJ428" s="18"/>
      <c r="CK428" s="18"/>
      <c r="CL428" s="18"/>
      <c r="CM428" s="18"/>
      <c r="CN428" s="18"/>
      <c r="CO428" s="18"/>
      <c r="CP428" s="18"/>
      <c r="CQ428" s="18"/>
      <c r="CR428" s="18"/>
      <c r="CS428" s="18"/>
      <c r="CT428" s="18"/>
      <c r="CU428" s="18"/>
      <c r="CV428" s="18"/>
      <c r="CW428" s="18"/>
      <c r="CX428" s="18"/>
      <c r="CY428" s="37"/>
      <c r="CZ428" s="38"/>
      <c r="DA428" s="18"/>
      <c r="DB428" s="37"/>
      <c r="DC428" s="38"/>
      <c r="DD428" s="18"/>
      <c r="DE428" s="37"/>
      <c r="DF428" s="38"/>
      <c r="DG428" s="18"/>
      <c r="DH428" s="37"/>
      <c r="DI428" s="38"/>
      <c r="DJ428" s="18"/>
      <c r="DK428" s="37"/>
      <c r="DL428" s="38"/>
      <c r="DM428" s="18"/>
      <c r="DN428" s="18"/>
      <c r="DO428" s="18"/>
      <c r="DP428" s="18"/>
      <c r="DQ428" s="18"/>
      <c r="DR428" s="18"/>
      <c r="DS428" s="18"/>
      <c r="DT428" s="18"/>
      <c r="DU428" s="18"/>
      <c r="DV428" s="18"/>
      <c r="DW428" s="18"/>
      <c r="DX428" s="18"/>
      <c r="DY428" s="18"/>
      <c r="DZ428" s="18"/>
    </row>
    <row r="429" spans="1:130" x14ac:dyDescent="0.3">
      <c r="A429" s="18"/>
      <c r="B429" s="18"/>
      <c r="C429" s="18"/>
      <c r="D429" s="18"/>
      <c r="E429" s="18"/>
      <c r="F429" s="18"/>
      <c r="G429" s="18"/>
      <c r="H429" s="18"/>
      <c r="I429" s="18"/>
      <c r="J429" s="18"/>
      <c r="K429" s="18"/>
      <c r="L429" s="18"/>
      <c r="M429" s="18"/>
      <c r="N429" s="17"/>
      <c r="O429" s="17"/>
      <c r="P429" s="17"/>
      <c r="Q429" s="17"/>
      <c r="R429" s="17"/>
      <c r="S429" s="17"/>
      <c r="T429" s="17"/>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7"/>
      <c r="BT429" s="17"/>
      <c r="BU429" s="17"/>
      <c r="BV429" s="17"/>
      <c r="BW429" s="17"/>
      <c r="BX429" s="18"/>
      <c r="BY429" s="18"/>
      <c r="BZ429" s="18"/>
      <c r="CA429" s="18"/>
      <c r="CB429" s="17"/>
      <c r="CC429" s="17"/>
      <c r="CD429" s="17"/>
      <c r="CE429" s="18"/>
      <c r="CF429" s="18"/>
      <c r="CG429" s="18"/>
      <c r="CH429" s="18"/>
      <c r="CI429" s="18"/>
      <c r="CJ429" s="18"/>
      <c r="CK429" s="18"/>
      <c r="CL429" s="18"/>
      <c r="CM429" s="18"/>
      <c r="CN429" s="18"/>
      <c r="CO429" s="18"/>
      <c r="CP429" s="18"/>
      <c r="CQ429" s="18"/>
      <c r="CR429" s="18"/>
      <c r="CS429" s="18"/>
      <c r="CT429" s="18"/>
      <c r="CU429" s="18"/>
      <c r="CV429" s="18"/>
      <c r="CW429" s="18"/>
      <c r="CX429" s="18"/>
      <c r="CY429" s="37"/>
      <c r="CZ429" s="38"/>
      <c r="DA429" s="18"/>
      <c r="DB429" s="37"/>
      <c r="DC429" s="38"/>
      <c r="DD429" s="18"/>
      <c r="DE429" s="37"/>
      <c r="DF429" s="38"/>
      <c r="DG429" s="18"/>
      <c r="DH429" s="37"/>
      <c r="DI429" s="38"/>
      <c r="DJ429" s="18"/>
      <c r="DK429" s="37"/>
      <c r="DL429" s="38"/>
      <c r="DM429" s="18"/>
      <c r="DN429" s="18"/>
      <c r="DO429" s="18"/>
      <c r="DP429" s="18"/>
      <c r="DQ429" s="18"/>
      <c r="DR429" s="18"/>
      <c r="DS429" s="18"/>
      <c r="DT429" s="18"/>
      <c r="DU429" s="18"/>
      <c r="DV429" s="18"/>
      <c r="DW429" s="18"/>
      <c r="DX429" s="18"/>
      <c r="DY429" s="18"/>
      <c r="DZ429" s="18"/>
    </row>
    <row r="430" spans="1:130" x14ac:dyDescent="0.3">
      <c r="A430" s="18"/>
      <c r="B430" s="18"/>
      <c r="C430" s="18"/>
      <c r="D430" s="18"/>
      <c r="E430" s="18"/>
      <c r="F430" s="18"/>
      <c r="G430" s="18"/>
      <c r="H430" s="18"/>
      <c r="I430" s="18"/>
      <c r="J430" s="18"/>
      <c r="K430" s="18"/>
      <c r="L430" s="18"/>
      <c r="M430" s="18"/>
      <c r="N430" s="17"/>
      <c r="O430" s="17"/>
      <c r="P430" s="17"/>
      <c r="Q430" s="17"/>
      <c r="R430" s="17"/>
      <c r="S430" s="17"/>
      <c r="T430" s="17"/>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7"/>
      <c r="BT430" s="17"/>
      <c r="BU430" s="17"/>
      <c r="BV430" s="17"/>
      <c r="BW430" s="17"/>
      <c r="BX430" s="18"/>
      <c r="BY430" s="18"/>
      <c r="BZ430" s="18"/>
      <c r="CA430" s="18"/>
      <c r="CB430" s="17"/>
      <c r="CC430" s="17"/>
      <c r="CD430" s="17"/>
      <c r="CE430" s="18"/>
      <c r="CF430" s="18"/>
      <c r="CG430" s="18"/>
      <c r="CH430" s="18"/>
      <c r="CI430" s="18"/>
      <c r="CJ430" s="18"/>
      <c r="CK430" s="18"/>
      <c r="CL430" s="18"/>
      <c r="CM430" s="18"/>
      <c r="CN430" s="18"/>
      <c r="CO430" s="18"/>
      <c r="CP430" s="18"/>
      <c r="CQ430" s="18"/>
      <c r="CR430" s="18"/>
      <c r="CS430" s="18"/>
      <c r="CT430" s="18"/>
      <c r="CU430" s="18"/>
      <c r="CV430" s="18"/>
      <c r="CW430" s="18"/>
      <c r="CX430" s="18"/>
      <c r="CY430" s="37"/>
      <c r="CZ430" s="38"/>
      <c r="DA430" s="18"/>
      <c r="DB430" s="37"/>
      <c r="DC430" s="38"/>
      <c r="DD430" s="18"/>
      <c r="DE430" s="37"/>
      <c r="DF430" s="38"/>
      <c r="DG430" s="18"/>
      <c r="DH430" s="37"/>
      <c r="DI430" s="38"/>
      <c r="DJ430" s="18"/>
      <c r="DK430" s="37"/>
      <c r="DL430" s="38"/>
      <c r="DM430" s="18"/>
      <c r="DN430" s="18"/>
      <c r="DO430" s="18"/>
      <c r="DP430" s="18"/>
      <c r="DQ430" s="18"/>
      <c r="DR430" s="18"/>
      <c r="DS430" s="18"/>
      <c r="DT430" s="18"/>
      <c r="DU430" s="18"/>
      <c r="DV430" s="18"/>
      <c r="DW430" s="18"/>
      <c r="DX430" s="18"/>
      <c r="DY430" s="18"/>
      <c r="DZ430" s="18"/>
    </row>
    <row r="431" spans="1:130" x14ac:dyDescent="0.3">
      <c r="A431" s="18"/>
      <c r="B431" s="18"/>
      <c r="C431" s="18"/>
      <c r="D431" s="18"/>
      <c r="E431" s="18"/>
      <c r="F431" s="18"/>
      <c r="G431" s="18"/>
      <c r="H431" s="18"/>
      <c r="I431" s="18"/>
      <c r="J431" s="18"/>
      <c r="K431" s="18"/>
      <c r="L431" s="18"/>
      <c r="M431" s="18"/>
      <c r="N431" s="17"/>
      <c r="O431" s="17"/>
      <c r="P431" s="17"/>
      <c r="Q431" s="17"/>
      <c r="R431" s="17"/>
      <c r="S431" s="17"/>
      <c r="T431" s="17"/>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7"/>
      <c r="BT431" s="17"/>
      <c r="BU431" s="17"/>
      <c r="BV431" s="17"/>
      <c r="BW431" s="17"/>
      <c r="BX431" s="18"/>
      <c r="BY431" s="18"/>
      <c r="BZ431" s="18"/>
      <c r="CA431" s="18"/>
      <c r="CB431" s="17"/>
      <c r="CC431" s="17"/>
      <c r="CD431" s="17"/>
      <c r="CE431" s="18"/>
      <c r="CF431" s="18"/>
      <c r="CG431" s="18"/>
      <c r="CH431" s="18"/>
      <c r="CI431" s="18"/>
      <c r="CJ431" s="18"/>
      <c r="CK431" s="18"/>
      <c r="CL431" s="18"/>
      <c r="CM431" s="18"/>
      <c r="CN431" s="18"/>
      <c r="CO431" s="18"/>
      <c r="CP431" s="18"/>
      <c r="CQ431" s="18"/>
      <c r="CR431" s="18"/>
      <c r="CS431" s="18"/>
      <c r="CT431" s="18"/>
      <c r="CU431" s="18"/>
      <c r="CV431" s="18"/>
      <c r="CW431" s="18"/>
      <c r="CX431" s="18"/>
      <c r="CY431" s="37"/>
      <c r="CZ431" s="38"/>
      <c r="DA431" s="18"/>
      <c r="DB431" s="37"/>
      <c r="DC431" s="38"/>
      <c r="DD431" s="18"/>
      <c r="DE431" s="37"/>
      <c r="DF431" s="38"/>
      <c r="DG431" s="18"/>
      <c r="DH431" s="37"/>
      <c r="DI431" s="38"/>
      <c r="DJ431" s="18"/>
      <c r="DK431" s="37"/>
      <c r="DL431" s="38"/>
      <c r="DM431" s="18"/>
      <c r="DN431" s="18"/>
      <c r="DO431" s="18"/>
      <c r="DP431" s="18"/>
      <c r="DQ431" s="18"/>
      <c r="DR431" s="18"/>
      <c r="DS431" s="18"/>
      <c r="DT431" s="18"/>
      <c r="DU431" s="18"/>
      <c r="DV431" s="18"/>
      <c r="DW431" s="18"/>
      <c r="DX431" s="18"/>
      <c r="DY431" s="18"/>
      <c r="DZ431" s="18"/>
    </row>
    <row r="432" spans="1:130" x14ac:dyDescent="0.3">
      <c r="A432" s="18"/>
      <c r="B432" s="18"/>
      <c r="C432" s="18"/>
      <c r="D432" s="18"/>
      <c r="E432" s="18"/>
      <c r="F432" s="18"/>
      <c r="G432" s="18"/>
      <c r="H432" s="18"/>
      <c r="I432" s="18"/>
      <c r="J432" s="18"/>
      <c r="K432" s="18"/>
      <c r="L432" s="18"/>
      <c r="M432" s="18"/>
      <c r="N432" s="17"/>
      <c r="O432" s="17"/>
      <c r="P432" s="17"/>
      <c r="Q432" s="17"/>
      <c r="R432" s="17"/>
      <c r="S432" s="17"/>
      <c r="T432" s="17"/>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7"/>
      <c r="BT432" s="17"/>
      <c r="BU432" s="17"/>
      <c r="BV432" s="17"/>
      <c r="BW432" s="17"/>
      <c r="BX432" s="18"/>
      <c r="BY432" s="18"/>
      <c r="BZ432" s="18"/>
      <c r="CA432" s="18"/>
      <c r="CB432" s="17"/>
      <c r="CC432" s="17"/>
      <c r="CD432" s="17"/>
      <c r="CE432" s="18"/>
      <c r="CF432" s="18"/>
      <c r="CG432" s="18"/>
      <c r="CH432" s="18"/>
      <c r="CI432" s="18"/>
      <c r="CJ432" s="18"/>
      <c r="CK432" s="18"/>
      <c r="CL432" s="18"/>
      <c r="CM432" s="18"/>
      <c r="CN432" s="18"/>
      <c r="CO432" s="18"/>
      <c r="CP432" s="18"/>
      <c r="CQ432" s="18"/>
      <c r="CR432" s="18"/>
      <c r="CS432" s="18"/>
      <c r="CT432" s="18"/>
      <c r="CU432" s="18"/>
      <c r="CV432" s="18"/>
      <c r="CW432" s="18"/>
      <c r="CX432" s="18"/>
      <c r="CY432" s="37"/>
      <c r="CZ432" s="38"/>
      <c r="DA432" s="18"/>
      <c r="DB432" s="37"/>
      <c r="DC432" s="38"/>
      <c r="DD432" s="18"/>
      <c r="DE432" s="37"/>
      <c r="DF432" s="38"/>
      <c r="DG432" s="18"/>
      <c r="DH432" s="37"/>
      <c r="DI432" s="38"/>
      <c r="DJ432" s="18"/>
      <c r="DK432" s="37"/>
      <c r="DL432" s="38"/>
      <c r="DM432" s="18"/>
      <c r="DN432" s="18"/>
      <c r="DO432" s="18"/>
      <c r="DP432" s="18"/>
      <c r="DQ432" s="18"/>
      <c r="DR432" s="18"/>
      <c r="DS432" s="18"/>
      <c r="DT432" s="18"/>
      <c r="DU432" s="18"/>
      <c r="DV432" s="18"/>
      <c r="DW432" s="18"/>
      <c r="DX432" s="18"/>
      <c r="DY432" s="18"/>
      <c r="DZ432" s="18"/>
    </row>
    <row r="433" spans="1:130" x14ac:dyDescent="0.3">
      <c r="A433" s="18"/>
      <c r="B433" s="18"/>
      <c r="C433" s="18"/>
      <c r="D433" s="18"/>
      <c r="E433" s="18"/>
      <c r="F433" s="18"/>
      <c r="G433" s="18"/>
      <c r="H433" s="18"/>
      <c r="I433" s="18"/>
      <c r="J433" s="18"/>
      <c r="K433" s="18"/>
      <c r="L433" s="18"/>
      <c r="M433" s="18"/>
      <c r="N433" s="17"/>
      <c r="O433" s="17"/>
      <c r="P433" s="17"/>
      <c r="Q433" s="17"/>
      <c r="R433" s="17"/>
      <c r="S433" s="17"/>
      <c r="T433" s="17"/>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7"/>
      <c r="BT433" s="17"/>
      <c r="BU433" s="17"/>
      <c r="BV433" s="17"/>
      <c r="BW433" s="17"/>
      <c r="BX433" s="18"/>
      <c r="BY433" s="18"/>
      <c r="BZ433" s="18"/>
      <c r="CA433" s="18"/>
      <c r="CB433" s="17"/>
      <c r="CC433" s="17"/>
      <c r="CD433" s="17"/>
      <c r="CE433" s="18"/>
      <c r="CF433" s="18"/>
      <c r="CG433" s="18"/>
      <c r="CH433" s="18"/>
      <c r="CI433" s="18"/>
      <c r="CJ433" s="18"/>
      <c r="CK433" s="18"/>
      <c r="CL433" s="18"/>
      <c r="CM433" s="18"/>
      <c r="CN433" s="18"/>
      <c r="CO433" s="18"/>
      <c r="CP433" s="18"/>
      <c r="CQ433" s="18"/>
      <c r="CR433" s="18"/>
      <c r="CS433" s="18"/>
      <c r="CT433" s="18"/>
      <c r="CU433" s="18"/>
      <c r="CV433" s="18"/>
      <c r="CW433" s="18"/>
      <c r="CX433" s="18"/>
      <c r="CY433" s="37"/>
      <c r="CZ433" s="38"/>
      <c r="DA433" s="18"/>
      <c r="DB433" s="37"/>
      <c r="DC433" s="38"/>
      <c r="DD433" s="18"/>
      <c r="DE433" s="37"/>
      <c r="DF433" s="38"/>
      <c r="DG433" s="18"/>
      <c r="DH433" s="37"/>
      <c r="DI433" s="38"/>
      <c r="DJ433" s="18"/>
      <c r="DK433" s="37"/>
      <c r="DL433" s="38"/>
      <c r="DM433" s="18"/>
      <c r="DN433" s="18"/>
      <c r="DO433" s="18"/>
      <c r="DP433" s="18"/>
      <c r="DQ433" s="18"/>
      <c r="DR433" s="18"/>
      <c r="DS433" s="18"/>
      <c r="DT433" s="18"/>
      <c r="DU433" s="18"/>
      <c r="DV433" s="18"/>
      <c r="DW433" s="18"/>
      <c r="DX433" s="18"/>
      <c r="DY433" s="18"/>
      <c r="DZ433" s="18"/>
    </row>
    <row r="434" spans="1:130" x14ac:dyDescent="0.3">
      <c r="A434" s="18"/>
      <c r="B434" s="18"/>
      <c r="C434" s="18"/>
      <c r="D434" s="18"/>
      <c r="E434" s="18"/>
      <c r="F434" s="18"/>
      <c r="G434" s="18"/>
      <c r="H434" s="18"/>
      <c r="I434" s="18"/>
      <c r="J434" s="18"/>
      <c r="K434" s="18"/>
      <c r="L434" s="18"/>
      <c r="M434" s="18"/>
      <c r="N434" s="17"/>
      <c r="O434" s="17"/>
      <c r="P434" s="17"/>
      <c r="Q434" s="17"/>
      <c r="R434" s="17"/>
      <c r="S434" s="17"/>
      <c r="T434" s="17"/>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7"/>
      <c r="BT434" s="17"/>
      <c r="BU434" s="17"/>
      <c r="BV434" s="17"/>
      <c r="BW434" s="17"/>
      <c r="BX434" s="18"/>
      <c r="BY434" s="18"/>
      <c r="BZ434" s="18"/>
      <c r="CA434" s="18"/>
      <c r="CB434" s="17"/>
      <c r="CC434" s="17"/>
      <c r="CD434" s="17"/>
      <c r="CE434" s="18"/>
      <c r="CF434" s="18"/>
      <c r="CG434" s="18"/>
      <c r="CH434" s="18"/>
      <c r="CI434" s="18"/>
      <c r="CJ434" s="18"/>
      <c r="CK434" s="18"/>
      <c r="CL434" s="18"/>
      <c r="CM434" s="18"/>
      <c r="CN434" s="18"/>
      <c r="CO434" s="18"/>
      <c r="CP434" s="18"/>
      <c r="CQ434" s="18"/>
      <c r="CR434" s="18"/>
      <c r="CS434" s="18"/>
      <c r="CT434" s="18"/>
      <c r="CU434" s="18"/>
      <c r="CV434" s="18"/>
      <c r="CW434" s="18"/>
      <c r="CX434" s="18"/>
      <c r="CY434" s="37"/>
      <c r="CZ434" s="38"/>
      <c r="DA434" s="18"/>
      <c r="DB434" s="37"/>
      <c r="DC434" s="38"/>
      <c r="DD434" s="18"/>
      <c r="DE434" s="37"/>
      <c r="DF434" s="38"/>
      <c r="DG434" s="18"/>
      <c r="DH434" s="37"/>
      <c r="DI434" s="38"/>
      <c r="DJ434" s="18"/>
      <c r="DK434" s="37"/>
      <c r="DL434" s="38"/>
      <c r="DM434" s="18"/>
      <c r="DN434" s="18"/>
      <c r="DO434" s="18"/>
      <c r="DP434" s="18"/>
      <c r="DQ434" s="18"/>
      <c r="DR434" s="18"/>
      <c r="DS434" s="18"/>
      <c r="DT434" s="18"/>
      <c r="DU434" s="18"/>
      <c r="DV434" s="18"/>
      <c r="DW434" s="18"/>
      <c r="DX434" s="18"/>
      <c r="DY434" s="18"/>
      <c r="DZ434" s="18"/>
    </row>
    <row r="435" spans="1:130" x14ac:dyDescent="0.3">
      <c r="A435" s="18"/>
      <c r="B435" s="18"/>
      <c r="C435" s="18"/>
      <c r="D435" s="18"/>
      <c r="E435" s="18"/>
      <c r="F435" s="18"/>
      <c r="G435" s="18"/>
      <c r="H435" s="18"/>
      <c r="I435" s="18"/>
      <c r="J435" s="18"/>
      <c r="K435" s="18"/>
      <c r="L435" s="18"/>
      <c r="M435" s="18"/>
      <c r="N435" s="17"/>
      <c r="O435" s="17"/>
      <c r="P435" s="17"/>
      <c r="Q435" s="17"/>
      <c r="R435" s="17"/>
      <c r="S435" s="17"/>
      <c r="T435" s="17"/>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7"/>
      <c r="BT435" s="17"/>
      <c r="BU435" s="17"/>
      <c r="BV435" s="17"/>
      <c r="BW435" s="17"/>
      <c r="BX435" s="18"/>
      <c r="BY435" s="18"/>
      <c r="BZ435" s="18"/>
      <c r="CA435" s="18"/>
      <c r="CB435" s="17"/>
      <c r="CC435" s="17"/>
      <c r="CD435" s="17"/>
      <c r="CE435" s="18"/>
      <c r="CF435" s="18"/>
      <c r="CG435" s="18"/>
      <c r="CH435" s="18"/>
      <c r="CI435" s="18"/>
      <c r="CJ435" s="18"/>
      <c r="CK435" s="18"/>
      <c r="CL435" s="18"/>
      <c r="CM435" s="18"/>
      <c r="CN435" s="18"/>
      <c r="CO435" s="18"/>
      <c r="CP435" s="18"/>
      <c r="CQ435" s="18"/>
      <c r="CR435" s="18"/>
      <c r="CS435" s="18"/>
      <c r="CT435" s="18"/>
      <c r="CU435" s="18"/>
      <c r="CV435" s="18"/>
      <c r="CW435" s="18"/>
      <c r="CX435" s="18"/>
      <c r="CY435" s="37"/>
      <c r="CZ435" s="38"/>
      <c r="DA435" s="18"/>
      <c r="DB435" s="37"/>
      <c r="DC435" s="38"/>
      <c r="DD435" s="18"/>
      <c r="DE435" s="37"/>
      <c r="DF435" s="38"/>
      <c r="DG435" s="18"/>
      <c r="DH435" s="37"/>
      <c r="DI435" s="38"/>
      <c r="DJ435" s="18"/>
      <c r="DK435" s="37"/>
      <c r="DL435" s="38"/>
      <c r="DM435" s="18"/>
      <c r="DN435" s="18"/>
      <c r="DO435" s="18"/>
      <c r="DP435" s="18"/>
      <c r="DQ435" s="18"/>
      <c r="DR435" s="18"/>
      <c r="DS435" s="18"/>
      <c r="DT435" s="18"/>
      <c r="DU435" s="18"/>
      <c r="DV435" s="18"/>
      <c r="DW435" s="18"/>
      <c r="DX435" s="18"/>
      <c r="DY435" s="18"/>
      <c r="DZ435" s="18"/>
    </row>
    <row r="436" spans="1:130" x14ac:dyDescent="0.3">
      <c r="A436" s="18"/>
      <c r="B436" s="18"/>
      <c r="C436" s="18"/>
      <c r="D436" s="18"/>
      <c r="E436" s="18"/>
      <c r="F436" s="18"/>
      <c r="G436" s="18"/>
      <c r="H436" s="18"/>
      <c r="I436" s="18"/>
      <c r="J436" s="18"/>
      <c r="K436" s="18"/>
      <c r="L436" s="18"/>
      <c r="M436" s="18"/>
      <c r="N436" s="17"/>
      <c r="O436" s="17"/>
      <c r="P436" s="17"/>
      <c r="Q436" s="17"/>
      <c r="R436" s="17"/>
      <c r="S436" s="17"/>
      <c r="T436" s="17"/>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7"/>
      <c r="BT436" s="17"/>
      <c r="BU436" s="17"/>
      <c r="BV436" s="17"/>
      <c r="BW436" s="17"/>
      <c r="BX436" s="18"/>
      <c r="BY436" s="18"/>
      <c r="BZ436" s="18"/>
      <c r="CA436" s="18"/>
      <c r="CB436" s="17"/>
      <c r="CC436" s="17"/>
      <c r="CD436" s="17"/>
      <c r="CE436" s="18"/>
      <c r="CF436" s="18"/>
      <c r="CG436" s="18"/>
      <c r="CH436" s="18"/>
      <c r="CI436" s="18"/>
      <c r="CJ436" s="18"/>
      <c r="CK436" s="18"/>
      <c r="CL436" s="18"/>
      <c r="CM436" s="18"/>
      <c r="CN436" s="18"/>
      <c r="CO436" s="18"/>
      <c r="CP436" s="18"/>
      <c r="CQ436" s="18"/>
      <c r="CR436" s="18"/>
      <c r="CS436" s="18"/>
      <c r="CT436" s="18"/>
      <c r="CU436" s="18"/>
      <c r="CV436" s="18"/>
      <c r="CW436" s="18"/>
      <c r="CX436" s="18"/>
      <c r="CY436" s="37"/>
      <c r="CZ436" s="38"/>
      <c r="DA436" s="18"/>
      <c r="DB436" s="37"/>
      <c r="DC436" s="38"/>
      <c r="DD436" s="18"/>
      <c r="DE436" s="37"/>
      <c r="DF436" s="38"/>
      <c r="DG436" s="18"/>
      <c r="DH436" s="37"/>
      <c r="DI436" s="38"/>
      <c r="DJ436" s="18"/>
      <c r="DK436" s="37"/>
      <c r="DL436" s="38"/>
      <c r="DM436" s="18"/>
      <c r="DN436" s="18"/>
      <c r="DO436" s="18"/>
      <c r="DP436" s="18"/>
      <c r="DQ436" s="18"/>
      <c r="DR436" s="18"/>
      <c r="DS436" s="18"/>
      <c r="DT436" s="18"/>
      <c r="DU436" s="18"/>
      <c r="DV436" s="18"/>
      <c r="DW436" s="18"/>
      <c r="DX436" s="18"/>
      <c r="DY436" s="18"/>
      <c r="DZ436" s="18"/>
    </row>
    <row r="437" spans="1:130" x14ac:dyDescent="0.3">
      <c r="A437" s="18"/>
      <c r="B437" s="18"/>
      <c r="C437" s="18"/>
      <c r="D437" s="18"/>
      <c r="E437" s="18"/>
      <c r="F437" s="18"/>
      <c r="G437" s="18"/>
      <c r="H437" s="18"/>
      <c r="I437" s="18"/>
      <c r="J437" s="18"/>
      <c r="K437" s="18"/>
      <c r="L437" s="18"/>
      <c r="M437" s="18"/>
      <c r="N437" s="17"/>
      <c r="O437" s="17"/>
      <c r="P437" s="17"/>
      <c r="Q437" s="17"/>
      <c r="R437" s="17"/>
      <c r="S437" s="17"/>
      <c r="T437" s="17"/>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7"/>
      <c r="BT437" s="17"/>
      <c r="BU437" s="17"/>
      <c r="BV437" s="17"/>
      <c r="BW437" s="17"/>
      <c r="BX437" s="18"/>
      <c r="BY437" s="18"/>
      <c r="BZ437" s="18"/>
      <c r="CA437" s="18"/>
      <c r="CB437" s="17"/>
      <c r="CC437" s="17"/>
      <c r="CD437" s="17"/>
      <c r="CE437" s="18"/>
      <c r="CF437" s="18"/>
      <c r="CG437" s="18"/>
      <c r="CH437" s="18"/>
      <c r="CI437" s="18"/>
      <c r="CJ437" s="18"/>
      <c r="CK437" s="18"/>
      <c r="CL437" s="18"/>
      <c r="CM437" s="18"/>
      <c r="CN437" s="18"/>
      <c r="CO437" s="18"/>
      <c r="CP437" s="18"/>
      <c r="CQ437" s="18"/>
      <c r="CR437" s="18"/>
      <c r="CS437" s="18"/>
      <c r="CT437" s="18"/>
      <c r="CU437" s="18"/>
      <c r="CV437" s="18"/>
      <c r="CW437" s="18"/>
      <c r="CX437" s="18"/>
      <c r="CY437" s="37"/>
      <c r="CZ437" s="38"/>
      <c r="DA437" s="18"/>
      <c r="DB437" s="37"/>
      <c r="DC437" s="38"/>
      <c r="DD437" s="18"/>
      <c r="DE437" s="37"/>
      <c r="DF437" s="38"/>
      <c r="DG437" s="18"/>
      <c r="DH437" s="37"/>
      <c r="DI437" s="38"/>
      <c r="DJ437" s="18"/>
      <c r="DK437" s="37"/>
      <c r="DL437" s="38"/>
      <c r="DM437" s="18"/>
      <c r="DN437" s="18"/>
      <c r="DO437" s="18"/>
      <c r="DP437" s="18"/>
      <c r="DQ437" s="18"/>
      <c r="DR437" s="18"/>
      <c r="DS437" s="18"/>
      <c r="DT437" s="18"/>
      <c r="DU437" s="18"/>
      <c r="DV437" s="18"/>
      <c r="DW437" s="18"/>
      <c r="DX437" s="18"/>
      <c r="DY437" s="18"/>
      <c r="DZ437" s="18"/>
    </row>
    <row r="438" spans="1:130" x14ac:dyDescent="0.3">
      <c r="A438" s="18"/>
      <c r="B438" s="18"/>
      <c r="C438" s="18"/>
      <c r="D438" s="18"/>
      <c r="E438" s="18"/>
      <c r="F438" s="18"/>
      <c r="G438" s="18"/>
      <c r="H438" s="18"/>
      <c r="I438" s="18"/>
      <c r="J438" s="18"/>
      <c r="K438" s="18"/>
      <c r="L438" s="18"/>
      <c r="M438" s="18"/>
      <c r="N438" s="17"/>
      <c r="O438" s="17"/>
      <c r="P438" s="17"/>
      <c r="Q438" s="17"/>
      <c r="R438" s="17"/>
      <c r="S438" s="17"/>
      <c r="T438" s="17"/>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7"/>
      <c r="BT438" s="17"/>
      <c r="BU438" s="17"/>
      <c r="BV438" s="17"/>
      <c r="BW438" s="17"/>
      <c r="BX438" s="18"/>
      <c r="BY438" s="18"/>
      <c r="BZ438" s="18"/>
      <c r="CA438" s="18"/>
      <c r="CB438" s="17"/>
      <c r="CC438" s="17"/>
      <c r="CD438" s="17"/>
      <c r="CE438" s="18"/>
      <c r="CF438" s="18"/>
      <c r="CG438" s="18"/>
      <c r="CH438" s="18"/>
      <c r="CI438" s="18"/>
      <c r="CJ438" s="18"/>
      <c r="CK438" s="18"/>
      <c r="CL438" s="18"/>
      <c r="CM438" s="18"/>
      <c r="CN438" s="18"/>
      <c r="CO438" s="18"/>
      <c r="CP438" s="18"/>
      <c r="CQ438" s="18"/>
      <c r="CR438" s="18"/>
      <c r="CS438" s="18"/>
      <c r="CT438" s="18"/>
      <c r="CU438" s="18"/>
      <c r="CV438" s="18"/>
      <c r="CW438" s="18"/>
      <c r="CX438" s="18"/>
      <c r="CY438" s="37"/>
      <c r="CZ438" s="38"/>
      <c r="DA438" s="18"/>
      <c r="DB438" s="37"/>
      <c r="DC438" s="38"/>
      <c r="DD438" s="18"/>
      <c r="DE438" s="37"/>
      <c r="DF438" s="38"/>
      <c r="DG438" s="18"/>
      <c r="DH438" s="37"/>
      <c r="DI438" s="38"/>
      <c r="DJ438" s="18"/>
      <c r="DK438" s="37"/>
      <c r="DL438" s="38"/>
      <c r="DM438" s="18"/>
      <c r="DN438" s="18"/>
      <c r="DO438" s="18"/>
      <c r="DP438" s="18"/>
      <c r="DQ438" s="18"/>
      <c r="DR438" s="18"/>
      <c r="DS438" s="18"/>
      <c r="DT438" s="18"/>
      <c r="DU438" s="18"/>
      <c r="DV438" s="18"/>
      <c r="DW438" s="18"/>
      <c r="DX438" s="18"/>
      <c r="DY438" s="18"/>
      <c r="DZ438" s="18"/>
    </row>
    <row r="439" spans="1:130" x14ac:dyDescent="0.3">
      <c r="A439" s="18"/>
      <c r="B439" s="18"/>
      <c r="C439" s="18"/>
      <c r="D439" s="18"/>
      <c r="E439" s="18"/>
      <c r="F439" s="18"/>
      <c r="G439" s="18"/>
      <c r="H439" s="18"/>
      <c r="I439" s="18"/>
      <c r="J439" s="18"/>
      <c r="K439" s="18"/>
      <c r="L439" s="18"/>
      <c r="M439" s="18"/>
      <c r="N439" s="17"/>
      <c r="O439" s="17"/>
      <c r="P439" s="17"/>
      <c r="Q439" s="17"/>
      <c r="R439" s="17"/>
      <c r="S439" s="17"/>
      <c r="T439" s="17"/>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7"/>
      <c r="BT439" s="17"/>
      <c r="BU439" s="17"/>
      <c r="BV439" s="17"/>
      <c r="BW439" s="17"/>
      <c r="BX439" s="18"/>
      <c r="BY439" s="18"/>
      <c r="BZ439" s="18"/>
      <c r="CA439" s="18"/>
      <c r="CB439" s="17"/>
      <c r="CC439" s="17"/>
      <c r="CD439" s="17"/>
      <c r="CE439" s="18"/>
      <c r="CF439" s="18"/>
      <c r="CG439" s="18"/>
      <c r="CH439" s="18"/>
      <c r="CI439" s="18"/>
      <c r="CJ439" s="18"/>
      <c r="CK439" s="18"/>
      <c r="CL439" s="18"/>
      <c r="CM439" s="18"/>
      <c r="CN439" s="18"/>
      <c r="CO439" s="18"/>
      <c r="CP439" s="18"/>
      <c r="CQ439" s="18"/>
      <c r="CR439" s="18"/>
      <c r="CS439" s="18"/>
      <c r="CT439" s="18"/>
      <c r="CU439" s="18"/>
      <c r="CV439" s="18"/>
      <c r="CW439" s="18"/>
      <c r="CX439" s="18"/>
      <c r="CY439" s="37"/>
      <c r="CZ439" s="38"/>
      <c r="DA439" s="18"/>
      <c r="DB439" s="37"/>
      <c r="DC439" s="38"/>
      <c r="DD439" s="18"/>
      <c r="DE439" s="37"/>
      <c r="DF439" s="38"/>
      <c r="DG439" s="18"/>
      <c r="DH439" s="37"/>
      <c r="DI439" s="38"/>
      <c r="DJ439" s="18"/>
      <c r="DK439" s="37"/>
      <c r="DL439" s="38"/>
      <c r="DM439" s="18"/>
      <c r="DN439" s="18"/>
      <c r="DO439" s="18"/>
      <c r="DP439" s="18"/>
      <c r="DQ439" s="18"/>
      <c r="DR439" s="18"/>
      <c r="DS439" s="18"/>
      <c r="DT439" s="18"/>
      <c r="DU439" s="18"/>
      <c r="DV439" s="18"/>
      <c r="DW439" s="18"/>
      <c r="DX439" s="18"/>
      <c r="DY439" s="18"/>
      <c r="DZ439" s="18"/>
    </row>
    <row r="440" spans="1:130" x14ac:dyDescent="0.3">
      <c r="A440" s="18"/>
      <c r="B440" s="18"/>
      <c r="C440" s="18"/>
      <c r="D440" s="18"/>
      <c r="E440" s="18"/>
      <c r="F440" s="18"/>
      <c r="G440" s="18"/>
      <c r="H440" s="18"/>
      <c r="I440" s="18"/>
      <c r="J440" s="18"/>
      <c r="K440" s="18"/>
      <c r="L440" s="18"/>
      <c r="M440" s="18"/>
      <c r="N440" s="17"/>
      <c r="O440" s="17"/>
      <c r="P440" s="17"/>
      <c r="Q440" s="17"/>
      <c r="R440" s="17"/>
      <c r="S440" s="17"/>
      <c r="T440" s="17"/>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7"/>
      <c r="BT440" s="17"/>
      <c r="BU440" s="17"/>
      <c r="BV440" s="17"/>
      <c r="BW440" s="17"/>
      <c r="BX440" s="18"/>
      <c r="BY440" s="18"/>
      <c r="BZ440" s="18"/>
      <c r="CA440" s="18"/>
      <c r="CB440" s="17"/>
      <c r="CC440" s="17"/>
      <c r="CD440" s="17"/>
      <c r="CE440" s="18"/>
      <c r="CF440" s="18"/>
      <c r="CG440" s="18"/>
      <c r="CH440" s="18"/>
      <c r="CI440" s="18"/>
      <c r="CJ440" s="18"/>
      <c r="CK440" s="18"/>
      <c r="CL440" s="18"/>
      <c r="CM440" s="18"/>
      <c r="CN440" s="18"/>
      <c r="CO440" s="18"/>
      <c r="CP440" s="18"/>
      <c r="CQ440" s="18"/>
      <c r="CR440" s="18"/>
      <c r="CS440" s="18"/>
      <c r="CT440" s="18"/>
      <c r="CU440" s="18"/>
      <c r="CV440" s="18"/>
      <c r="CW440" s="18"/>
      <c r="CX440" s="18"/>
      <c r="CY440" s="37"/>
      <c r="CZ440" s="38"/>
      <c r="DA440" s="18"/>
      <c r="DB440" s="37"/>
      <c r="DC440" s="38"/>
      <c r="DD440" s="18"/>
      <c r="DE440" s="37"/>
      <c r="DF440" s="38"/>
      <c r="DG440" s="18"/>
      <c r="DH440" s="37"/>
      <c r="DI440" s="38"/>
      <c r="DJ440" s="18"/>
      <c r="DK440" s="37"/>
      <c r="DL440" s="38"/>
      <c r="DM440" s="18"/>
      <c r="DN440" s="18"/>
      <c r="DO440" s="18"/>
      <c r="DP440" s="18"/>
      <c r="DQ440" s="18"/>
      <c r="DR440" s="18"/>
      <c r="DS440" s="18"/>
      <c r="DT440" s="18"/>
      <c r="DU440" s="18"/>
      <c r="DV440" s="18"/>
      <c r="DW440" s="18"/>
      <c r="DX440" s="18"/>
      <c r="DY440" s="18"/>
      <c r="DZ440" s="18"/>
    </row>
    <row r="441" spans="1:130" x14ac:dyDescent="0.3">
      <c r="A441" s="18"/>
      <c r="B441" s="18"/>
      <c r="C441" s="18"/>
      <c r="D441" s="18"/>
      <c r="E441" s="18"/>
      <c r="F441" s="18"/>
      <c r="G441" s="18"/>
      <c r="H441" s="18"/>
      <c r="I441" s="18"/>
      <c r="J441" s="18"/>
      <c r="K441" s="18"/>
      <c r="L441" s="18"/>
      <c r="M441" s="18"/>
      <c r="N441" s="17"/>
      <c r="O441" s="17"/>
      <c r="P441" s="17"/>
      <c r="Q441" s="17"/>
      <c r="R441" s="17"/>
      <c r="S441" s="17"/>
      <c r="T441" s="17"/>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7"/>
      <c r="BT441" s="17"/>
      <c r="BU441" s="17"/>
      <c r="BV441" s="17"/>
      <c r="BW441" s="17"/>
      <c r="BX441" s="18"/>
      <c r="BY441" s="18"/>
      <c r="BZ441" s="18"/>
      <c r="CA441" s="18"/>
      <c r="CB441" s="17"/>
      <c r="CC441" s="17"/>
      <c r="CD441" s="17"/>
      <c r="CE441" s="18"/>
      <c r="CF441" s="18"/>
      <c r="CG441" s="18"/>
      <c r="CH441" s="18"/>
      <c r="CI441" s="18"/>
      <c r="CJ441" s="18"/>
      <c r="CK441" s="18"/>
      <c r="CL441" s="18"/>
      <c r="CM441" s="18"/>
      <c r="CN441" s="18"/>
      <c r="CO441" s="18"/>
      <c r="CP441" s="18"/>
      <c r="CQ441" s="18"/>
      <c r="CR441" s="18"/>
      <c r="CS441" s="18"/>
      <c r="CT441" s="18"/>
      <c r="CU441" s="18"/>
      <c r="CV441" s="18"/>
      <c r="CW441" s="18"/>
      <c r="CX441" s="18"/>
      <c r="CY441" s="18"/>
      <c r="CZ441" s="18"/>
      <c r="DA441" s="18"/>
      <c r="DB441" s="18"/>
      <c r="DC441" s="18"/>
      <c r="DD441" s="18"/>
      <c r="DE441" s="18"/>
      <c r="DF441" s="18"/>
      <c r="DG441" s="18"/>
      <c r="DH441" s="18"/>
      <c r="DI441" s="18"/>
      <c r="DJ441" s="18"/>
      <c r="DK441" s="18"/>
      <c r="DL441" s="18"/>
      <c r="DM441" s="18"/>
      <c r="DN441" s="18"/>
      <c r="DO441" s="18"/>
      <c r="DP441" s="18"/>
      <c r="DQ441" s="18"/>
      <c r="DR441" s="18"/>
      <c r="DS441" s="18"/>
      <c r="DT441" s="18"/>
      <c r="DU441" s="18"/>
      <c r="DV441" s="18"/>
      <c r="DW441" s="18"/>
      <c r="DX441" s="18"/>
      <c r="DY441" s="18"/>
      <c r="DZ441" s="18"/>
    </row>
    <row r="442" spans="1:130" x14ac:dyDescent="0.3">
      <c r="A442" s="18"/>
      <c r="B442" s="18"/>
      <c r="C442" s="18"/>
      <c r="D442" s="18"/>
      <c r="E442" s="18"/>
      <c r="F442" s="18"/>
      <c r="G442" s="18"/>
      <c r="H442" s="18"/>
      <c r="I442" s="18"/>
      <c r="J442" s="18"/>
      <c r="K442" s="18"/>
      <c r="L442" s="18"/>
      <c r="M442" s="18"/>
      <c r="N442" s="17"/>
      <c r="O442" s="17"/>
      <c r="P442" s="17"/>
      <c r="Q442" s="17"/>
      <c r="R442" s="17"/>
      <c r="S442" s="17"/>
      <c r="T442" s="17"/>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7"/>
      <c r="BT442" s="17"/>
      <c r="BU442" s="17"/>
      <c r="BV442" s="17"/>
      <c r="BW442" s="17"/>
      <c r="BX442" s="18"/>
      <c r="BY442" s="18"/>
      <c r="BZ442" s="18"/>
      <c r="CA442" s="18"/>
      <c r="CB442" s="17"/>
      <c r="CC442" s="17"/>
      <c r="CD442" s="17"/>
      <c r="CE442" s="18"/>
      <c r="CF442" s="18"/>
      <c r="CG442" s="18"/>
      <c r="CH442" s="18"/>
      <c r="CI442" s="18"/>
      <c r="CJ442" s="18"/>
      <c r="CK442" s="18"/>
      <c r="CL442" s="18"/>
      <c r="CM442" s="18"/>
      <c r="CN442" s="18"/>
      <c r="CO442" s="18"/>
      <c r="CP442" s="18"/>
      <c r="CQ442" s="18"/>
      <c r="CR442" s="18"/>
      <c r="CS442" s="18"/>
      <c r="CT442" s="18"/>
      <c r="CU442" s="18"/>
      <c r="CV442" s="18"/>
      <c r="CW442" s="18"/>
      <c r="CX442" s="18"/>
      <c r="CY442" s="18"/>
      <c r="CZ442" s="18"/>
      <c r="DA442" s="18"/>
      <c r="DB442" s="18"/>
      <c r="DC442" s="18"/>
      <c r="DD442" s="18"/>
      <c r="DE442" s="18"/>
      <c r="DF442" s="18"/>
      <c r="DG442" s="18"/>
      <c r="DH442" s="18"/>
      <c r="DI442" s="18"/>
      <c r="DJ442" s="18"/>
      <c r="DK442" s="18"/>
      <c r="DL442" s="18"/>
      <c r="DM442" s="18"/>
      <c r="DN442" s="18"/>
      <c r="DO442" s="18"/>
      <c r="DP442" s="18"/>
      <c r="DQ442" s="18"/>
      <c r="DR442" s="18"/>
      <c r="DS442" s="18"/>
      <c r="DT442" s="18"/>
      <c r="DU442" s="18"/>
      <c r="DV442" s="18"/>
      <c r="DW442" s="18"/>
      <c r="DX442" s="18"/>
      <c r="DY442" s="18"/>
      <c r="DZ442" s="18"/>
    </row>
    <row r="443" spans="1:130" x14ac:dyDescent="0.3">
      <c r="A443" s="18"/>
      <c r="B443" s="18"/>
      <c r="C443" s="18"/>
      <c r="D443" s="18"/>
      <c r="E443" s="18"/>
      <c r="F443" s="18"/>
      <c r="G443" s="18"/>
      <c r="H443" s="18"/>
      <c r="I443" s="18"/>
      <c r="J443" s="18"/>
      <c r="K443" s="18"/>
      <c r="L443" s="18"/>
      <c r="M443" s="18"/>
      <c r="N443" s="17"/>
      <c r="O443" s="17"/>
      <c r="P443" s="17"/>
      <c r="Q443" s="17"/>
      <c r="R443" s="17"/>
      <c r="S443" s="17"/>
      <c r="T443" s="17"/>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7"/>
      <c r="BT443" s="17"/>
      <c r="BU443" s="17"/>
      <c r="BV443" s="17"/>
      <c r="BW443" s="17"/>
      <c r="BX443" s="18"/>
      <c r="BY443" s="18"/>
      <c r="BZ443" s="18"/>
      <c r="CA443" s="18"/>
      <c r="CB443" s="17"/>
      <c r="CC443" s="17"/>
      <c r="CD443" s="17"/>
      <c r="CE443" s="18"/>
      <c r="CF443" s="18"/>
      <c r="CG443" s="18"/>
      <c r="CH443" s="18"/>
      <c r="CI443" s="18"/>
      <c r="CJ443" s="18"/>
      <c r="CK443" s="18"/>
      <c r="CL443" s="18"/>
      <c r="CM443" s="18"/>
      <c r="CN443" s="18"/>
      <c r="CO443" s="18"/>
      <c r="CP443" s="18"/>
      <c r="CQ443" s="18"/>
      <c r="CR443" s="18"/>
      <c r="CS443" s="18"/>
      <c r="CT443" s="18"/>
      <c r="CU443" s="18"/>
      <c r="CV443" s="18"/>
      <c r="CW443" s="18"/>
      <c r="CX443" s="18"/>
      <c r="CY443" s="18"/>
      <c r="CZ443" s="18"/>
      <c r="DA443" s="18"/>
      <c r="DB443" s="18"/>
      <c r="DC443" s="18"/>
      <c r="DD443" s="18"/>
      <c r="DE443" s="18"/>
      <c r="DF443" s="18"/>
      <c r="DG443" s="18"/>
      <c r="DH443" s="18"/>
      <c r="DI443" s="18"/>
      <c r="DJ443" s="18"/>
      <c r="DK443" s="18"/>
      <c r="DL443" s="18"/>
      <c r="DM443" s="18"/>
      <c r="DN443" s="18"/>
      <c r="DO443" s="18"/>
      <c r="DP443" s="18"/>
      <c r="DQ443" s="18"/>
      <c r="DR443" s="18"/>
      <c r="DS443" s="18"/>
      <c r="DT443" s="18"/>
      <c r="DU443" s="18"/>
      <c r="DV443" s="18"/>
      <c r="DW443" s="18"/>
      <c r="DX443" s="18"/>
      <c r="DY443" s="18"/>
      <c r="DZ443" s="18"/>
    </row>
    <row r="444" spans="1:130" x14ac:dyDescent="0.3">
      <c r="A444" s="18"/>
      <c r="B444" s="18"/>
      <c r="C444" s="18"/>
      <c r="D444" s="18"/>
      <c r="E444" s="18"/>
      <c r="F444" s="18"/>
      <c r="G444" s="18"/>
      <c r="H444" s="18"/>
      <c r="I444" s="18"/>
      <c r="J444" s="18"/>
      <c r="K444" s="18"/>
      <c r="L444" s="18"/>
      <c r="M444" s="18"/>
      <c r="N444" s="17"/>
      <c r="O444" s="17"/>
      <c r="P444" s="17"/>
      <c r="Q444" s="17"/>
      <c r="R444" s="17"/>
      <c r="S444" s="17"/>
      <c r="T444" s="17"/>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7"/>
      <c r="BT444" s="17"/>
      <c r="BU444" s="17"/>
      <c r="BV444" s="17"/>
      <c r="BW444" s="17"/>
      <c r="BX444" s="18"/>
      <c r="BY444" s="18"/>
      <c r="BZ444" s="18"/>
      <c r="CA444" s="18"/>
      <c r="CB444" s="17"/>
      <c r="CC444" s="17"/>
      <c r="CD444" s="17"/>
      <c r="CE444" s="18"/>
      <c r="CF444" s="18"/>
      <c r="CG444" s="18"/>
      <c r="CH444" s="18"/>
      <c r="CI444" s="18"/>
      <c r="CJ444" s="18"/>
      <c r="CK444" s="18"/>
      <c r="CL444" s="18"/>
      <c r="CM444" s="18"/>
      <c r="CN444" s="18"/>
      <c r="CO444" s="18"/>
      <c r="CP444" s="18"/>
      <c r="CQ444" s="18"/>
      <c r="CR444" s="18"/>
      <c r="CS444" s="18"/>
      <c r="CT444" s="18"/>
      <c r="CU444" s="18"/>
      <c r="CV444" s="18"/>
      <c r="CW444" s="18"/>
      <c r="CX444" s="18"/>
      <c r="CY444" s="18"/>
      <c r="CZ444" s="18"/>
      <c r="DA444" s="18"/>
      <c r="DB444" s="18"/>
      <c r="DC444" s="18"/>
      <c r="DD444" s="18"/>
      <c r="DE444" s="18"/>
      <c r="DF444" s="18"/>
      <c r="DG444" s="18"/>
      <c r="DH444" s="18"/>
      <c r="DI444" s="18"/>
      <c r="DJ444" s="18"/>
      <c r="DK444" s="18"/>
      <c r="DL444" s="18"/>
      <c r="DM444" s="18"/>
      <c r="DN444" s="18"/>
      <c r="DO444" s="18"/>
      <c r="DP444" s="18"/>
      <c r="DQ444" s="18"/>
      <c r="DR444" s="18"/>
      <c r="DS444" s="18"/>
      <c r="DT444" s="18"/>
      <c r="DU444" s="18"/>
      <c r="DV444" s="18"/>
      <c r="DW444" s="18"/>
      <c r="DX444" s="18"/>
      <c r="DY444" s="18"/>
      <c r="DZ444" s="18"/>
    </row>
    <row r="445" spans="1:130" x14ac:dyDescent="0.3">
      <c r="A445" s="18"/>
      <c r="B445" s="18"/>
      <c r="C445" s="18"/>
      <c r="D445" s="18"/>
      <c r="E445" s="18"/>
      <c r="F445" s="18"/>
      <c r="G445" s="18"/>
      <c r="H445" s="18"/>
      <c r="I445" s="18"/>
      <c r="J445" s="18"/>
      <c r="K445" s="18"/>
      <c r="L445" s="18"/>
      <c r="M445" s="18"/>
      <c r="N445" s="17"/>
      <c r="O445" s="17"/>
      <c r="P445" s="17"/>
      <c r="Q445" s="17"/>
      <c r="R445" s="17"/>
      <c r="S445" s="17"/>
      <c r="T445" s="17"/>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7"/>
      <c r="BT445" s="17"/>
      <c r="BU445" s="17"/>
      <c r="BV445" s="17"/>
      <c r="BW445" s="17"/>
      <c r="BX445" s="18"/>
      <c r="BY445" s="18"/>
      <c r="BZ445" s="18"/>
      <c r="CA445" s="18"/>
      <c r="CB445" s="17"/>
      <c r="CC445" s="17"/>
      <c r="CD445" s="17"/>
      <c r="CE445" s="18"/>
      <c r="CF445" s="18"/>
      <c r="CG445" s="18"/>
      <c r="CH445" s="18"/>
      <c r="CI445" s="18"/>
      <c r="CJ445" s="18"/>
      <c r="CK445" s="18"/>
      <c r="CL445" s="18"/>
      <c r="CM445" s="18"/>
      <c r="CN445" s="18"/>
      <c r="CO445" s="18"/>
      <c r="CP445" s="18"/>
      <c r="CQ445" s="18"/>
      <c r="CR445" s="18"/>
      <c r="CS445" s="18"/>
      <c r="CT445" s="18"/>
      <c r="CU445" s="18"/>
      <c r="CV445" s="18"/>
      <c r="CW445" s="18"/>
      <c r="CX445" s="18"/>
      <c r="CY445" s="18"/>
      <c r="CZ445" s="18"/>
      <c r="DA445" s="18"/>
      <c r="DB445" s="18"/>
      <c r="DC445" s="18"/>
      <c r="DD445" s="18"/>
      <c r="DE445" s="18"/>
      <c r="DF445" s="18"/>
      <c r="DG445" s="18"/>
      <c r="DH445" s="18"/>
      <c r="DI445" s="18"/>
      <c r="DJ445" s="18"/>
      <c r="DK445" s="18"/>
      <c r="DL445" s="18"/>
      <c r="DM445" s="18"/>
      <c r="DN445" s="18"/>
      <c r="DO445" s="18"/>
      <c r="DP445" s="18"/>
      <c r="DQ445" s="18"/>
      <c r="DR445" s="18"/>
      <c r="DS445" s="18"/>
      <c r="DT445" s="18"/>
      <c r="DU445" s="18"/>
      <c r="DV445" s="18"/>
      <c r="DW445" s="18"/>
      <c r="DX445" s="18"/>
      <c r="DY445" s="18"/>
      <c r="DZ445" s="18"/>
    </row>
    <row r="446" spans="1:130" x14ac:dyDescent="0.3">
      <c r="A446" s="18"/>
      <c r="B446" s="18"/>
      <c r="C446" s="18"/>
      <c r="D446" s="18"/>
      <c r="E446" s="18"/>
      <c r="F446" s="18"/>
      <c r="G446" s="18"/>
      <c r="H446" s="18"/>
      <c r="I446" s="18"/>
      <c r="J446" s="18"/>
      <c r="K446" s="18"/>
      <c r="L446" s="18"/>
      <c r="M446" s="18"/>
      <c r="N446" s="17"/>
      <c r="O446" s="17"/>
      <c r="P446" s="17"/>
      <c r="Q446" s="17"/>
      <c r="R446" s="17"/>
      <c r="S446" s="17"/>
      <c r="T446" s="17"/>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7"/>
      <c r="BT446" s="17"/>
      <c r="BU446" s="17"/>
      <c r="BV446" s="17"/>
      <c r="BW446" s="17"/>
      <c r="BX446" s="18"/>
      <c r="BY446" s="18"/>
      <c r="BZ446" s="18"/>
      <c r="CA446" s="18"/>
      <c r="CB446" s="17"/>
      <c r="CC446" s="17"/>
      <c r="CD446" s="17"/>
      <c r="CE446" s="18"/>
      <c r="CF446" s="18"/>
      <c r="CG446" s="18"/>
      <c r="CH446" s="18"/>
      <c r="CI446" s="18"/>
      <c r="CJ446" s="18"/>
      <c r="CK446" s="18"/>
      <c r="CL446" s="18"/>
      <c r="CM446" s="18"/>
      <c r="CN446" s="18"/>
      <c r="CO446" s="18"/>
      <c r="CP446" s="18"/>
      <c r="CQ446" s="18"/>
      <c r="CR446" s="18"/>
      <c r="CS446" s="18"/>
      <c r="CT446" s="18"/>
      <c r="CU446" s="18"/>
      <c r="CV446" s="18"/>
      <c r="CW446" s="18"/>
      <c r="CX446" s="18"/>
      <c r="CY446" s="18"/>
      <c r="CZ446" s="18"/>
      <c r="DA446" s="18"/>
      <c r="DB446" s="18"/>
      <c r="DC446" s="18"/>
      <c r="DD446" s="18"/>
      <c r="DE446" s="18"/>
      <c r="DF446" s="18"/>
      <c r="DG446" s="18"/>
      <c r="DH446" s="18"/>
      <c r="DI446" s="18"/>
      <c r="DJ446" s="18"/>
      <c r="DK446" s="18"/>
      <c r="DL446" s="18"/>
      <c r="DM446" s="18"/>
      <c r="DN446" s="18"/>
      <c r="DO446" s="18"/>
      <c r="DP446" s="18"/>
      <c r="DQ446" s="18"/>
      <c r="DR446" s="18"/>
      <c r="DS446" s="18"/>
      <c r="DT446" s="18"/>
      <c r="DU446" s="18"/>
      <c r="DV446" s="18"/>
      <c r="DW446" s="18"/>
      <c r="DX446" s="18"/>
      <c r="DY446" s="18"/>
      <c r="DZ446" s="18"/>
    </row>
    <row r="447" spans="1:130" x14ac:dyDescent="0.3">
      <c r="A447" s="18"/>
      <c r="B447" s="18"/>
      <c r="C447" s="18"/>
      <c r="D447" s="18"/>
      <c r="E447" s="18"/>
      <c r="F447" s="18"/>
      <c r="G447" s="18"/>
      <c r="H447" s="18"/>
      <c r="I447" s="18"/>
      <c r="J447" s="18"/>
      <c r="K447" s="18"/>
      <c r="L447" s="18"/>
      <c r="M447" s="18"/>
      <c r="N447" s="17"/>
      <c r="O447" s="17"/>
      <c r="P447" s="17"/>
      <c r="Q447" s="17"/>
      <c r="R447" s="17"/>
      <c r="S447" s="17"/>
      <c r="T447" s="17"/>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7"/>
      <c r="BT447" s="17"/>
      <c r="BU447" s="17"/>
      <c r="BV447" s="17"/>
      <c r="BW447" s="17"/>
      <c r="BX447" s="18"/>
      <c r="BY447" s="18"/>
      <c r="BZ447" s="18"/>
      <c r="CA447" s="18"/>
      <c r="CB447" s="17"/>
      <c r="CC447" s="17"/>
      <c r="CD447" s="17"/>
      <c r="CE447" s="18"/>
      <c r="CF447" s="18"/>
      <c r="CG447" s="18"/>
      <c r="CH447" s="18"/>
      <c r="CI447" s="18"/>
      <c r="CJ447" s="18"/>
      <c r="CK447" s="18"/>
      <c r="CL447" s="18"/>
      <c r="CM447" s="18"/>
      <c r="CN447" s="18"/>
      <c r="CO447" s="18"/>
      <c r="CP447" s="18"/>
      <c r="CQ447" s="18"/>
      <c r="CR447" s="18"/>
      <c r="CS447" s="18"/>
      <c r="CT447" s="18"/>
      <c r="CU447" s="18"/>
      <c r="CV447" s="18"/>
      <c r="CW447" s="18"/>
      <c r="CX447" s="18"/>
      <c r="CY447" s="18"/>
      <c r="CZ447" s="18"/>
      <c r="DA447" s="18"/>
      <c r="DB447" s="18"/>
      <c r="DC447" s="18"/>
      <c r="DD447" s="18"/>
      <c r="DE447" s="18"/>
      <c r="DF447" s="18"/>
      <c r="DG447" s="18"/>
      <c r="DH447" s="18"/>
      <c r="DI447" s="18"/>
      <c r="DJ447" s="18"/>
      <c r="DK447" s="18"/>
      <c r="DL447" s="18"/>
      <c r="DM447" s="18"/>
      <c r="DN447" s="18"/>
      <c r="DO447" s="18"/>
      <c r="DP447" s="18"/>
      <c r="DQ447" s="18"/>
      <c r="DR447" s="18"/>
      <c r="DS447" s="18"/>
      <c r="DT447" s="18"/>
      <c r="DU447" s="18"/>
      <c r="DV447" s="18"/>
      <c r="DW447" s="18"/>
      <c r="DX447" s="18"/>
      <c r="DY447" s="18"/>
      <c r="DZ447" s="18"/>
    </row>
    <row r="448" spans="1:130" x14ac:dyDescent="0.3">
      <c r="A448" s="18"/>
      <c r="B448" s="18"/>
      <c r="C448" s="18"/>
      <c r="D448" s="18"/>
      <c r="E448" s="18"/>
      <c r="F448" s="18"/>
      <c r="G448" s="18"/>
      <c r="H448" s="18"/>
      <c r="I448" s="18"/>
      <c r="J448" s="18"/>
      <c r="K448" s="18"/>
      <c r="L448" s="18"/>
      <c r="M448" s="18"/>
      <c r="N448" s="17"/>
      <c r="O448" s="17"/>
      <c r="P448" s="17"/>
      <c r="Q448" s="17"/>
      <c r="R448" s="17"/>
      <c r="S448" s="17"/>
      <c r="T448" s="17"/>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7"/>
      <c r="BT448" s="17"/>
      <c r="BU448" s="17"/>
      <c r="BV448" s="17"/>
      <c r="BW448" s="17"/>
      <c r="BX448" s="18"/>
      <c r="BY448" s="18"/>
      <c r="BZ448" s="18"/>
      <c r="CA448" s="18"/>
      <c r="CB448" s="17"/>
      <c r="CC448" s="17"/>
      <c r="CD448" s="17"/>
      <c r="CE448" s="18"/>
      <c r="CF448" s="18"/>
      <c r="CG448" s="18"/>
      <c r="CH448" s="18"/>
      <c r="CI448" s="18"/>
      <c r="CJ448" s="18"/>
      <c r="CK448" s="18"/>
      <c r="CL448" s="18"/>
      <c r="CM448" s="18"/>
      <c r="CN448" s="18"/>
      <c r="CO448" s="18"/>
      <c r="CP448" s="18"/>
      <c r="CQ448" s="18"/>
      <c r="CR448" s="18"/>
      <c r="CS448" s="18"/>
      <c r="CT448" s="18"/>
      <c r="CU448" s="18"/>
      <c r="CV448" s="18"/>
      <c r="CW448" s="18"/>
      <c r="CX448" s="18"/>
      <c r="CY448" s="18"/>
      <c r="CZ448" s="18"/>
      <c r="DA448" s="18"/>
      <c r="DB448" s="18"/>
      <c r="DC448" s="18"/>
      <c r="DD448" s="18"/>
      <c r="DE448" s="18"/>
      <c r="DF448" s="18"/>
      <c r="DG448" s="18"/>
      <c r="DH448" s="18"/>
      <c r="DI448" s="18"/>
      <c r="DJ448" s="18"/>
      <c r="DK448" s="18"/>
      <c r="DL448" s="18"/>
      <c r="DM448" s="18"/>
      <c r="DN448" s="18"/>
      <c r="DO448" s="18"/>
      <c r="DP448" s="18"/>
      <c r="DQ448" s="18"/>
      <c r="DR448" s="18"/>
      <c r="DS448" s="18"/>
      <c r="DT448" s="18"/>
      <c r="DU448" s="18"/>
      <c r="DV448" s="18"/>
      <c r="DW448" s="18"/>
      <c r="DX448" s="18"/>
      <c r="DY448" s="18"/>
      <c r="DZ448" s="18"/>
    </row>
    <row r="449" spans="1:130" x14ac:dyDescent="0.3">
      <c r="A449" s="18"/>
      <c r="B449" s="18"/>
      <c r="C449" s="18"/>
      <c r="D449" s="18"/>
      <c r="E449" s="18"/>
      <c r="F449" s="18"/>
      <c r="G449" s="18"/>
      <c r="H449" s="18"/>
      <c r="I449" s="18"/>
      <c r="J449" s="18"/>
      <c r="K449" s="18"/>
      <c r="L449" s="18"/>
      <c r="M449" s="18"/>
      <c r="N449" s="17"/>
      <c r="O449" s="17"/>
      <c r="P449" s="17"/>
      <c r="Q449" s="17"/>
      <c r="R449" s="17"/>
      <c r="S449" s="17"/>
      <c r="T449" s="17"/>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7"/>
      <c r="BT449" s="17"/>
      <c r="BU449" s="17"/>
      <c r="BV449" s="17"/>
      <c r="BW449" s="17"/>
      <c r="BX449" s="18"/>
      <c r="BY449" s="18"/>
      <c r="BZ449" s="18"/>
      <c r="CA449" s="18"/>
      <c r="CB449" s="17"/>
      <c r="CC449" s="17"/>
      <c r="CD449" s="17"/>
      <c r="CE449" s="18"/>
      <c r="CF449" s="18"/>
      <c r="CG449" s="18"/>
      <c r="CH449" s="18"/>
      <c r="CI449" s="18"/>
      <c r="CJ449" s="18"/>
      <c r="CK449" s="18"/>
      <c r="CL449" s="18"/>
      <c r="CM449" s="18"/>
      <c r="CN449" s="18"/>
      <c r="CO449" s="18"/>
      <c r="CP449" s="18"/>
      <c r="CQ449" s="18"/>
      <c r="CR449" s="18"/>
      <c r="CS449" s="18"/>
      <c r="CT449" s="18"/>
      <c r="CU449" s="18"/>
      <c r="CV449" s="18"/>
      <c r="CW449" s="18"/>
      <c r="CX449" s="18"/>
      <c r="CY449" s="18"/>
      <c r="CZ449" s="18"/>
      <c r="DA449" s="18"/>
      <c r="DB449" s="18"/>
      <c r="DC449" s="18"/>
      <c r="DD449" s="18"/>
      <c r="DE449" s="18"/>
      <c r="DF449" s="18"/>
      <c r="DG449" s="18"/>
      <c r="DH449" s="18"/>
      <c r="DI449" s="18"/>
      <c r="DJ449" s="18"/>
      <c r="DK449" s="18"/>
      <c r="DL449" s="18"/>
      <c r="DM449" s="18"/>
      <c r="DN449" s="18"/>
      <c r="DO449" s="18"/>
      <c r="DP449" s="18"/>
      <c r="DQ449" s="18"/>
      <c r="DR449" s="18"/>
      <c r="DS449" s="18"/>
      <c r="DT449" s="18"/>
      <c r="DU449" s="18"/>
      <c r="DV449" s="18"/>
      <c r="DW449" s="18"/>
      <c r="DX449" s="18"/>
      <c r="DY449" s="18"/>
      <c r="DZ449" s="18"/>
    </row>
    <row r="450" spans="1:130" x14ac:dyDescent="0.3">
      <c r="A450" s="18"/>
      <c r="B450" s="18"/>
      <c r="C450" s="18"/>
      <c r="D450" s="18"/>
      <c r="E450" s="18"/>
      <c r="F450" s="18"/>
      <c r="G450" s="18"/>
      <c r="H450" s="18"/>
      <c r="I450" s="18"/>
      <c r="J450" s="18"/>
      <c r="K450" s="18"/>
      <c r="L450" s="18"/>
      <c r="M450" s="18"/>
      <c r="N450" s="17"/>
      <c r="O450" s="17"/>
      <c r="P450" s="17"/>
      <c r="Q450" s="17"/>
      <c r="R450" s="17"/>
      <c r="S450" s="17"/>
      <c r="T450" s="17"/>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7"/>
      <c r="BT450" s="17"/>
      <c r="BU450" s="17"/>
      <c r="BV450" s="17"/>
      <c r="BW450" s="17"/>
      <c r="BX450" s="18"/>
      <c r="BY450" s="18"/>
      <c r="BZ450" s="18"/>
      <c r="CA450" s="18"/>
      <c r="CB450" s="17"/>
      <c r="CC450" s="17"/>
      <c r="CD450" s="17"/>
      <c r="CE450" s="18"/>
      <c r="CF450" s="18"/>
      <c r="CG450" s="18"/>
      <c r="CH450" s="18"/>
      <c r="CI450" s="18"/>
      <c r="CJ450" s="18"/>
      <c r="CK450" s="18"/>
      <c r="CL450" s="18"/>
      <c r="CM450" s="18"/>
      <c r="CN450" s="18"/>
      <c r="CO450" s="18"/>
      <c r="CP450" s="18"/>
      <c r="CQ450" s="18"/>
      <c r="CR450" s="18"/>
      <c r="CS450" s="18"/>
      <c r="CT450" s="18"/>
      <c r="CU450" s="18"/>
      <c r="CV450" s="18"/>
      <c r="CW450" s="18"/>
      <c r="CX450" s="18"/>
      <c r="CY450" s="18"/>
      <c r="CZ450" s="18"/>
      <c r="DA450" s="18"/>
      <c r="DB450" s="18"/>
      <c r="DC450" s="18"/>
      <c r="DD450" s="18"/>
      <c r="DE450" s="18"/>
      <c r="DF450" s="18"/>
      <c r="DG450" s="18"/>
      <c r="DH450" s="18"/>
      <c r="DI450" s="18"/>
      <c r="DJ450" s="18"/>
      <c r="DK450" s="18"/>
      <c r="DL450" s="18"/>
      <c r="DM450" s="18"/>
      <c r="DN450" s="18"/>
      <c r="DO450" s="18"/>
      <c r="DP450" s="18"/>
      <c r="DQ450" s="18"/>
      <c r="DR450" s="18"/>
      <c r="DS450" s="18"/>
      <c r="DT450" s="18"/>
      <c r="DU450" s="18"/>
      <c r="DV450" s="18"/>
      <c r="DW450" s="18"/>
      <c r="DX450" s="18"/>
      <c r="DY450" s="18"/>
      <c r="DZ450" s="18"/>
    </row>
    <row r="451" spans="1:130" x14ac:dyDescent="0.3">
      <c r="A451" s="18"/>
      <c r="B451" s="18"/>
      <c r="C451" s="18"/>
      <c r="D451" s="18"/>
      <c r="E451" s="18"/>
      <c r="F451" s="18"/>
      <c r="G451" s="18"/>
      <c r="H451" s="18"/>
      <c r="I451" s="18"/>
      <c r="J451" s="18"/>
      <c r="K451" s="18"/>
      <c r="L451" s="18"/>
      <c r="M451" s="18"/>
      <c r="N451" s="17"/>
      <c r="O451" s="17"/>
      <c r="P451" s="17"/>
      <c r="Q451" s="17"/>
      <c r="R451" s="17"/>
      <c r="S451" s="17"/>
      <c r="T451" s="17"/>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7"/>
      <c r="BT451" s="17"/>
      <c r="BU451" s="17"/>
      <c r="BV451" s="17"/>
      <c r="BW451" s="17"/>
      <c r="BX451" s="18"/>
      <c r="BY451" s="18"/>
      <c r="BZ451" s="18"/>
      <c r="CA451" s="18"/>
      <c r="CB451" s="17"/>
      <c r="CC451" s="17"/>
      <c r="CD451" s="17"/>
      <c r="CE451" s="18"/>
      <c r="CF451" s="18"/>
      <c r="CG451" s="18"/>
      <c r="CH451" s="18"/>
      <c r="CI451" s="18"/>
      <c r="CJ451" s="18"/>
      <c r="CK451" s="18"/>
      <c r="CL451" s="18"/>
      <c r="CM451" s="18"/>
      <c r="CN451" s="18"/>
      <c r="CO451" s="18"/>
      <c r="CP451" s="18"/>
      <c r="CQ451" s="18"/>
      <c r="CR451" s="18"/>
      <c r="CS451" s="18"/>
      <c r="CT451" s="18"/>
      <c r="CU451" s="18"/>
      <c r="CV451" s="18"/>
      <c r="CW451" s="18"/>
      <c r="CX451" s="18"/>
      <c r="CY451" s="18"/>
      <c r="CZ451" s="18"/>
      <c r="DA451" s="18"/>
      <c r="DB451" s="18"/>
      <c r="DC451" s="18"/>
      <c r="DD451" s="18"/>
      <c r="DE451" s="18"/>
      <c r="DF451" s="18"/>
      <c r="DG451" s="18"/>
      <c r="DH451" s="18"/>
      <c r="DI451" s="18"/>
      <c r="DJ451" s="18"/>
      <c r="DK451" s="18"/>
      <c r="DL451" s="18"/>
      <c r="DM451" s="18"/>
      <c r="DN451" s="18"/>
      <c r="DO451" s="18"/>
      <c r="DP451" s="18"/>
      <c r="DQ451" s="18"/>
      <c r="DR451" s="18"/>
      <c r="DS451" s="18"/>
      <c r="DT451" s="18"/>
      <c r="DU451" s="18"/>
      <c r="DV451" s="18"/>
      <c r="DW451" s="18"/>
      <c r="DX451" s="18"/>
      <c r="DY451" s="18"/>
      <c r="DZ451" s="18"/>
    </row>
    <row r="452" spans="1:130" x14ac:dyDescent="0.3">
      <c r="A452" s="18"/>
      <c r="B452" s="18"/>
      <c r="C452" s="18"/>
      <c r="D452" s="18"/>
      <c r="E452" s="18"/>
      <c r="F452" s="18"/>
      <c r="G452" s="18"/>
      <c r="H452" s="18"/>
      <c r="I452" s="18"/>
      <c r="J452" s="18"/>
      <c r="K452" s="18"/>
      <c r="L452" s="18"/>
      <c r="M452" s="18"/>
      <c r="N452" s="17"/>
      <c r="O452" s="17"/>
      <c r="P452" s="17"/>
      <c r="Q452" s="17"/>
      <c r="R452" s="17"/>
      <c r="S452" s="17"/>
      <c r="T452" s="17"/>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7"/>
      <c r="BT452" s="17"/>
      <c r="BU452" s="17"/>
      <c r="BV452" s="17"/>
      <c r="BW452" s="17"/>
      <c r="BX452" s="18"/>
      <c r="BY452" s="18"/>
      <c r="BZ452" s="18"/>
      <c r="CA452" s="18"/>
      <c r="CB452" s="17"/>
      <c r="CC452" s="17"/>
      <c r="CD452" s="17"/>
      <c r="CE452" s="18"/>
      <c r="CF452" s="18"/>
      <c r="CG452" s="18"/>
      <c r="CH452" s="18"/>
      <c r="CI452" s="18"/>
      <c r="CJ452" s="18"/>
      <c r="CK452" s="18"/>
      <c r="CL452" s="18"/>
      <c r="CM452" s="18"/>
      <c r="CN452" s="18"/>
      <c r="CO452" s="18"/>
      <c r="CP452" s="18"/>
      <c r="CQ452" s="18"/>
      <c r="CR452" s="18"/>
      <c r="CS452" s="18"/>
      <c r="CT452" s="18"/>
      <c r="CU452" s="18"/>
      <c r="CV452" s="18"/>
      <c r="CW452" s="18"/>
      <c r="CX452" s="18"/>
      <c r="CY452" s="18"/>
      <c r="CZ452" s="18"/>
      <c r="DA452" s="18"/>
      <c r="DB452" s="18"/>
      <c r="DC452" s="18"/>
      <c r="DD452" s="18"/>
      <c r="DE452" s="18"/>
      <c r="DF452" s="18"/>
      <c r="DG452" s="18"/>
      <c r="DH452" s="18"/>
      <c r="DI452" s="18"/>
      <c r="DJ452" s="18"/>
      <c r="DK452" s="18"/>
      <c r="DL452" s="18"/>
      <c r="DM452" s="18"/>
      <c r="DN452" s="18"/>
      <c r="DO452" s="18"/>
      <c r="DP452" s="18"/>
      <c r="DQ452" s="18"/>
      <c r="DR452" s="18"/>
      <c r="DS452" s="18"/>
      <c r="DT452" s="18"/>
      <c r="DU452" s="18"/>
      <c r="DV452" s="18"/>
      <c r="DW452" s="18"/>
      <c r="DX452" s="18"/>
      <c r="DY452" s="18"/>
      <c r="DZ452" s="18"/>
    </row>
    <row r="453" spans="1:130" x14ac:dyDescent="0.3">
      <c r="A453" s="18"/>
      <c r="B453" s="18"/>
      <c r="C453" s="18"/>
      <c r="D453" s="18"/>
      <c r="E453" s="18"/>
      <c r="F453" s="18"/>
      <c r="G453" s="18"/>
      <c r="H453" s="18"/>
      <c r="I453" s="18"/>
      <c r="J453" s="18"/>
      <c r="K453" s="18"/>
      <c r="L453" s="18"/>
      <c r="M453" s="18"/>
      <c r="N453" s="17"/>
      <c r="O453" s="17"/>
      <c r="P453" s="17"/>
      <c r="Q453" s="17"/>
      <c r="R453" s="17"/>
      <c r="S453" s="17"/>
      <c r="T453" s="17"/>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7"/>
      <c r="BT453" s="17"/>
      <c r="BU453" s="17"/>
      <c r="BV453" s="17"/>
      <c r="BW453" s="17"/>
      <c r="BX453" s="18"/>
      <c r="BY453" s="18"/>
      <c r="BZ453" s="18"/>
      <c r="CA453" s="18"/>
      <c r="CB453" s="17"/>
      <c r="CC453" s="17"/>
      <c r="CD453" s="17"/>
      <c r="CE453" s="18"/>
      <c r="CF453" s="18"/>
      <c r="CG453" s="18"/>
      <c r="CH453" s="18"/>
      <c r="CI453" s="18"/>
      <c r="CJ453" s="18"/>
      <c r="CK453" s="18"/>
      <c r="CL453" s="18"/>
      <c r="CM453" s="18"/>
      <c r="CN453" s="18"/>
      <c r="CO453" s="18"/>
      <c r="CP453" s="18"/>
      <c r="CQ453" s="18"/>
      <c r="CR453" s="18"/>
      <c r="CS453" s="18"/>
      <c r="CT453" s="18"/>
      <c r="CU453" s="18"/>
      <c r="CV453" s="18"/>
      <c r="CW453" s="18"/>
      <c r="CX453" s="18"/>
      <c r="CY453" s="18"/>
      <c r="CZ453" s="18"/>
      <c r="DA453" s="18"/>
      <c r="DB453" s="18"/>
      <c r="DC453" s="18"/>
      <c r="DD453" s="18"/>
      <c r="DE453" s="18"/>
      <c r="DF453" s="18"/>
      <c r="DG453" s="18"/>
      <c r="DH453" s="18"/>
      <c r="DI453" s="18"/>
      <c r="DJ453" s="18"/>
      <c r="DK453" s="18"/>
      <c r="DL453" s="18"/>
      <c r="DM453" s="18"/>
      <c r="DN453" s="18"/>
      <c r="DO453" s="18"/>
      <c r="DP453" s="18"/>
      <c r="DQ453" s="18"/>
      <c r="DR453" s="18"/>
      <c r="DS453" s="18"/>
      <c r="DT453" s="18"/>
      <c r="DU453" s="18"/>
      <c r="DV453" s="18"/>
      <c r="DW453" s="18"/>
      <c r="DX453" s="18"/>
      <c r="DY453" s="18"/>
      <c r="DZ453" s="18"/>
    </row>
    <row r="454" spans="1:130" x14ac:dyDescent="0.3">
      <c r="A454" s="18"/>
      <c r="B454" s="18"/>
      <c r="C454" s="18"/>
      <c r="D454" s="18"/>
      <c r="E454" s="18"/>
      <c r="F454" s="18"/>
      <c r="G454" s="18"/>
      <c r="H454" s="18"/>
      <c r="I454" s="18"/>
      <c r="J454" s="18"/>
      <c r="K454" s="18"/>
      <c r="L454" s="18"/>
      <c r="M454" s="18"/>
      <c r="N454" s="17"/>
      <c r="O454" s="17"/>
      <c r="P454" s="17"/>
      <c r="Q454" s="17"/>
      <c r="R454" s="17"/>
      <c r="S454" s="17"/>
      <c r="T454" s="17"/>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7"/>
      <c r="BT454" s="17"/>
      <c r="BU454" s="17"/>
      <c r="BV454" s="17"/>
      <c r="BW454" s="17"/>
      <c r="BX454" s="18"/>
      <c r="BY454" s="18"/>
      <c r="BZ454" s="18"/>
      <c r="CA454" s="18"/>
      <c r="CB454" s="17"/>
      <c r="CC454" s="17"/>
      <c r="CD454" s="17"/>
      <c r="CE454" s="18"/>
      <c r="CF454" s="18"/>
      <c r="CG454" s="18"/>
      <c r="CH454" s="18"/>
      <c r="CI454" s="18"/>
      <c r="CJ454" s="18"/>
      <c r="CK454" s="18"/>
      <c r="CL454" s="18"/>
      <c r="CM454" s="18"/>
      <c r="CN454" s="18"/>
      <c r="CO454" s="18"/>
      <c r="CP454" s="18"/>
      <c r="CQ454" s="18"/>
      <c r="CR454" s="18"/>
      <c r="CS454" s="18"/>
      <c r="CT454" s="18"/>
      <c r="CU454" s="18"/>
      <c r="CV454" s="18"/>
      <c r="CW454" s="18"/>
      <c r="CX454" s="18"/>
      <c r="CY454" s="18"/>
      <c r="CZ454" s="18"/>
      <c r="DA454" s="18"/>
      <c r="DB454" s="18"/>
      <c r="DC454" s="18"/>
      <c r="DD454" s="18"/>
      <c r="DE454" s="18"/>
      <c r="DF454" s="18"/>
      <c r="DG454" s="18"/>
      <c r="DH454" s="18"/>
      <c r="DI454" s="18"/>
      <c r="DJ454" s="18"/>
      <c r="DK454" s="18"/>
      <c r="DL454" s="18"/>
      <c r="DM454" s="18"/>
      <c r="DN454" s="18"/>
      <c r="DO454" s="18"/>
      <c r="DP454" s="18"/>
      <c r="DQ454" s="18"/>
      <c r="DR454" s="18"/>
      <c r="DS454" s="18"/>
      <c r="DT454" s="18"/>
      <c r="DU454" s="18"/>
      <c r="DV454" s="18"/>
      <c r="DW454" s="18"/>
      <c r="DX454" s="18"/>
      <c r="DY454" s="18"/>
      <c r="DZ454" s="18"/>
    </row>
    <row r="455" spans="1:130" x14ac:dyDescent="0.3">
      <c r="A455" s="18"/>
      <c r="B455" s="18"/>
      <c r="C455" s="18"/>
      <c r="D455" s="18"/>
      <c r="E455" s="18"/>
      <c r="F455" s="18"/>
      <c r="G455" s="18"/>
      <c r="H455" s="18"/>
      <c r="I455" s="18"/>
      <c r="J455" s="18"/>
      <c r="K455" s="18"/>
      <c r="L455" s="18"/>
      <c r="M455" s="18"/>
      <c r="N455" s="17"/>
      <c r="O455" s="17"/>
      <c r="P455" s="17"/>
      <c r="Q455" s="17"/>
      <c r="R455" s="17"/>
      <c r="S455" s="17"/>
      <c r="T455" s="17"/>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7"/>
      <c r="BT455" s="17"/>
      <c r="BU455" s="17"/>
      <c r="BV455" s="17"/>
      <c r="BW455" s="17"/>
      <c r="BX455" s="18"/>
      <c r="BY455" s="18"/>
      <c r="BZ455" s="18"/>
      <c r="CA455" s="18"/>
      <c r="CB455" s="17"/>
      <c r="CC455" s="17"/>
      <c r="CD455" s="17"/>
      <c r="CE455" s="18"/>
      <c r="CF455" s="18"/>
      <c r="CG455" s="18"/>
      <c r="CH455" s="18"/>
      <c r="CI455" s="18"/>
      <c r="CJ455" s="18"/>
      <c r="CK455" s="18"/>
      <c r="CL455" s="18"/>
      <c r="CM455" s="18"/>
      <c r="CN455" s="18"/>
      <c r="CO455" s="18"/>
      <c r="CP455" s="18"/>
      <c r="CQ455" s="18"/>
      <c r="CR455" s="18"/>
      <c r="CS455" s="18"/>
      <c r="CT455" s="18"/>
      <c r="CU455" s="18"/>
      <c r="CV455" s="18"/>
      <c r="CW455" s="18"/>
      <c r="CX455" s="18"/>
      <c r="CY455" s="18"/>
      <c r="CZ455" s="18"/>
      <c r="DA455" s="18"/>
      <c r="DB455" s="18"/>
      <c r="DC455" s="18"/>
      <c r="DD455" s="18"/>
      <c r="DE455" s="18"/>
      <c r="DF455" s="18"/>
      <c r="DG455" s="18"/>
      <c r="DH455" s="18"/>
      <c r="DI455" s="18"/>
      <c r="DJ455" s="18"/>
      <c r="DK455" s="18"/>
      <c r="DL455" s="18"/>
      <c r="DM455" s="18"/>
      <c r="DN455" s="18"/>
      <c r="DO455" s="18"/>
      <c r="DP455" s="18"/>
      <c r="DQ455" s="18"/>
      <c r="DR455" s="18"/>
      <c r="DS455" s="18"/>
      <c r="DT455" s="18"/>
      <c r="DU455" s="18"/>
      <c r="DV455" s="18"/>
      <c r="DW455" s="18"/>
      <c r="DX455" s="18"/>
      <c r="DY455" s="18"/>
      <c r="DZ455" s="18"/>
    </row>
    <row r="456" spans="1:130" x14ac:dyDescent="0.3">
      <c r="A456" s="18"/>
      <c r="B456" s="18"/>
      <c r="C456" s="18"/>
      <c r="D456" s="18"/>
      <c r="E456" s="18"/>
      <c r="F456" s="18"/>
      <c r="G456" s="18"/>
      <c r="H456" s="18"/>
      <c r="I456" s="18"/>
      <c r="J456" s="18"/>
      <c r="K456" s="18"/>
      <c r="L456" s="18"/>
      <c r="M456" s="18"/>
      <c r="N456" s="17"/>
      <c r="O456" s="17"/>
      <c r="P456" s="17"/>
      <c r="Q456" s="17"/>
      <c r="R456" s="17"/>
      <c r="S456" s="17"/>
      <c r="T456" s="17"/>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7"/>
      <c r="BT456" s="17"/>
      <c r="BU456" s="17"/>
      <c r="BV456" s="17"/>
      <c r="BW456" s="17"/>
      <c r="BX456" s="18"/>
      <c r="BY456" s="18"/>
      <c r="BZ456" s="18"/>
      <c r="CA456" s="18"/>
      <c r="CB456" s="17"/>
      <c r="CC456" s="17"/>
      <c r="CD456" s="17"/>
      <c r="CE456" s="18"/>
      <c r="CF456" s="18"/>
      <c r="CG456" s="18"/>
      <c r="CH456" s="18"/>
      <c r="CI456" s="18"/>
      <c r="CJ456" s="18"/>
      <c r="CK456" s="18"/>
      <c r="CL456" s="18"/>
      <c r="CM456" s="18"/>
      <c r="CN456" s="18"/>
      <c r="CO456" s="18"/>
      <c r="CP456" s="18"/>
      <c r="CQ456" s="18"/>
      <c r="CR456" s="18"/>
      <c r="CS456" s="18"/>
      <c r="CT456" s="18"/>
      <c r="CU456" s="18"/>
      <c r="CV456" s="18"/>
      <c r="CW456" s="18"/>
      <c r="CX456" s="18"/>
      <c r="CY456" s="18"/>
      <c r="CZ456" s="18"/>
      <c r="DA456" s="18"/>
      <c r="DB456" s="18"/>
      <c r="DC456" s="18"/>
      <c r="DD456" s="18"/>
      <c r="DE456" s="18"/>
      <c r="DF456" s="18"/>
      <c r="DG456" s="18"/>
      <c r="DH456" s="18"/>
      <c r="DI456" s="18"/>
      <c r="DJ456" s="18"/>
      <c r="DK456" s="18"/>
      <c r="DL456" s="18"/>
      <c r="DM456" s="18"/>
      <c r="DN456" s="18"/>
      <c r="DO456" s="18"/>
      <c r="DP456" s="18"/>
      <c r="DQ456" s="18"/>
      <c r="DR456" s="18"/>
      <c r="DS456" s="18"/>
      <c r="DT456" s="18"/>
      <c r="DU456" s="18"/>
      <c r="DV456" s="18"/>
      <c r="DW456" s="18"/>
      <c r="DX456" s="18"/>
      <c r="DY456" s="18"/>
      <c r="DZ456" s="18"/>
    </row>
    <row r="457" spans="1:130" x14ac:dyDescent="0.3">
      <c r="A457" s="18"/>
      <c r="B457" s="18"/>
      <c r="C457" s="18"/>
      <c r="D457" s="18"/>
      <c r="E457" s="18"/>
      <c r="F457" s="18"/>
      <c r="G457" s="18"/>
      <c r="H457" s="18"/>
      <c r="I457" s="18"/>
      <c r="J457" s="18"/>
      <c r="K457" s="18"/>
      <c r="L457" s="18"/>
      <c r="M457" s="18"/>
      <c r="N457" s="17"/>
      <c r="O457" s="17"/>
      <c r="P457" s="17"/>
      <c r="Q457" s="17"/>
      <c r="R457" s="17"/>
      <c r="S457" s="17"/>
      <c r="T457" s="17"/>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7"/>
      <c r="BT457" s="17"/>
      <c r="BU457" s="17"/>
      <c r="BV457" s="17"/>
      <c r="BW457" s="17"/>
      <c r="BX457" s="18"/>
      <c r="BY457" s="18"/>
      <c r="BZ457" s="18"/>
      <c r="CA457" s="18"/>
      <c r="CB457" s="17"/>
      <c r="CC457" s="17"/>
      <c r="CD457" s="17"/>
      <c r="CE457" s="18"/>
      <c r="CF457" s="18"/>
      <c r="CG457" s="18"/>
      <c r="CH457" s="18"/>
      <c r="CI457" s="18"/>
      <c r="CJ457" s="18"/>
      <c r="CK457" s="18"/>
      <c r="CL457" s="18"/>
      <c r="CM457" s="18"/>
      <c r="CN457" s="18"/>
      <c r="CO457" s="18"/>
      <c r="CP457" s="18"/>
      <c r="CQ457" s="18"/>
      <c r="CR457" s="18"/>
      <c r="CS457" s="18"/>
      <c r="CT457" s="18"/>
      <c r="CU457" s="18"/>
      <c r="CV457" s="18"/>
      <c r="CW457" s="18"/>
      <c r="CX457" s="18"/>
      <c r="CY457" s="18"/>
      <c r="CZ457" s="18"/>
      <c r="DA457" s="18"/>
      <c r="DB457" s="18"/>
      <c r="DC457" s="18"/>
      <c r="DD457" s="18"/>
      <c r="DE457" s="18"/>
      <c r="DF457" s="18"/>
      <c r="DG457" s="18"/>
      <c r="DH457" s="18"/>
      <c r="DI457" s="18"/>
      <c r="DJ457" s="18"/>
      <c r="DK457" s="18"/>
      <c r="DL457" s="18"/>
      <c r="DM457" s="18"/>
      <c r="DN457" s="18"/>
      <c r="DO457" s="18"/>
      <c r="DP457" s="18"/>
      <c r="DQ457" s="18"/>
      <c r="DR457" s="18"/>
      <c r="DS457" s="18"/>
      <c r="DT457" s="18"/>
      <c r="DU457" s="18"/>
      <c r="DV457" s="18"/>
      <c r="DW457" s="18"/>
      <c r="DX457" s="18"/>
      <c r="DY457" s="18"/>
      <c r="DZ457" s="18"/>
    </row>
    <row r="458" spans="1:130" x14ac:dyDescent="0.3">
      <c r="A458" s="18"/>
      <c r="B458" s="18"/>
      <c r="C458" s="18"/>
      <c r="D458" s="18"/>
      <c r="E458" s="18"/>
      <c r="F458" s="18"/>
      <c r="G458" s="18"/>
      <c r="H458" s="18"/>
      <c r="I458" s="18"/>
      <c r="J458" s="18"/>
      <c r="K458" s="18"/>
      <c r="L458" s="18"/>
      <c r="M458" s="18"/>
      <c r="N458" s="17"/>
      <c r="O458" s="17"/>
      <c r="P458" s="17"/>
      <c r="Q458" s="17"/>
      <c r="R458" s="17"/>
      <c r="S458" s="17"/>
      <c r="T458" s="17"/>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7"/>
      <c r="BT458" s="17"/>
      <c r="BU458" s="17"/>
      <c r="BV458" s="17"/>
      <c r="BW458" s="17"/>
      <c r="BX458" s="18"/>
      <c r="BY458" s="18"/>
      <c r="BZ458" s="18"/>
      <c r="CA458" s="18"/>
      <c r="CB458" s="17"/>
      <c r="CC458" s="17"/>
      <c r="CD458" s="17"/>
      <c r="CE458" s="18"/>
      <c r="CF458" s="18"/>
      <c r="CG458" s="18"/>
      <c r="CH458" s="18"/>
      <c r="CI458" s="18"/>
      <c r="CJ458" s="18"/>
      <c r="CK458" s="18"/>
      <c r="CL458" s="18"/>
      <c r="CM458" s="18"/>
      <c r="CN458" s="18"/>
      <c r="CO458" s="18"/>
      <c r="CP458" s="18"/>
      <c r="CQ458" s="18"/>
      <c r="CR458" s="18"/>
      <c r="CS458" s="18"/>
      <c r="CT458" s="18"/>
      <c r="CU458" s="18"/>
      <c r="CV458" s="18"/>
      <c r="CW458" s="18"/>
      <c r="CX458" s="18"/>
      <c r="CY458" s="18"/>
      <c r="CZ458" s="18"/>
      <c r="DA458" s="18"/>
      <c r="DB458" s="18"/>
      <c r="DC458" s="18"/>
      <c r="DD458" s="18"/>
      <c r="DE458" s="18"/>
      <c r="DF458" s="18"/>
      <c r="DG458" s="18"/>
      <c r="DH458" s="18"/>
      <c r="DI458" s="18"/>
      <c r="DJ458" s="18"/>
      <c r="DK458" s="18"/>
      <c r="DL458" s="18"/>
      <c r="DM458" s="18"/>
      <c r="DN458" s="18"/>
      <c r="DO458" s="18"/>
      <c r="DP458" s="18"/>
      <c r="DQ458" s="18"/>
      <c r="DR458" s="18"/>
      <c r="DS458" s="18"/>
      <c r="DT458" s="18"/>
      <c r="DU458" s="18"/>
      <c r="DV458" s="18"/>
      <c r="DW458" s="18"/>
      <c r="DX458" s="18"/>
      <c r="DY458" s="18"/>
      <c r="DZ458" s="18"/>
    </row>
    <row r="459" spans="1:130" x14ac:dyDescent="0.3">
      <c r="A459" s="18"/>
      <c r="B459" s="18"/>
      <c r="C459" s="18"/>
      <c r="D459" s="18"/>
      <c r="E459" s="18"/>
      <c r="F459" s="18"/>
      <c r="G459" s="18"/>
      <c r="H459" s="18"/>
      <c r="I459" s="18"/>
      <c r="J459" s="18"/>
      <c r="K459" s="18"/>
      <c r="L459" s="18"/>
      <c r="M459" s="18"/>
      <c r="N459" s="17"/>
      <c r="O459" s="17"/>
      <c r="P459" s="17"/>
      <c r="Q459" s="17"/>
      <c r="R459" s="17"/>
      <c r="S459" s="17"/>
      <c r="T459" s="17"/>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7"/>
      <c r="BT459" s="17"/>
      <c r="BU459" s="17"/>
      <c r="BV459" s="17"/>
      <c r="BW459" s="17"/>
      <c r="BX459" s="18"/>
      <c r="BY459" s="18"/>
      <c r="BZ459" s="18"/>
      <c r="CA459" s="18"/>
      <c r="CB459" s="17"/>
      <c r="CC459" s="17"/>
      <c r="CD459" s="17"/>
      <c r="CE459" s="18"/>
      <c r="CF459" s="18"/>
      <c r="CG459" s="18"/>
      <c r="CH459" s="18"/>
      <c r="CI459" s="18"/>
      <c r="CJ459" s="18"/>
      <c r="CK459" s="18"/>
      <c r="CL459" s="18"/>
      <c r="CM459" s="18"/>
      <c r="CN459" s="18"/>
      <c r="CO459" s="18"/>
      <c r="CP459" s="18"/>
      <c r="CQ459" s="18"/>
      <c r="CR459" s="18"/>
      <c r="CS459" s="18"/>
      <c r="CT459" s="18"/>
      <c r="CU459" s="18"/>
      <c r="CV459" s="18"/>
      <c r="CW459" s="18"/>
      <c r="CX459" s="18"/>
      <c r="CY459" s="18"/>
      <c r="CZ459" s="18"/>
      <c r="DA459" s="18"/>
      <c r="DB459" s="18"/>
      <c r="DC459" s="18"/>
      <c r="DD459" s="18"/>
      <c r="DE459" s="18"/>
      <c r="DF459" s="18"/>
      <c r="DG459" s="18"/>
      <c r="DH459" s="18"/>
      <c r="DI459" s="18"/>
      <c r="DJ459" s="18"/>
      <c r="DK459" s="18"/>
      <c r="DL459" s="18"/>
      <c r="DM459" s="18"/>
      <c r="DN459" s="18"/>
      <c r="DO459" s="18"/>
      <c r="DP459" s="18"/>
      <c r="DQ459" s="18"/>
      <c r="DR459" s="18"/>
      <c r="DS459" s="18"/>
      <c r="DT459" s="18"/>
      <c r="DU459" s="18"/>
      <c r="DV459" s="18"/>
      <c r="DW459" s="18"/>
      <c r="DX459" s="18"/>
      <c r="DY459" s="18"/>
      <c r="DZ459" s="18"/>
    </row>
    <row r="460" spans="1:130" x14ac:dyDescent="0.3">
      <c r="A460" s="18"/>
      <c r="B460" s="18"/>
      <c r="C460" s="18"/>
      <c r="D460" s="18"/>
      <c r="E460" s="18"/>
      <c r="F460" s="18"/>
      <c r="G460" s="18"/>
      <c r="H460" s="18"/>
      <c r="I460" s="18"/>
      <c r="J460" s="18"/>
      <c r="K460" s="18"/>
      <c r="L460" s="18"/>
      <c r="M460" s="18"/>
      <c r="N460" s="17"/>
      <c r="O460" s="17"/>
      <c r="P460" s="17"/>
      <c r="Q460" s="17"/>
      <c r="R460" s="17"/>
      <c r="S460" s="17"/>
      <c r="T460" s="17"/>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7"/>
      <c r="BT460" s="17"/>
      <c r="BU460" s="17"/>
      <c r="BV460" s="17"/>
      <c r="BW460" s="17"/>
      <c r="BX460" s="18"/>
      <c r="BY460" s="18"/>
      <c r="BZ460" s="18"/>
      <c r="CA460" s="18"/>
      <c r="CB460" s="17"/>
      <c r="CC460" s="17"/>
      <c r="CD460" s="17"/>
      <c r="CE460" s="18"/>
      <c r="CF460" s="18"/>
      <c r="CG460" s="18"/>
      <c r="CH460" s="18"/>
      <c r="CI460" s="18"/>
      <c r="CJ460" s="18"/>
      <c r="CK460" s="18"/>
      <c r="CL460" s="18"/>
      <c r="CM460" s="18"/>
      <c r="CN460" s="18"/>
      <c r="CO460" s="18"/>
      <c r="CP460" s="18"/>
      <c r="CQ460" s="18"/>
      <c r="CR460" s="18"/>
      <c r="CS460" s="18"/>
      <c r="CT460" s="18"/>
      <c r="CU460" s="18"/>
      <c r="CV460" s="18"/>
      <c r="CW460" s="18"/>
      <c r="CX460" s="18"/>
      <c r="CY460" s="18"/>
      <c r="CZ460" s="18"/>
      <c r="DA460" s="18"/>
      <c r="DB460" s="18"/>
      <c r="DC460" s="18"/>
      <c r="DD460" s="18"/>
      <c r="DE460" s="18"/>
      <c r="DF460" s="18"/>
      <c r="DG460" s="18"/>
      <c r="DH460" s="18"/>
      <c r="DI460" s="18"/>
      <c r="DJ460" s="18"/>
      <c r="DK460" s="18"/>
      <c r="DL460" s="18"/>
      <c r="DM460" s="18"/>
      <c r="DN460" s="18"/>
      <c r="DO460" s="18"/>
      <c r="DP460" s="18"/>
      <c r="DQ460" s="18"/>
      <c r="DR460" s="18"/>
      <c r="DS460" s="18"/>
      <c r="DT460" s="18"/>
      <c r="DU460" s="18"/>
      <c r="DV460" s="18"/>
      <c r="DW460" s="18"/>
      <c r="DX460" s="18"/>
      <c r="DY460" s="18"/>
      <c r="DZ460" s="18"/>
    </row>
    <row r="461" spans="1:130" x14ac:dyDescent="0.3">
      <c r="A461" s="18"/>
      <c r="B461" s="18"/>
      <c r="C461" s="18"/>
      <c r="D461" s="18"/>
      <c r="E461" s="18"/>
      <c r="F461" s="18"/>
      <c r="G461" s="18"/>
      <c r="H461" s="18"/>
      <c r="I461" s="18"/>
      <c r="J461" s="18"/>
      <c r="K461" s="18"/>
      <c r="L461" s="18"/>
      <c r="M461" s="18"/>
      <c r="N461" s="17"/>
      <c r="O461" s="17"/>
      <c r="P461" s="17"/>
      <c r="Q461" s="17"/>
      <c r="R461" s="17"/>
      <c r="S461" s="17"/>
      <c r="T461" s="17"/>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7"/>
      <c r="BT461" s="17"/>
      <c r="BU461" s="17"/>
      <c r="BV461" s="17"/>
      <c r="BW461" s="17"/>
      <c r="BX461" s="18"/>
      <c r="BY461" s="18"/>
      <c r="BZ461" s="18"/>
      <c r="CA461" s="18"/>
      <c r="CB461" s="17"/>
      <c r="CC461" s="17"/>
      <c r="CD461" s="17"/>
      <c r="CE461" s="18"/>
      <c r="CF461" s="18"/>
      <c r="CG461" s="18"/>
      <c r="CH461" s="18"/>
      <c r="CI461" s="18"/>
      <c r="CJ461" s="18"/>
      <c r="CK461" s="18"/>
      <c r="CL461" s="18"/>
      <c r="CM461" s="18"/>
      <c r="CN461" s="18"/>
      <c r="CO461" s="18"/>
      <c r="CP461" s="18"/>
      <c r="CQ461" s="18"/>
      <c r="CR461" s="18"/>
      <c r="CS461" s="18"/>
      <c r="CT461" s="18"/>
      <c r="CU461" s="18"/>
      <c r="CV461" s="18"/>
      <c r="CW461" s="18"/>
      <c r="CX461" s="18"/>
      <c r="CY461" s="18"/>
      <c r="CZ461" s="18"/>
      <c r="DA461" s="18"/>
      <c r="DB461" s="18"/>
      <c r="DC461" s="18"/>
      <c r="DD461" s="18"/>
      <c r="DE461" s="18"/>
      <c r="DF461" s="18"/>
      <c r="DG461" s="18"/>
      <c r="DH461" s="18"/>
      <c r="DI461" s="18"/>
      <c r="DJ461" s="18"/>
      <c r="DK461" s="18"/>
      <c r="DL461" s="18"/>
      <c r="DM461" s="18"/>
      <c r="DN461" s="18"/>
      <c r="DO461" s="18"/>
      <c r="DP461" s="18"/>
      <c r="DQ461" s="18"/>
      <c r="DR461" s="18"/>
      <c r="DS461" s="18"/>
      <c r="DT461" s="18"/>
      <c r="DU461" s="18"/>
      <c r="DV461" s="18"/>
      <c r="DW461" s="18"/>
      <c r="DX461" s="18"/>
      <c r="DY461" s="18"/>
      <c r="DZ461" s="18"/>
    </row>
    <row r="462" spans="1:130" x14ac:dyDescent="0.3">
      <c r="A462" s="18"/>
      <c r="B462" s="18"/>
      <c r="C462" s="18"/>
      <c r="D462" s="18"/>
      <c r="E462" s="18"/>
      <c r="F462" s="18"/>
      <c r="G462" s="18"/>
      <c r="H462" s="18"/>
      <c r="I462" s="18"/>
      <c r="J462" s="18"/>
      <c r="K462" s="18"/>
      <c r="L462" s="18"/>
      <c r="M462" s="18"/>
      <c r="N462" s="17"/>
      <c r="O462" s="17"/>
      <c r="P462" s="17"/>
      <c r="Q462" s="17"/>
      <c r="R462" s="17"/>
      <c r="S462" s="17"/>
      <c r="T462" s="17"/>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7"/>
      <c r="BT462" s="17"/>
      <c r="BU462" s="17"/>
      <c r="BV462" s="17"/>
      <c r="BW462" s="17"/>
      <c r="BX462" s="18"/>
      <c r="BY462" s="18"/>
      <c r="BZ462" s="18"/>
      <c r="CA462" s="18"/>
      <c r="CB462" s="17"/>
      <c r="CC462" s="17"/>
      <c r="CD462" s="17"/>
      <c r="CE462" s="18"/>
      <c r="CF462" s="18"/>
      <c r="CG462" s="18"/>
      <c r="CH462" s="18"/>
      <c r="CI462" s="18"/>
      <c r="CJ462" s="18"/>
      <c r="CK462" s="18"/>
      <c r="CL462" s="18"/>
      <c r="CM462" s="18"/>
      <c r="CN462" s="18"/>
      <c r="CO462" s="18"/>
      <c r="CP462" s="18"/>
      <c r="CQ462" s="18"/>
      <c r="CR462" s="18"/>
      <c r="CS462" s="18"/>
      <c r="CT462" s="18"/>
      <c r="CU462" s="18"/>
      <c r="CV462" s="18"/>
      <c r="CW462" s="18"/>
      <c r="CX462" s="18"/>
      <c r="CY462" s="18"/>
      <c r="CZ462" s="18"/>
      <c r="DA462" s="18"/>
      <c r="DB462" s="18"/>
      <c r="DC462" s="18"/>
      <c r="DD462" s="18"/>
      <c r="DE462" s="18"/>
      <c r="DF462" s="18"/>
      <c r="DG462" s="18"/>
      <c r="DH462" s="18"/>
      <c r="DI462" s="18"/>
      <c r="DJ462" s="18"/>
      <c r="DK462" s="18"/>
      <c r="DL462" s="18"/>
      <c r="DM462" s="18"/>
      <c r="DN462" s="18"/>
      <c r="DO462" s="18"/>
      <c r="DP462" s="18"/>
      <c r="DQ462" s="18"/>
      <c r="DR462" s="18"/>
      <c r="DS462" s="18"/>
      <c r="DT462" s="18"/>
      <c r="DU462" s="18"/>
      <c r="DV462" s="18"/>
      <c r="DW462" s="18"/>
      <c r="DX462" s="18"/>
      <c r="DY462" s="18"/>
      <c r="DZ462" s="18"/>
    </row>
    <row r="463" spans="1:130" x14ac:dyDescent="0.3">
      <c r="A463" s="18"/>
      <c r="B463" s="18"/>
      <c r="C463" s="18"/>
      <c r="D463" s="18"/>
      <c r="E463" s="18"/>
      <c r="F463" s="18"/>
      <c r="G463" s="18"/>
      <c r="H463" s="18"/>
      <c r="I463" s="18"/>
      <c r="J463" s="18"/>
      <c r="K463" s="18"/>
      <c r="L463" s="18"/>
      <c r="M463" s="18"/>
      <c r="N463" s="17"/>
      <c r="O463" s="17"/>
      <c r="P463" s="17"/>
      <c r="Q463" s="17"/>
      <c r="R463" s="17"/>
      <c r="S463" s="17"/>
      <c r="T463" s="17"/>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7"/>
      <c r="BT463" s="17"/>
      <c r="BU463" s="17"/>
      <c r="BV463" s="17"/>
      <c r="BW463" s="17"/>
      <c r="BX463" s="18"/>
      <c r="BY463" s="18"/>
      <c r="BZ463" s="18"/>
      <c r="CA463" s="18"/>
      <c r="CB463" s="17"/>
      <c r="CC463" s="17"/>
      <c r="CD463" s="17"/>
      <c r="CE463" s="18"/>
      <c r="CF463" s="18"/>
      <c r="CG463" s="18"/>
      <c r="CH463" s="18"/>
      <c r="CI463" s="18"/>
      <c r="CJ463" s="18"/>
      <c r="CK463" s="18"/>
      <c r="CL463" s="18"/>
      <c r="CM463" s="18"/>
      <c r="CN463" s="18"/>
      <c r="CO463" s="18"/>
      <c r="CP463" s="18"/>
      <c r="CQ463" s="18"/>
      <c r="CR463" s="18"/>
      <c r="CS463" s="18"/>
      <c r="CT463" s="18"/>
      <c r="CU463" s="18"/>
      <c r="CV463" s="18"/>
      <c r="CW463" s="18"/>
      <c r="CX463" s="18"/>
      <c r="CY463" s="18"/>
      <c r="CZ463" s="18"/>
      <c r="DA463" s="18"/>
      <c r="DB463" s="18"/>
      <c r="DC463" s="18"/>
      <c r="DD463" s="18"/>
      <c r="DE463" s="18"/>
      <c r="DF463" s="18"/>
      <c r="DG463" s="18"/>
      <c r="DH463" s="18"/>
      <c r="DI463" s="18"/>
      <c r="DJ463" s="18"/>
      <c r="DK463" s="18"/>
      <c r="DL463" s="18"/>
      <c r="DM463" s="18"/>
      <c r="DN463" s="18"/>
      <c r="DO463" s="18"/>
      <c r="DP463" s="18"/>
      <c r="DQ463" s="18"/>
      <c r="DR463" s="18"/>
      <c r="DS463" s="18"/>
      <c r="DT463" s="18"/>
      <c r="DU463" s="18"/>
      <c r="DV463" s="18"/>
      <c r="DW463" s="18"/>
      <c r="DX463" s="18"/>
      <c r="DY463" s="18"/>
      <c r="DZ463" s="18"/>
    </row>
    <row r="464" spans="1:130" x14ac:dyDescent="0.3">
      <c r="A464" s="18"/>
      <c r="B464" s="18"/>
      <c r="C464" s="18"/>
      <c r="D464" s="18"/>
      <c r="E464" s="18"/>
      <c r="F464" s="18"/>
      <c r="G464" s="18"/>
      <c r="H464" s="18"/>
      <c r="I464" s="18"/>
      <c r="J464" s="18"/>
      <c r="K464" s="18"/>
      <c r="L464" s="18"/>
      <c r="M464" s="18"/>
      <c r="N464" s="17"/>
      <c r="O464" s="17"/>
      <c r="P464" s="17"/>
      <c r="Q464" s="17"/>
      <c r="R464" s="17"/>
      <c r="S464" s="17"/>
      <c r="T464" s="17"/>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7"/>
      <c r="BT464" s="17"/>
      <c r="BU464" s="17"/>
      <c r="BV464" s="17"/>
      <c r="BW464" s="17"/>
      <c r="BX464" s="18"/>
      <c r="BY464" s="18"/>
      <c r="BZ464" s="18"/>
      <c r="CA464" s="18"/>
      <c r="CB464" s="17"/>
      <c r="CC464" s="17"/>
      <c r="CD464" s="17"/>
      <c r="CE464" s="18"/>
      <c r="CF464" s="18"/>
      <c r="CG464" s="18"/>
      <c r="CH464" s="18"/>
      <c r="CI464" s="18"/>
      <c r="CJ464" s="18"/>
      <c r="CK464" s="18"/>
      <c r="CL464" s="18"/>
      <c r="CM464" s="18"/>
      <c r="CN464" s="18"/>
      <c r="CO464" s="18"/>
      <c r="CP464" s="18"/>
      <c r="CQ464" s="18"/>
      <c r="CR464" s="18"/>
      <c r="CS464" s="18"/>
      <c r="CT464" s="18"/>
      <c r="CU464" s="18"/>
      <c r="CV464" s="18"/>
      <c r="CW464" s="18"/>
      <c r="CX464" s="18"/>
      <c r="CY464" s="18"/>
      <c r="CZ464" s="18"/>
      <c r="DA464" s="18"/>
      <c r="DB464" s="18"/>
      <c r="DC464" s="18"/>
      <c r="DD464" s="18"/>
      <c r="DE464" s="18"/>
      <c r="DF464" s="18"/>
      <c r="DG464" s="18"/>
      <c r="DH464" s="18"/>
      <c r="DI464" s="18"/>
      <c r="DJ464" s="18"/>
      <c r="DK464" s="18"/>
      <c r="DL464" s="18"/>
      <c r="DM464" s="18"/>
      <c r="DN464" s="18"/>
      <c r="DO464" s="18"/>
      <c r="DP464" s="18"/>
      <c r="DQ464" s="18"/>
      <c r="DR464" s="18"/>
      <c r="DS464" s="18"/>
      <c r="DT464" s="18"/>
      <c r="DU464" s="18"/>
      <c r="DV464" s="18"/>
      <c r="DW464" s="18"/>
      <c r="DX464" s="18"/>
      <c r="DY464" s="18"/>
      <c r="DZ464" s="18"/>
    </row>
    <row r="465" spans="1:130" x14ac:dyDescent="0.3">
      <c r="A465" s="18"/>
      <c r="B465" s="18"/>
      <c r="C465" s="18"/>
      <c r="D465" s="18"/>
      <c r="E465" s="18"/>
      <c r="F465" s="18"/>
      <c r="G465" s="18"/>
      <c r="H465" s="18"/>
      <c r="I465" s="18"/>
      <c r="J465" s="18"/>
      <c r="K465" s="18"/>
      <c r="L465" s="18"/>
      <c r="M465" s="18"/>
      <c r="N465" s="17"/>
      <c r="O465" s="17"/>
      <c r="P465" s="17"/>
      <c r="Q465" s="17"/>
      <c r="R465" s="17"/>
      <c r="S465" s="17"/>
      <c r="T465" s="17"/>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7"/>
      <c r="BT465" s="17"/>
      <c r="BU465" s="17"/>
      <c r="BV465" s="17"/>
      <c r="BW465" s="17"/>
      <c r="BX465" s="18"/>
      <c r="BY465" s="18"/>
      <c r="BZ465" s="18"/>
      <c r="CA465" s="18"/>
      <c r="CB465" s="17"/>
      <c r="CC465" s="17"/>
      <c r="CD465" s="17"/>
      <c r="CE465" s="18"/>
      <c r="CF465" s="18"/>
      <c r="CG465" s="18"/>
      <c r="CH465" s="18"/>
      <c r="CI465" s="18"/>
      <c r="CJ465" s="18"/>
      <c r="CK465" s="18"/>
      <c r="CL465" s="18"/>
      <c r="CM465" s="18"/>
      <c r="CN465" s="18"/>
      <c r="CO465" s="18"/>
      <c r="CP465" s="18"/>
      <c r="CQ465" s="18"/>
      <c r="CR465" s="18"/>
      <c r="CS465" s="18"/>
      <c r="CT465" s="18"/>
      <c r="CU465" s="18"/>
      <c r="CV465" s="18"/>
      <c r="CW465" s="18"/>
      <c r="CX465" s="18"/>
      <c r="CY465" s="18"/>
      <c r="CZ465" s="18"/>
      <c r="DA465" s="18"/>
      <c r="DB465" s="18"/>
      <c r="DC465" s="18"/>
      <c r="DD465" s="18"/>
      <c r="DE465" s="18"/>
      <c r="DF465" s="18"/>
      <c r="DG465" s="18"/>
      <c r="DH465" s="18"/>
      <c r="DI465" s="18"/>
      <c r="DJ465" s="18"/>
      <c r="DK465" s="18"/>
      <c r="DL465" s="18"/>
      <c r="DM465" s="18"/>
      <c r="DN465" s="18"/>
      <c r="DO465" s="18"/>
      <c r="DP465" s="18"/>
      <c r="DQ465" s="18"/>
      <c r="DR465" s="18"/>
      <c r="DS465" s="18"/>
      <c r="DT465" s="18"/>
      <c r="DU465" s="18"/>
      <c r="DV465" s="18"/>
      <c r="DW465" s="18"/>
      <c r="DX465" s="18"/>
      <c r="DY465" s="18"/>
      <c r="DZ465" s="18"/>
    </row>
    <row r="466" spans="1:130" x14ac:dyDescent="0.3">
      <c r="A466" s="18"/>
      <c r="B466" s="18"/>
      <c r="C466" s="18"/>
      <c r="D466" s="18"/>
      <c r="E466" s="18"/>
      <c r="F466" s="18"/>
      <c r="G466" s="18"/>
      <c r="H466" s="18"/>
      <c r="I466" s="18"/>
      <c r="J466" s="18"/>
      <c r="K466" s="18"/>
      <c r="L466" s="18"/>
      <c r="M466" s="18"/>
      <c r="N466" s="17"/>
      <c r="O466" s="17"/>
      <c r="P466" s="17"/>
      <c r="Q466" s="17"/>
      <c r="R466" s="17"/>
      <c r="S466" s="17"/>
      <c r="T466" s="17"/>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7"/>
      <c r="BT466" s="17"/>
      <c r="BU466" s="17"/>
      <c r="BV466" s="17"/>
      <c r="BW466" s="17"/>
      <c r="BX466" s="18"/>
      <c r="BY466" s="18"/>
      <c r="BZ466" s="18"/>
      <c r="CA466" s="18"/>
      <c r="CB466" s="17"/>
      <c r="CC466" s="17"/>
      <c r="CD466" s="17"/>
      <c r="CE466" s="18"/>
      <c r="CF466" s="18"/>
      <c r="CG466" s="18"/>
      <c r="CH466" s="18"/>
      <c r="CI466" s="18"/>
      <c r="CJ466" s="18"/>
      <c r="CK466" s="18"/>
      <c r="CL466" s="18"/>
      <c r="CM466" s="18"/>
      <c r="CN466" s="18"/>
      <c r="CO466" s="18"/>
      <c r="CP466" s="18"/>
      <c r="CQ466" s="18"/>
      <c r="CR466" s="18"/>
      <c r="CS466" s="18"/>
      <c r="CT466" s="18"/>
      <c r="CU466" s="18"/>
      <c r="CV466" s="18"/>
      <c r="CW466" s="18"/>
      <c r="CX466" s="18"/>
      <c r="CY466" s="18"/>
      <c r="CZ466" s="18"/>
      <c r="DA466" s="18"/>
      <c r="DB466" s="18"/>
      <c r="DC466" s="18"/>
      <c r="DD466" s="18"/>
      <c r="DE466" s="18"/>
      <c r="DF466" s="18"/>
      <c r="DG466" s="18"/>
      <c r="DH466" s="18"/>
      <c r="DI466" s="18"/>
      <c r="DJ466" s="18"/>
      <c r="DK466" s="18"/>
      <c r="DL466" s="18"/>
      <c r="DM466" s="18"/>
      <c r="DN466" s="18"/>
      <c r="DO466" s="18"/>
      <c r="DP466" s="18"/>
      <c r="DQ466" s="18"/>
      <c r="DR466" s="18"/>
      <c r="DS466" s="18"/>
      <c r="DT466" s="18"/>
      <c r="DU466" s="18"/>
      <c r="DV466" s="18"/>
      <c r="DW466" s="18"/>
      <c r="DX466" s="18"/>
      <c r="DY466" s="18"/>
      <c r="DZ466" s="18"/>
    </row>
    <row r="467" spans="1:130" x14ac:dyDescent="0.3">
      <c r="A467" s="18"/>
      <c r="B467" s="18"/>
      <c r="C467" s="18"/>
      <c r="D467" s="18"/>
      <c r="E467" s="18"/>
      <c r="F467" s="18"/>
      <c r="G467" s="18"/>
      <c r="H467" s="18"/>
      <c r="I467" s="18"/>
      <c r="J467" s="18"/>
      <c r="K467" s="18"/>
      <c r="L467" s="18"/>
      <c r="M467" s="18"/>
      <c r="N467" s="17"/>
      <c r="O467" s="17"/>
      <c r="P467" s="17"/>
      <c r="Q467" s="17"/>
      <c r="R467" s="17"/>
      <c r="S467" s="17"/>
      <c r="T467" s="17"/>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7"/>
      <c r="BT467" s="17"/>
      <c r="BU467" s="17"/>
      <c r="BV467" s="17"/>
      <c r="BW467" s="17"/>
      <c r="BX467" s="18"/>
      <c r="BY467" s="18"/>
      <c r="BZ467" s="18"/>
      <c r="CA467" s="18"/>
      <c r="CB467" s="17"/>
      <c r="CC467" s="17"/>
      <c r="CD467" s="17"/>
      <c r="CE467" s="18"/>
      <c r="CF467" s="18"/>
      <c r="CG467" s="18"/>
      <c r="CH467" s="18"/>
      <c r="CI467" s="18"/>
      <c r="CJ467" s="18"/>
      <c r="CK467" s="18"/>
      <c r="CL467" s="18"/>
      <c r="CM467" s="18"/>
      <c r="CN467" s="18"/>
      <c r="CO467" s="18"/>
      <c r="CP467" s="18"/>
      <c r="CQ467" s="18"/>
      <c r="CR467" s="18"/>
      <c r="CS467" s="18"/>
      <c r="CT467" s="18"/>
      <c r="CU467" s="18"/>
      <c r="CV467" s="18"/>
      <c r="CW467" s="18"/>
      <c r="CX467" s="18"/>
      <c r="CY467" s="18"/>
      <c r="CZ467" s="18"/>
      <c r="DA467" s="18"/>
      <c r="DB467" s="18"/>
      <c r="DC467" s="18"/>
      <c r="DD467" s="18"/>
      <c r="DE467" s="18"/>
      <c r="DF467" s="18"/>
      <c r="DG467" s="18"/>
      <c r="DH467" s="18"/>
      <c r="DI467" s="18"/>
      <c r="DJ467" s="18"/>
      <c r="DK467" s="18"/>
      <c r="DL467" s="18"/>
      <c r="DM467" s="18"/>
      <c r="DN467" s="18"/>
      <c r="DO467" s="18"/>
      <c r="DP467" s="18"/>
      <c r="DQ467" s="18"/>
      <c r="DR467" s="18"/>
      <c r="DS467" s="18"/>
      <c r="DT467" s="18"/>
      <c r="DU467" s="18"/>
      <c r="DV467" s="18"/>
      <c r="DW467" s="18"/>
      <c r="DX467" s="18"/>
      <c r="DY467" s="18"/>
      <c r="DZ467" s="18"/>
    </row>
    <row r="468" spans="1:130" x14ac:dyDescent="0.3">
      <c r="A468" s="18"/>
      <c r="B468" s="18"/>
      <c r="C468" s="18"/>
      <c r="D468" s="18"/>
      <c r="E468" s="18"/>
      <c r="F468" s="18"/>
      <c r="G468" s="18"/>
      <c r="H468" s="18"/>
      <c r="I468" s="18"/>
      <c r="J468" s="18"/>
      <c r="K468" s="18"/>
      <c r="L468" s="18"/>
      <c r="M468" s="18"/>
      <c r="N468" s="17"/>
      <c r="O468" s="17"/>
      <c r="P468" s="17"/>
      <c r="Q468" s="17"/>
      <c r="R468" s="17"/>
      <c r="S468" s="17"/>
      <c r="T468" s="17"/>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7"/>
      <c r="BT468" s="17"/>
      <c r="BU468" s="17"/>
      <c r="BV468" s="17"/>
      <c r="BW468" s="17"/>
      <c r="BX468" s="18"/>
      <c r="BY468" s="18"/>
      <c r="BZ468" s="18"/>
      <c r="CA468" s="18"/>
      <c r="CB468" s="17"/>
      <c r="CC468" s="17"/>
      <c r="CD468" s="17"/>
      <c r="CE468" s="18"/>
      <c r="CF468" s="18"/>
      <c r="CG468" s="18"/>
      <c r="CH468" s="18"/>
      <c r="CI468" s="18"/>
      <c r="CJ468" s="18"/>
      <c r="CK468" s="18"/>
      <c r="CL468" s="18"/>
      <c r="CM468" s="18"/>
      <c r="CN468" s="18"/>
      <c r="CO468" s="18"/>
      <c r="CP468" s="18"/>
      <c r="CQ468" s="18"/>
      <c r="CR468" s="18"/>
      <c r="CS468" s="18"/>
      <c r="CT468" s="18"/>
      <c r="CU468" s="18"/>
      <c r="CV468" s="18"/>
      <c r="CW468" s="18"/>
      <c r="CX468" s="18"/>
      <c r="CY468" s="18"/>
      <c r="CZ468" s="18"/>
      <c r="DA468" s="18"/>
      <c r="DB468" s="18"/>
      <c r="DC468" s="18"/>
      <c r="DD468" s="18"/>
      <c r="DE468" s="18"/>
      <c r="DF468" s="18"/>
      <c r="DG468" s="18"/>
      <c r="DH468" s="18"/>
      <c r="DI468" s="18"/>
      <c r="DJ468" s="18"/>
      <c r="DK468" s="18"/>
      <c r="DL468" s="18"/>
      <c r="DM468" s="18"/>
      <c r="DN468" s="18"/>
      <c r="DO468" s="18"/>
      <c r="DP468" s="18"/>
      <c r="DQ468" s="18"/>
      <c r="DR468" s="18"/>
      <c r="DS468" s="18"/>
      <c r="DT468" s="18"/>
      <c r="DU468" s="18"/>
      <c r="DV468" s="18"/>
      <c r="DW468" s="18"/>
      <c r="DX468" s="18"/>
      <c r="DY468" s="18"/>
      <c r="DZ468" s="18"/>
    </row>
    <row r="469" spans="1:130" x14ac:dyDescent="0.3">
      <c r="A469" s="18"/>
      <c r="B469" s="18"/>
      <c r="C469" s="18"/>
      <c r="D469" s="18"/>
      <c r="E469" s="18"/>
      <c r="F469" s="18"/>
      <c r="G469" s="18"/>
      <c r="H469" s="18"/>
      <c r="I469" s="18"/>
      <c r="J469" s="18"/>
      <c r="K469" s="18"/>
      <c r="L469" s="18"/>
      <c r="M469" s="18"/>
      <c r="N469" s="17"/>
      <c r="O469" s="17"/>
      <c r="P469" s="17"/>
      <c r="Q469" s="17"/>
      <c r="R469" s="17"/>
      <c r="S469" s="17"/>
      <c r="T469" s="17"/>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7"/>
      <c r="BT469" s="17"/>
      <c r="BU469" s="17"/>
      <c r="BV469" s="17"/>
      <c r="BW469" s="17"/>
      <c r="BX469" s="18"/>
      <c r="BY469" s="18"/>
      <c r="BZ469" s="18"/>
      <c r="CA469" s="18"/>
      <c r="CB469" s="17"/>
      <c r="CC469" s="17"/>
      <c r="CD469" s="17"/>
      <c r="CE469" s="18"/>
      <c r="CF469" s="18"/>
      <c r="CG469" s="18"/>
      <c r="CH469" s="18"/>
      <c r="CI469" s="18"/>
      <c r="CJ469" s="18"/>
      <c r="CK469" s="18"/>
      <c r="CL469" s="18"/>
      <c r="CM469" s="18"/>
      <c r="CN469" s="18"/>
      <c r="CO469" s="18"/>
      <c r="CP469" s="18"/>
      <c r="CQ469" s="18"/>
      <c r="CR469" s="18"/>
      <c r="CS469" s="18"/>
      <c r="CT469" s="18"/>
      <c r="CU469" s="18"/>
      <c r="CV469" s="18"/>
      <c r="CW469" s="18"/>
      <c r="CX469" s="18"/>
      <c r="CY469" s="18"/>
      <c r="CZ469" s="18"/>
      <c r="DA469" s="18"/>
      <c r="DB469" s="18"/>
      <c r="DC469" s="18"/>
      <c r="DD469" s="18"/>
      <c r="DE469" s="18"/>
      <c r="DF469" s="18"/>
      <c r="DG469" s="18"/>
      <c r="DH469" s="18"/>
      <c r="DI469" s="18"/>
      <c r="DJ469" s="18"/>
      <c r="DK469" s="18"/>
      <c r="DL469" s="18"/>
      <c r="DM469" s="18"/>
      <c r="DN469" s="18"/>
      <c r="DO469" s="18"/>
      <c r="DP469" s="18"/>
      <c r="DQ469" s="18"/>
      <c r="DR469" s="18"/>
      <c r="DS469" s="18"/>
      <c r="DT469" s="18"/>
      <c r="DU469" s="18"/>
      <c r="DV469" s="18"/>
      <c r="DW469" s="18"/>
      <c r="DX469" s="18"/>
      <c r="DY469" s="18"/>
      <c r="DZ469" s="18"/>
    </row>
    <row r="470" spans="1:130" x14ac:dyDescent="0.3">
      <c r="A470" s="18"/>
      <c r="B470" s="18"/>
      <c r="C470" s="18"/>
      <c r="D470" s="18"/>
      <c r="E470" s="18"/>
      <c r="F470" s="18"/>
      <c r="G470" s="18"/>
      <c r="H470" s="18"/>
      <c r="I470" s="18"/>
      <c r="J470" s="18"/>
      <c r="K470" s="18"/>
      <c r="L470" s="18"/>
      <c r="M470" s="18"/>
      <c r="N470" s="17"/>
      <c r="O470" s="17"/>
      <c r="P470" s="17"/>
      <c r="Q470" s="17"/>
      <c r="R470" s="17"/>
      <c r="S470" s="17"/>
      <c r="T470" s="17"/>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7"/>
      <c r="BT470" s="17"/>
      <c r="BU470" s="17"/>
      <c r="BV470" s="17"/>
      <c r="BW470" s="17"/>
      <c r="BX470" s="18"/>
      <c r="BY470" s="18"/>
      <c r="BZ470" s="18"/>
      <c r="CA470" s="18"/>
      <c r="CB470" s="17"/>
      <c r="CC470" s="17"/>
      <c r="CD470" s="17"/>
      <c r="CE470" s="18"/>
      <c r="CF470" s="18"/>
      <c r="CG470" s="18"/>
      <c r="CH470" s="18"/>
      <c r="CI470" s="18"/>
      <c r="CJ470" s="18"/>
      <c r="CK470" s="18"/>
      <c r="CL470" s="18"/>
      <c r="CM470" s="18"/>
      <c r="CN470" s="18"/>
      <c r="CO470" s="18"/>
      <c r="CP470" s="18"/>
      <c r="CQ470" s="18"/>
      <c r="CR470" s="18"/>
      <c r="CS470" s="18"/>
      <c r="CT470" s="18"/>
      <c r="CU470" s="18"/>
      <c r="CV470" s="18"/>
      <c r="CW470" s="18"/>
      <c r="CX470" s="18"/>
      <c r="CY470" s="18"/>
      <c r="CZ470" s="18"/>
      <c r="DA470" s="18"/>
      <c r="DB470" s="18"/>
      <c r="DC470" s="18"/>
      <c r="DD470" s="18"/>
      <c r="DE470" s="18"/>
      <c r="DF470" s="18"/>
      <c r="DG470" s="18"/>
      <c r="DH470" s="18"/>
      <c r="DI470" s="18"/>
      <c r="DJ470" s="18"/>
      <c r="DK470" s="18"/>
      <c r="DL470" s="18"/>
      <c r="DM470" s="18"/>
      <c r="DN470" s="18"/>
      <c r="DO470" s="18"/>
      <c r="DP470" s="18"/>
      <c r="DQ470" s="18"/>
      <c r="DR470" s="18"/>
      <c r="DS470" s="18"/>
      <c r="DT470" s="18"/>
      <c r="DU470" s="18"/>
      <c r="DV470" s="18"/>
      <c r="DW470" s="18"/>
      <c r="DX470" s="18"/>
      <c r="DY470" s="18"/>
      <c r="DZ470" s="18"/>
    </row>
    <row r="471" spans="1:130" x14ac:dyDescent="0.3">
      <c r="A471" s="18"/>
      <c r="B471" s="18"/>
      <c r="C471" s="18"/>
      <c r="D471" s="18"/>
      <c r="E471" s="18"/>
      <c r="F471" s="18"/>
      <c r="G471" s="18"/>
      <c r="H471" s="18"/>
      <c r="I471" s="18"/>
      <c r="J471" s="18"/>
      <c r="K471" s="18"/>
      <c r="L471" s="18"/>
      <c r="M471" s="18"/>
      <c r="N471" s="17"/>
      <c r="O471" s="17"/>
      <c r="P471" s="17"/>
      <c r="Q471" s="17"/>
      <c r="R471" s="17"/>
      <c r="S471" s="17"/>
      <c r="T471" s="17"/>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7"/>
      <c r="BT471" s="17"/>
      <c r="BU471" s="17"/>
      <c r="BV471" s="17"/>
      <c r="BW471" s="17"/>
      <c r="BX471" s="18"/>
      <c r="BY471" s="18"/>
      <c r="BZ471" s="18"/>
      <c r="CA471" s="18"/>
      <c r="CB471" s="17"/>
      <c r="CC471" s="17"/>
      <c r="CD471" s="17"/>
      <c r="CE471" s="18"/>
      <c r="CF471" s="18"/>
      <c r="CG471" s="18"/>
      <c r="CH471" s="18"/>
      <c r="CI471" s="18"/>
      <c r="CJ471" s="18"/>
      <c r="CK471" s="18"/>
      <c r="CL471" s="18"/>
      <c r="CM471" s="18"/>
      <c r="CN471" s="18"/>
      <c r="CO471" s="18"/>
      <c r="CP471" s="18"/>
      <c r="CQ471" s="18"/>
      <c r="CR471" s="18"/>
      <c r="CS471" s="18"/>
      <c r="CT471" s="18"/>
      <c r="CU471" s="18"/>
      <c r="CV471" s="18"/>
      <c r="CW471" s="18"/>
      <c r="CX471" s="18"/>
      <c r="CY471" s="18"/>
      <c r="CZ471" s="18"/>
      <c r="DA471" s="18"/>
      <c r="DB471" s="18"/>
      <c r="DC471" s="18"/>
      <c r="DD471" s="18"/>
      <c r="DE471" s="18"/>
      <c r="DF471" s="18"/>
      <c r="DG471" s="18"/>
      <c r="DH471" s="18"/>
      <c r="DI471" s="18"/>
      <c r="DJ471" s="18"/>
      <c r="DK471" s="18"/>
      <c r="DL471" s="18"/>
      <c r="DM471" s="18"/>
      <c r="DN471" s="18"/>
      <c r="DO471" s="18"/>
      <c r="DP471" s="18"/>
      <c r="DQ471" s="18"/>
      <c r="DR471" s="18"/>
      <c r="DS471" s="18"/>
      <c r="DT471" s="18"/>
      <c r="DU471" s="18"/>
      <c r="DV471" s="18"/>
      <c r="DW471" s="18"/>
      <c r="DX471" s="18"/>
      <c r="DY471" s="18"/>
      <c r="DZ471" s="18"/>
    </row>
    <row r="472" spans="1:130" x14ac:dyDescent="0.3">
      <c r="A472" s="18"/>
      <c r="B472" s="18"/>
      <c r="C472" s="18"/>
      <c r="D472" s="18"/>
      <c r="E472" s="18"/>
      <c r="F472" s="18"/>
      <c r="G472" s="18"/>
      <c r="H472" s="18"/>
      <c r="I472" s="18"/>
      <c r="J472" s="18"/>
      <c r="K472" s="18"/>
      <c r="L472" s="18"/>
      <c r="M472" s="18"/>
      <c r="N472" s="17"/>
      <c r="O472" s="17"/>
      <c r="P472" s="17"/>
      <c r="Q472" s="17"/>
      <c r="R472" s="17"/>
      <c r="S472" s="17"/>
      <c r="T472" s="17"/>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7"/>
      <c r="BT472" s="17"/>
      <c r="BU472" s="17"/>
      <c r="BV472" s="17"/>
      <c r="BW472" s="17"/>
      <c r="BX472" s="18"/>
      <c r="BY472" s="18"/>
      <c r="BZ472" s="18"/>
      <c r="CA472" s="18"/>
      <c r="CB472" s="17"/>
      <c r="CC472" s="17"/>
      <c r="CD472" s="17"/>
      <c r="CE472" s="18"/>
      <c r="CF472" s="18"/>
      <c r="CG472" s="18"/>
      <c r="CH472" s="18"/>
      <c r="CI472" s="18"/>
      <c r="CJ472" s="18"/>
      <c r="CK472" s="18"/>
      <c r="CL472" s="18"/>
      <c r="CM472" s="18"/>
      <c r="CN472" s="18"/>
      <c r="CO472" s="18"/>
      <c r="CP472" s="18"/>
      <c r="CQ472" s="18"/>
      <c r="CR472" s="18"/>
      <c r="CS472" s="18"/>
      <c r="CT472" s="18"/>
      <c r="CU472" s="18"/>
      <c r="CV472" s="18"/>
      <c r="CW472" s="18"/>
      <c r="CX472" s="18"/>
      <c r="CY472" s="18"/>
      <c r="CZ472" s="18"/>
      <c r="DA472" s="18"/>
      <c r="DB472" s="18"/>
      <c r="DC472" s="18"/>
      <c r="DD472" s="18"/>
      <c r="DE472" s="18"/>
      <c r="DF472" s="18"/>
      <c r="DG472" s="18"/>
      <c r="DH472" s="18"/>
      <c r="DI472" s="18"/>
      <c r="DJ472" s="18"/>
      <c r="DK472" s="18"/>
      <c r="DL472" s="18"/>
      <c r="DM472" s="18"/>
      <c r="DN472" s="18"/>
      <c r="DO472" s="18"/>
      <c r="DP472" s="18"/>
      <c r="DQ472" s="18"/>
      <c r="DR472" s="18"/>
      <c r="DS472" s="18"/>
      <c r="DT472" s="18"/>
      <c r="DU472" s="18"/>
      <c r="DV472" s="18"/>
      <c r="DW472" s="18"/>
      <c r="DX472" s="18"/>
      <c r="DY472" s="18"/>
      <c r="DZ472" s="18"/>
    </row>
    <row r="473" spans="1:130" x14ac:dyDescent="0.3">
      <c r="A473" s="18"/>
      <c r="B473" s="18"/>
      <c r="C473" s="18"/>
      <c r="D473" s="18"/>
      <c r="E473" s="18"/>
      <c r="F473" s="18"/>
      <c r="G473" s="18"/>
      <c r="H473" s="18"/>
      <c r="I473" s="18"/>
      <c r="J473" s="18"/>
      <c r="K473" s="18"/>
      <c r="L473" s="18"/>
      <c r="M473" s="18"/>
      <c r="N473" s="17"/>
      <c r="O473" s="17"/>
      <c r="P473" s="17"/>
      <c r="Q473" s="17"/>
      <c r="R473" s="17"/>
      <c r="S473" s="17"/>
      <c r="T473" s="17"/>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7"/>
      <c r="BT473" s="17"/>
      <c r="BU473" s="17"/>
      <c r="BV473" s="17"/>
      <c r="BW473" s="17"/>
      <c r="BX473" s="18"/>
      <c r="BY473" s="18"/>
      <c r="BZ473" s="18"/>
      <c r="CA473" s="18"/>
      <c r="CB473" s="17"/>
      <c r="CC473" s="17"/>
      <c r="CD473" s="17"/>
      <c r="CE473" s="18"/>
      <c r="CF473" s="18"/>
      <c r="CG473" s="18"/>
      <c r="CH473" s="18"/>
      <c r="CI473" s="18"/>
      <c r="CJ473" s="18"/>
      <c r="CK473" s="18"/>
      <c r="CL473" s="18"/>
      <c r="CM473" s="18"/>
      <c r="CN473" s="18"/>
      <c r="CO473" s="18"/>
      <c r="CP473" s="18"/>
      <c r="CQ473" s="18"/>
      <c r="CR473" s="18"/>
      <c r="CS473" s="18"/>
      <c r="CT473" s="18"/>
      <c r="CU473" s="18"/>
      <c r="CV473" s="18"/>
      <c r="CW473" s="18"/>
      <c r="CX473" s="18"/>
      <c r="CY473" s="18"/>
      <c r="CZ473" s="18"/>
      <c r="DA473" s="18"/>
      <c r="DB473" s="18"/>
      <c r="DC473" s="18"/>
      <c r="DD473" s="18"/>
      <c r="DE473" s="18"/>
      <c r="DF473" s="18"/>
      <c r="DG473" s="18"/>
      <c r="DH473" s="18"/>
      <c r="DI473" s="18"/>
      <c r="DJ473" s="18"/>
      <c r="DK473" s="18"/>
      <c r="DL473" s="18"/>
      <c r="DM473" s="18"/>
      <c r="DN473" s="18"/>
      <c r="DO473" s="18"/>
      <c r="DP473" s="18"/>
      <c r="DQ473" s="18"/>
      <c r="DR473" s="18"/>
      <c r="DS473" s="18"/>
      <c r="DT473" s="18"/>
      <c r="DU473" s="18"/>
      <c r="DV473" s="18"/>
      <c r="DW473" s="18"/>
      <c r="DX473" s="18"/>
      <c r="DY473" s="18"/>
      <c r="DZ473" s="18"/>
    </row>
    <row r="474" spans="1:130" x14ac:dyDescent="0.3">
      <c r="A474" s="18"/>
      <c r="B474" s="18"/>
      <c r="C474" s="18"/>
      <c r="D474" s="18"/>
      <c r="E474" s="18"/>
      <c r="F474" s="18"/>
      <c r="G474" s="18"/>
      <c r="H474" s="18"/>
      <c r="I474" s="18"/>
      <c r="J474" s="18"/>
      <c r="K474" s="18"/>
      <c r="L474" s="18"/>
      <c r="M474" s="18"/>
      <c r="N474" s="17"/>
      <c r="O474" s="17"/>
      <c r="P474" s="17"/>
      <c r="Q474" s="17"/>
      <c r="R474" s="17"/>
      <c r="S474" s="17"/>
      <c r="T474" s="17"/>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7"/>
      <c r="BT474" s="17"/>
      <c r="BU474" s="17"/>
      <c r="BV474" s="17"/>
      <c r="BW474" s="17"/>
      <c r="BX474" s="18"/>
      <c r="BY474" s="18"/>
      <c r="BZ474" s="18"/>
      <c r="CA474" s="18"/>
      <c r="CB474" s="17"/>
      <c r="CC474" s="17"/>
      <c r="CD474" s="17"/>
      <c r="CE474" s="18"/>
      <c r="CF474" s="18"/>
      <c r="CG474" s="18"/>
      <c r="CH474" s="18"/>
      <c r="CI474" s="18"/>
      <c r="CJ474" s="18"/>
      <c r="CK474" s="18"/>
      <c r="CL474" s="18"/>
      <c r="CM474" s="18"/>
      <c r="CN474" s="18"/>
      <c r="CO474" s="18"/>
      <c r="CP474" s="18"/>
      <c r="CQ474" s="18"/>
      <c r="CR474" s="18"/>
      <c r="CS474" s="18"/>
      <c r="CT474" s="18"/>
      <c r="CU474" s="18"/>
      <c r="CV474" s="18"/>
      <c r="CW474" s="18"/>
      <c r="CX474" s="18"/>
      <c r="CY474" s="18"/>
      <c r="CZ474" s="18"/>
      <c r="DA474" s="18"/>
      <c r="DB474" s="18"/>
      <c r="DC474" s="18"/>
      <c r="DD474" s="18"/>
      <c r="DE474" s="18"/>
      <c r="DF474" s="18"/>
      <c r="DG474" s="18"/>
      <c r="DH474" s="18"/>
      <c r="DI474" s="18"/>
      <c r="DJ474" s="18"/>
      <c r="DK474" s="18"/>
      <c r="DL474" s="18"/>
      <c r="DM474" s="18"/>
      <c r="DN474" s="18"/>
      <c r="DO474" s="18"/>
      <c r="DP474" s="18"/>
      <c r="DQ474" s="18"/>
      <c r="DR474" s="18"/>
      <c r="DS474" s="18"/>
      <c r="DT474" s="18"/>
      <c r="DU474" s="18"/>
      <c r="DV474" s="18"/>
      <c r="DW474" s="18"/>
      <c r="DX474" s="18"/>
      <c r="DY474" s="18"/>
      <c r="DZ474" s="18"/>
    </row>
    <row r="475" spans="1:130" x14ac:dyDescent="0.3">
      <c r="A475" s="18"/>
      <c r="B475" s="18"/>
      <c r="C475" s="18"/>
      <c r="D475" s="18"/>
      <c r="E475" s="18"/>
      <c r="F475" s="18"/>
      <c r="G475" s="18"/>
      <c r="H475" s="18"/>
      <c r="I475" s="18"/>
      <c r="J475" s="18"/>
      <c r="K475" s="18"/>
      <c r="L475" s="18"/>
      <c r="M475" s="18"/>
      <c r="N475" s="17"/>
      <c r="O475" s="17"/>
      <c r="P475" s="17"/>
      <c r="Q475" s="17"/>
      <c r="R475" s="17"/>
      <c r="S475" s="17"/>
      <c r="T475" s="17"/>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7"/>
      <c r="BT475" s="17"/>
      <c r="BU475" s="17"/>
      <c r="BV475" s="17"/>
      <c r="BW475" s="17"/>
      <c r="BX475" s="18"/>
      <c r="BY475" s="18"/>
      <c r="BZ475" s="18"/>
      <c r="CA475" s="18"/>
      <c r="CB475" s="17"/>
      <c r="CC475" s="17"/>
      <c r="CD475" s="17"/>
      <c r="CE475" s="18"/>
      <c r="CF475" s="18"/>
      <c r="CG475" s="18"/>
      <c r="CH475" s="18"/>
      <c r="CI475" s="18"/>
      <c r="CJ475" s="18"/>
      <c r="CK475" s="18"/>
      <c r="CL475" s="18"/>
      <c r="CM475" s="18"/>
      <c r="CN475" s="18"/>
      <c r="CO475" s="18"/>
      <c r="CP475" s="18"/>
      <c r="CQ475" s="18"/>
      <c r="CR475" s="18"/>
      <c r="CS475" s="18"/>
      <c r="CT475" s="18"/>
      <c r="CU475" s="18"/>
      <c r="CV475" s="18"/>
      <c r="CW475" s="18"/>
      <c r="CX475" s="18"/>
      <c r="CY475" s="18"/>
      <c r="CZ475" s="18"/>
      <c r="DA475" s="18"/>
      <c r="DB475" s="18"/>
      <c r="DC475" s="18"/>
      <c r="DD475" s="18"/>
      <c r="DE475" s="18"/>
      <c r="DF475" s="18"/>
      <c r="DG475" s="18"/>
      <c r="DH475" s="18"/>
      <c r="DI475" s="18"/>
      <c r="DJ475" s="18"/>
      <c r="DK475" s="18"/>
      <c r="DL475" s="18"/>
      <c r="DM475" s="18"/>
      <c r="DN475" s="18"/>
      <c r="DO475" s="18"/>
      <c r="DP475" s="18"/>
      <c r="DQ475" s="18"/>
      <c r="DR475" s="18"/>
      <c r="DS475" s="18"/>
      <c r="DT475" s="18"/>
      <c r="DU475" s="18"/>
      <c r="DV475" s="18"/>
      <c r="DW475" s="18"/>
      <c r="DX475" s="18"/>
      <c r="DY475" s="18"/>
      <c r="DZ475" s="18"/>
    </row>
    <row r="476" spans="1:130" x14ac:dyDescent="0.3">
      <c r="A476" s="18"/>
      <c r="B476" s="18"/>
      <c r="C476" s="18"/>
      <c r="D476" s="18"/>
      <c r="E476" s="18"/>
      <c r="F476" s="18"/>
      <c r="G476" s="18"/>
      <c r="H476" s="18"/>
      <c r="I476" s="18"/>
      <c r="J476" s="18"/>
      <c r="K476" s="18"/>
      <c r="L476" s="18"/>
      <c r="M476" s="18"/>
      <c r="N476" s="17"/>
      <c r="O476" s="17"/>
      <c r="P476" s="17"/>
      <c r="Q476" s="17"/>
      <c r="R476" s="17"/>
      <c r="S476" s="17"/>
      <c r="T476" s="17"/>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7"/>
      <c r="BT476" s="17"/>
      <c r="BU476" s="17"/>
      <c r="BV476" s="17"/>
      <c r="BW476" s="17"/>
      <c r="BX476" s="18"/>
      <c r="BY476" s="18"/>
      <c r="BZ476" s="18"/>
      <c r="CA476" s="18"/>
      <c r="CB476" s="17"/>
      <c r="CC476" s="17"/>
      <c r="CD476" s="17"/>
      <c r="CE476" s="18"/>
      <c r="CF476" s="18"/>
      <c r="CG476" s="18"/>
      <c r="CH476" s="18"/>
      <c r="CI476" s="18"/>
      <c r="CJ476" s="18"/>
      <c r="CK476" s="18"/>
      <c r="CL476" s="18"/>
      <c r="CM476" s="18"/>
      <c r="CN476" s="18"/>
      <c r="CO476" s="18"/>
      <c r="CP476" s="18"/>
      <c r="CQ476" s="18"/>
      <c r="CR476" s="18"/>
      <c r="CS476" s="18"/>
      <c r="CT476" s="18"/>
      <c r="CU476" s="18"/>
      <c r="CV476" s="18"/>
      <c r="CW476" s="18"/>
      <c r="CX476" s="18"/>
      <c r="CY476" s="18"/>
      <c r="CZ476" s="18"/>
      <c r="DA476" s="18"/>
      <c r="DB476" s="18"/>
      <c r="DC476" s="18"/>
      <c r="DD476" s="18"/>
      <c r="DE476" s="18"/>
      <c r="DF476" s="18"/>
      <c r="DG476" s="18"/>
      <c r="DH476" s="18"/>
      <c r="DI476" s="18"/>
      <c r="DJ476" s="18"/>
      <c r="DK476" s="18"/>
      <c r="DL476" s="18"/>
      <c r="DM476" s="18"/>
      <c r="DN476" s="18"/>
      <c r="DO476" s="18"/>
      <c r="DP476" s="18"/>
      <c r="DQ476" s="18"/>
      <c r="DR476" s="18"/>
      <c r="DS476" s="18"/>
      <c r="DT476" s="18"/>
      <c r="DU476" s="18"/>
      <c r="DV476" s="18"/>
      <c r="DW476" s="18"/>
      <c r="DX476" s="18"/>
      <c r="DY476" s="18"/>
      <c r="DZ476" s="18"/>
    </row>
    <row r="477" spans="1:130" x14ac:dyDescent="0.3">
      <c r="A477" s="18"/>
      <c r="B477" s="18"/>
      <c r="C477" s="18"/>
      <c r="D477" s="18"/>
      <c r="E477" s="18"/>
      <c r="F477" s="18"/>
      <c r="G477" s="18"/>
      <c r="H477" s="18"/>
      <c r="I477" s="18"/>
      <c r="J477" s="18"/>
      <c r="K477" s="18"/>
      <c r="L477" s="18"/>
      <c r="M477" s="18"/>
      <c r="N477" s="17"/>
      <c r="O477" s="17"/>
      <c r="P477" s="17"/>
      <c r="Q477" s="17"/>
      <c r="R477" s="17"/>
      <c r="S477" s="17"/>
      <c r="T477" s="17"/>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7"/>
      <c r="BT477" s="17"/>
      <c r="BU477" s="17"/>
      <c r="BV477" s="17"/>
      <c r="BW477" s="17"/>
      <c r="BX477" s="18"/>
      <c r="BY477" s="18"/>
      <c r="BZ477" s="18"/>
      <c r="CA477" s="18"/>
      <c r="CB477" s="17"/>
      <c r="CC477" s="17"/>
      <c r="CD477" s="17"/>
      <c r="CE477" s="18"/>
      <c r="CF477" s="18"/>
      <c r="CG477" s="18"/>
      <c r="CH477" s="18"/>
      <c r="CI477" s="18"/>
      <c r="CJ477" s="18"/>
      <c r="CK477" s="18"/>
      <c r="CL477" s="18"/>
      <c r="CM477" s="18"/>
      <c r="CN477" s="18"/>
      <c r="CO477" s="18"/>
      <c r="CP477" s="18"/>
      <c r="CQ477" s="18"/>
      <c r="CR477" s="18"/>
      <c r="CS477" s="18"/>
      <c r="CT477" s="18"/>
      <c r="CU477" s="18"/>
      <c r="CV477" s="18"/>
      <c r="CW477" s="18"/>
      <c r="CX477" s="18"/>
      <c r="CY477" s="18"/>
      <c r="CZ477" s="18"/>
      <c r="DA477" s="18"/>
      <c r="DB477" s="18"/>
      <c r="DC477" s="18"/>
      <c r="DD477" s="18"/>
      <c r="DE477" s="18"/>
      <c r="DF477" s="18"/>
      <c r="DG477" s="18"/>
      <c r="DH477" s="18"/>
      <c r="DI477" s="18"/>
      <c r="DJ477" s="18"/>
      <c r="DK477" s="18"/>
      <c r="DL477" s="18"/>
      <c r="DM477" s="18"/>
      <c r="DN477" s="18"/>
      <c r="DO477" s="18"/>
      <c r="DP477" s="18"/>
      <c r="DQ477" s="18"/>
      <c r="DR477" s="18"/>
      <c r="DS477" s="18"/>
      <c r="DT477" s="18"/>
      <c r="DU477" s="18"/>
      <c r="DV477" s="18"/>
      <c r="DW477" s="18"/>
      <c r="DX477" s="18"/>
      <c r="DY477" s="18"/>
      <c r="DZ477" s="18"/>
    </row>
    <row r="478" spans="1:130" x14ac:dyDescent="0.3">
      <c r="A478" s="18"/>
      <c r="B478" s="18"/>
      <c r="C478" s="18"/>
      <c r="D478" s="18"/>
      <c r="E478" s="18"/>
      <c r="F478" s="18"/>
      <c r="G478" s="18"/>
      <c r="H478" s="18"/>
      <c r="I478" s="18"/>
      <c r="J478" s="18"/>
      <c r="K478" s="18"/>
      <c r="L478" s="18"/>
      <c r="M478" s="18"/>
      <c r="N478" s="17"/>
      <c r="O478" s="17"/>
      <c r="P478" s="17"/>
      <c r="Q478" s="17"/>
      <c r="R478" s="17"/>
      <c r="S478" s="17"/>
      <c r="T478" s="17"/>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7"/>
      <c r="BT478" s="17"/>
      <c r="BU478" s="17"/>
      <c r="BV478" s="17"/>
      <c r="BW478" s="17"/>
      <c r="BX478" s="18"/>
      <c r="BY478" s="18"/>
      <c r="BZ478" s="18"/>
      <c r="CA478" s="18"/>
      <c r="CB478" s="17"/>
      <c r="CC478" s="17"/>
      <c r="CD478" s="17"/>
      <c r="CE478" s="18"/>
      <c r="CF478" s="18"/>
      <c r="CG478" s="18"/>
      <c r="CH478" s="18"/>
      <c r="CI478" s="18"/>
      <c r="CJ478" s="18"/>
      <c r="CK478" s="18"/>
      <c r="CL478" s="18"/>
      <c r="CM478" s="18"/>
      <c r="CN478" s="18"/>
      <c r="CO478" s="18"/>
      <c r="CP478" s="18"/>
      <c r="CQ478" s="18"/>
      <c r="CR478" s="18"/>
      <c r="CS478" s="18"/>
      <c r="CT478" s="18"/>
      <c r="CU478" s="18"/>
      <c r="CV478" s="18"/>
      <c r="CW478" s="18"/>
      <c r="CX478" s="18"/>
      <c r="CY478" s="18"/>
      <c r="CZ478" s="18"/>
      <c r="DA478" s="18"/>
      <c r="DB478" s="18"/>
      <c r="DC478" s="18"/>
      <c r="DD478" s="18"/>
      <c r="DE478" s="18"/>
      <c r="DF478" s="18"/>
      <c r="DG478" s="18"/>
      <c r="DH478" s="18"/>
      <c r="DI478" s="18"/>
      <c r="DJ478" s="18"/>
      <c r="DK478" s="18"/>
      <c r="DL478" s="18"/>
      <c r="DM478" s="18"/>
      <c r="DN478" s="18"/>
      <c r="DO478" s="18"/>
      <c r="DP478" s="18"/>
      <c r="DQ478" s="18"/>
      <c r="DR478" s="18"/>
      <c r="DS478" s="18"/>
      <c r="DT478" s="18"/>
      <c r="DU478" s="18"/>
      <c r="DV478" s="18"/>
      <c r="DW478" s="18"/>
      <c r="DX478" s="18"/>
      <c r="DY478" s="18"/>
      <c r="DZ478" s="18"/>
    </row>
    <row r="479" spans="1:130" x14ac:dyDescent="0.3">
      <c r="A479" s="18"/>
      <c r="B479" s="18"/>
      <c r="C479" s="18"/>
      <c r="D479" s="18"/>
      <c r="E479" s="18"/>
      <c r="F479" s="18"/>
      <c r="G479" s="18"/>
      <c r="H479" s="18"/>
      <c r="I479" s="18"/>
      <c r="J479" s="18"/>
      <c r="K479" s="18"/>
      <c r="L479" s="18"/>
      <c r="M479" s="18"/>
      <c r="N479" s="17"/>
      <c r="O479" s="17"/>
      <c r="P479" s="17"/>
      <c r="Q479" s="17"/>
      <c r="R479" s="17"/>
      <c r="S479" s="17"/>
      <c r="T479" s="17"/>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7"/>
      <c r="BT479" s="17"/>
      <c r="BU479" s="17"/>
      <c r="BV479" s="17"/>
      <c r="BW479" s="17"/>
      <c r="BX479" s="18"/>
      <c r="BY479" s="18"/>
      <c r="BZ479" s="18"/>
      <c r="CA479" s="18"/>
      <c r="CB479" s="17"/>
      <c r="CC479" s="17"/>
      <c r="CD479" s="17"/>
      <c r="CE479" s="18"/>
      <c r="CF479" s="18"/>
      <c r="CG479" s="18"/>
      <c r="CH479" s="18"/>
      <c r="CI479" s="18"/>
      <c r="CJ479" s="18"/>
      <c r="CK479" s="18"/>
      <c r="CL479" s="18"/>
      <c r="CM479" s="18"/>
      <c r="CN479" s="18"/>
      <c r="CO479" s="18"/>
      <c r="CP479" s="18"/>
      <c r="CQ479" s="18"/>
      <c r="CR479" s="18"/>
      <c r="CS479" s="18"/>
      <c r="CT479" s="18"/>
      <c r="CU479" s="18"/>
      <c r="CV479" s="18"/>
      <c r="CW479" s="18"/>
      <c r="CX479" s="18"/>
      <c r="CY479" s="18"/>
      <c r="CZ479" s="18"/>
      <c r="DA479" s="18"/>
      <c r="DB479" s="18"/>
      <c r="DC479" s="18"/>
      <c r="DD479" s="18"/>
      <c r="DE479" s="18"/>
      <c r="DF479" s="18"/>
      <c r="DG479" s="18"/>
      <c r="DH479" s="18"/>
      <c r="DI479" s="18"/>
      <c r="DJ479" s="18"/>
      <c r="DK479" s="18"/>
      <c r="DL479" s="18"/>
      <c r="DM479" s="18"/>
      <c r="DN479" s="18"/>
      <c r="DO479" s="18"/>
      <c r="DP479" s="18"/>
      <c r="DQ479" s="18"/>
      <c r="DR479" s="18"/>
      <c r="DS479" s="18"/>
      <c r="DT479" s="18"/>
      <c r="DU479" s="18"/>
      <c r="DV479" s="18"/>
      <c r="DW479" s="18"/>
      <c r="DX479" s="18"/>
      <c r="DY479" s="18"/>
      <c r="DZ479" s="18"/>
    </row>
    <row r="480" spans="1:130" x14ac:dyDescent="0.3">
      <c r="A480" s="18"/>
      <c r="B480" s="18"/>
      <c r="C480" s="18"/>
      <c r="D480" s="18"/>
      <c r="E480" s="18"/>
      <c r="F480" s="18"/>
      <c r="G480" s="18"/>
      <c r="H480" s="18"/>
      <c r="I480" s="18"/>
      <c r="J480" s="18"/>
      <c r="K480" s="18"/>
      <c r="L480" s="18"/>
      <c r="M480" s="18"/>
      <c r="N480" s="17"/>
      <c r="O480" s="17"/>
      <c r="P480" s="17"/>
      <c r="Q480" s="17"/>
      <c r="R480" s="17"/>
      <c r="S480" s="17"/>
      <c r="T480" s="17"/>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7"/>
      <c r="BT480" s="17"/>
      <c r="BU480" s="17"/>
      <c r="BV480" s="17"/>
      <c r="BW480" s="17"/>
      <c r="BX480" s="18"/>
      <c r="BY480" s="18"/>
      <c r="BZ480" s="18"/>
      <c r="CA480" s="18"/>
      <c r="CB480" s="17"/>
      <c r="CC480" s="17"/>
      <c r="CD480" s="17"/>
      <c r="CE480" s="18"/>
      <c r="CF480" s="18"/>
      <c r="CG480" s="18"/>
      <c r="CH480" s="18"/>
      <c r="CI480" s="18"/>
      <c r="CJ480" s="18"/>
      <c r="CK480" s="18"/>
      <c r="CL480" s="18"/>
      <c r="CM480" s="18"/>
      <c r="CN480" s="18"/>
      <c r="CO480" s="18"/>
      <c r="CP480" s="18"/>
      <c r="CQ480" s="18"/>
      <c r="CR480" s="18"/>
      <c r="CS480" s="18"/>
      <c r="CT480" s="18"/>
      <c r="CU480" s="18"/>
      <c r="CV480" s="18"/>
      <c r="CW480" s="18"/>
      <c r="CX480" s="18"/>
      <c r="CY480" s="18"/>
      <c r="CZ480" s="18"/>
      <c r="DA480" s="18"/>
      <c r="DB480" s="18"/>
      <c r="DC480" s="18"/>
      <c r="DD480" s="18"/>
      <c r="DE480" s="18"/>
      <c r="DF480" s="18"/>
      <c r="DG480" s="18"/>
      <c r="DH480" s="18"/>
      <c r="DI480" s="18"/>
      <c r="DJ480" s="18"/>
      <c r="DK480" s="18"/>
      <c r="DL480" s="18"/>
      <c r="DM480" s="18"/>
      <c r="DN480" s="18"/>
      <c r="DO480" s="18"/>
      <c r="DP480" s="18"/>
      <c r="DQ480" s="18"/>
      <c r="DR480" s="18"/>
      <c r="DS480" s="18"/>
      <c r="DT480" s="18"/>
      <c r="DU480" s="18"/>
      <c r="DV480" s="18"/>
      <c r="DW480" s="18"/>
      <c r="DX480" s="18"/>
      <c r="DY480" s="18"/>
      <c r="DZ480" s="18"/>
    </row>
    <row r="481" spans="1:130" x14ac:dyDescent="0.3">
      <c r="A481" s="18"/>
      <c r="B481" s="18"/>
      <c r="C481" s="18"/>
      <c r="D481" s="18"/>
      <c r="E481" s="18"/>
      <c r="F481" s="18"/>
      <c r="G481" s="18"/>
      <c r="H481" s="18"/>
      <c r="I481" s="18"/>
      <c r="J481" s="18"/>
      <c r="K481" s="18"/>
      <c r="L481" s="18"/>
      <c r="M481" s="18"/>
      <c r="N481" s="17"/>
      <c r="O481" s="17"/>
      <c r="P481" s="17"/>
      <c r="Q481" s="17"/>
      <c r="R481" s="17"/>
      <c r="S481" s="17"/>
      <c r="T481" s="17"/>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7"/>
      <c r="BT481" s="17"/>
      <c r="BU481" s="17"/>
      <c r="BV481" s="17"/>
      <c r="BW481" s="17"/>
      <c r="BX481" s="18"/>
      <c r="BY481" s="18"/>
      <c r="BZ481" s="18"/>
      <c r="CA481" s="18"/>
      <c r="CB481" s="17"/>
      <c r="CC481" s="17"/>
      <c r="CD481" s="17"/>
      <c r="CE481" s="18"/>
      <c r="CF481" s="18"/>
      <c r="CG481" s="18"/>
      <c r="CH481" s="18"/>
      <c r="CI481" s="18"/>
      <c r="CJ481" s="18"/>
      <c r="CK481" s="18"/>
      <c r="CL481" s="18"/>
      <c r="CM481" s="18"/>
      <c r="CN481" s="18"/>
      <c r="CO481" s="18"/>
      <c r="CP481" s="18"/>
      <c r="CQ481" s="18"/>
      <c r="CR481" s="18"/>
      <c r="CS481" s="18"/>
      <c r="CT481" s="18"/>
      <c r="CU481" s="18"/>
      <c r="CV481" s="18"/>
      <c r="CW481" s="18"/>
      <c r="CX481" s="18"/>
      <c r="CY481" s="18"/>
      <c r="CZ481" s="18"/>
      <c r="DA481" s="18"/>
      <c r="DB481" s="18"/>
      <c r="DC481" s="18"/>
      <c r="DD481" s="18"/>
      <c r="DE481" s="18"/>
      <c r="DF481" s="18"/>
      <c r="DG481" s="18"/>
      <c r="DH481" s="18"/>
      <c r="DI481" s="18"/>
      <c r="DJ481" s="18"/>
      <c r="DK481" s="18"/>
      <c r="DL481" s="18"/>
      <c r="DM481" s="18"/>
      <c r="DN481" s="18"/>
      <c r="DO481" s="18"/>
      <c r="DP481" s="18"/>
      <c r="DQ481" s="18"/>
      <c r="DR481" s="18"/>
      <c r="DS481" s="18"/>
      <c r="DT481" s="18"/>
      <c r="DU481" s="18"/>
      <c r="DV481" s="18"/>
      <c r="DW481" s="18"/>
      <c r="DX481" s="18"/>
      <c r="DY481" s="18"/>
      <c r="DZ481" s="18"/>
    </row>
    <row r="482" spans="1:130" x14ac:dyDescent="0.3">
      <c r="A482" s="18"/>
      <c r="B482" s="18"/>
      <c r="C482" s="18"/>
      <c r="D482" s="18"/>
      <c r="E482" s="18"/>
      <c r="F482" s="18"/>
      <c r="G482" s="18"/>
      <c r="H482" s="18"/>
      <c r="I482" s="18"/>
      <c r="J482" s="18"/>
      <c r="K482" s="18"/>
      <c r="L482" s="18"/>
      <c r="M482" s="18"/>
      <c r="N482" s="17"/>
      <c r="O482" s="17"/>
      <c r="P482" s="17"/>
      <c r="Q482" s="17"/>
      <c r="R482" s="17"/>
      <c r="S482" s="17"/>
      <c r="T482" s="17"/>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7"/>
      <c r="BT482" s="17"/>
      <c r="BU482" s="17"/>
      <c r="BV482" s="17"/>
      <c r="BW482" s="17"/>
      <c r="BX482" s="18"/>
      <c r="BY482" s="18"/>
      <c r="BZ482" s="18"/>
      <c r="CA482" s="18"/>
      <c r="CB482" s="17"/>
      <c r="CC482" s="17"/>
      <c r="CD482" s="17"/>
      <c r="CE482" s="18"/>
      <c r="CF482" s="18"/>
      <c r="CG482" s="18"/>
      <c r="CH482" s="18"/>
      <c r="CI482" s="18"/>
      <c r="CJ482" s="18"/>
      <c r="CK482" s="18"/>
      <c r="CL482" s="18"/>
      <c r="CM482" s="18"/>
      <c r="CN482" s="18"/>
      <c r="CO482" s="18"/>
      <c r="CP482" s="18"/>
      <c r="CQ482" s="18"/>
      <c r="CR482" s="18"/>
      <c r="CS482" s="18"/>
      <c r="CT482" s="18"/>
      <c r="CU482" s="18"/>
      <c r="CV482" s="18"/>
      <c r="CW482" s="18"/>
      <c r="CX482" s="18"/>
      <c r="CY482" s="18"/>
      <c r="CZ482" s="18"/>
      <c r="DA482" s="18"/>
      <c r="DB482" s="18"/>
      <c r="DC482" s="18"/>
      <c r="DD482" s="18"/>
      <c r="DE482" s="18"/>
      <c r="DF482" s="18"/>
      <c r="DG482" s="18"/>
      <c r="DH482" s="18"/>
      <c r="DI482" s="18"/>
      <c r="DJ482" s="18"/>
      <c r="DK482" s="18"/>
      <c r="DL482" s="18"/>
      <c r="DM482" s="18"/>
      <c r="DN482" s="18"/>
      <c r="DO482" s="18"/>
      <c r="DP482" s="18"/>
      <c r="DQ482" s="18"/>
      <c r="DR482" s="18"/>
      <c r="DS482" s="18"/>
      <c r="DT482" s="18"/>
      <c r="DU482" s="18"/>
      <c r="DV482" s="18"/>
      <c r="DW482" s="18"/>
      <c r="DX482" s="18"/>
      <c r="DY482" s="18"/>
      <c r="DZ482" s="18"/>
    </row>
    <row r="483" spans="1:130" x14ac:dyDescent="0.3">
      <c r="A483" s="18"/>
      <c r="B483" s="18"/>
      <c r="C483" s="18"/>
      <c r="D483" s="18"/>
      <c r="E483" s="18"/>
      <c r="F483" s="18"/>
      <c r="G483" s="18"/>
      <c r="H483" s="18"/>
      <c r="I483" s="18"/>
      <c r="J483" s="18"/>
      <c r="K483" s="18"/>
      <c r="L483" s="18"/>
      <c r="M483" s="18"/>
      <c r="N483" s="17"/>
      <c r="O483" s="17"/>
      <c r="P483" s="17"/>
      <c r="Q483" s="17"/>
      <c r="R483" s="17"/>
      <c r="S483" s="17"/>
      <c r="T483" s="17"/>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7"/>
      <c r="BT483" s="17"/>
      <c r="BU483" s="17"/>
      <c r="BV483" s="17"/>
      <c r="BW483" s="17"/>
      <c r="BX483" s="18"/>
      <c r="BY483" s="18"/>
      <c r="BZ483" s="18"/>
      <c r="CA483" s="18"/>
      <c r="CB483" s="17"/>
      <c r="CC483" s="17"/>
      <c r="CD483" s="17"/>
      <c r="CE483" s="18"/>
      <c r="CF483" s="18"/>
      <c r="CG483" s="18"/>
      <c r="CH483" s="18"/>
      <c r="CI483" s="18"/>
      <c r="CJ483" s="18"/>
      <c r="CK483" s="18"/>
      <c r="CL483" s="18"/>
      <c r="CM483" s="18"/>
      <c r="CN483" s="18"/>
      <c r="CO483" s="18"/>
      <c r="CP483" s="18"/>
      <c r="CQ483" s="18"/>
      <c r="CR483" s="18"/>
      <c r="CS483" s="18"/>
      <c r="CT483" s="18"/>
      <c r="CU483" s="18"/>
      <c r="CV483" s="18"/>
      <c r="CW483" s="18"/>
      <c r="CX483" s="18"/>
      <c r="CY483" s="18"/>
      <c r="CZ483" s="18"/>
      <c r="DA483" s="18"/>
      <c r="DB483" s="18"/>
      <c r="DC483" s="18"/>
      <c r="DD483" s="18"/>
      <c r="DE483" s="18"/>
      <c r="DF483" s="18"/>
      <c r="DG483" s="18"/>
      <c r="DH483" s="18"/>
      <c r="DI483" s="18"/>
      <c r="DJ483" s="18"/>
      <c r="DK483" s="18"/>
      <c r="DL483" s="18"/>
      <c r="DM483" s="18"/>
      <c r="DN483" s="18"/>
      <c r="DO483" s="18"/>
      <c r="DP483" s="18"/>
      <c r="DQ483" s="18"/>
      <c r="DR483" s="18"/>
      <c r="DS483" s="18"/>
      <c r="DT483" s="18"/>
      <c r="DU483" s="18"/>
      <c r="DV483" s="18"/>
      <c r="DW483" s="18"/>
      <c r="DX483" s="18"/>
      <c r="DY483" s="18"/>
      <c r="DZ483" s="18"/>
    </row>
    <row r="484" spans="1:130" x14ac:dyDescent="0.3">
      <c r="A484" s="18"/>
      <c r="B484" s="18"/>
      <c r="C484" s="18"/>
      <c r="D484" s="18"/>
      <c r="E484" s="18"/>
      <c r="F484" s="18"/>
      <c r="G484" s="18"/>
      <c r="H484" s="18"/>
      <c r="I484" s="18"/>
      <c r="J484" s="18"/>
      <c r="K484" s="18"/>
      <c r="L484" s="18"/>
      <c r="M484" s="18"/>
      <c r="N484" s="17"/>
      <c r="O484" s="17"/>
      <c r="P484" s="17"/>
      <c r="Q484" s="17"/>
      <c r="R484" s="17"/>
      <c r="S484" s="17"/>
      <c r="T484" s="17"/>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7"/>
      <c r="BT484" s="17"/>
      <c r="BU484" s="17"/>
      <c r="BV484" s="17"/>
      <c r="BW484" s="17"/>
      <c r="BX484" s="18"/>
      <c r="BY484" s="18"/>
      <c r="BZ484" s="18"/>
      <c r="CA484" s="18"/>
      <c r="CB484" s="17"/>
      <c r="CC484" s="17"/>
      <c r="CD484" s="17"/>
      <c r="CE484" s="18"/>
      <c r="CF484" s="18"/>
      <c r="CG484" s="18"/>
      <c r="CH484" s="18"/>
      <c r="CI484" s="18"/>
      <c r="CJ484" s="18"/>
      <c r="CK484" s="18"/>
      <c r="CL484" s="18"/>
      <c r="CM484" s="18"/>
      <c r="CN484" s="18"/>
      <c r="CO484" s="18"/>
      <c r="CP484" s="18"/>
      <c r="CQ484" s="18"/>
      <c r="CR484" s="18"/>
      <c r="CS484" s="18"/>
      <c r="CT484" s="18"/>
      <c r="CU484" s="18"/>
      <c r="CV484" s="18"/>
      <c r="CW484" s="18"/>
      <c r="CX484" s="18"/>
      <c r="CY484" s="18"/>
      <c r="CZ484" s="18"/>
      <c r="DA484" s="18"/>
      <c r="DB484" s="18"/>
      <c r="DC484" s="18"/>
      <c r="DD484" s="18"/>
      <c r="DE484" s="18"/>
      <c r="DF484" s="18"/>
      <c r="DG484" s="18"/>
      <c r="DH484" s="18"/>
      <c r="DI484" s="18"/>
      <c r="DJ484" s="18"/>
      <c r="DK484" s="18"/>
      <c r="DL484" s="18"/>
      <c r="DM484" s="18"/>
      <c r="DN484" s="18"/>
      <c r="DO484" s="18"/>
      <c r="DP484" s="18"/>
      <c r="DQ484" s="18"/>
      <c r="DR484" s="18"/>
      <c r="DS484" s="18"/>
      <c r="DT484" s="18"/>
      <c r="DU484" s="18"/>
      <c r="DV484" s="18"/>
      <c r="DW484" s="18"/>
      <c r="DX484" s="18"/>
      <c r="DY484" s="18"/>
      <c r="DZ484" s="18"/>
    </row>
    <row r="485" spans="1:130" x14ac:dyDescent="0.3">
      <c r="A485" s="18"/>
      <c r="B485" s="18"/>
      <c r="C485" s="18"/>
      <c r="D485" s="18"/>
      <c r="E485" s="18"/>
      <c r="F485" s="18"/>
      <c r="G485" s="18"/>
      <c r="H485" s="18"/>
      <c r="I485" s="18"/>
      <c r="J485" s="18"/>
      <c r="K485" s="18"/>
      <c r="L485" s="18"/>
      <c r="M485" s="18"/>
      <c r="N485" s="17"/>
      <c r="O485" s="17"/>
      <c r="P485" s="17"/>
      <c r="Q485" s="17"/>
      <c r="R485" s="17"/>
      <c r="S485" s="17"/>
      <c r="T485" s="17"/>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7"/>
      <c r="BT485" s="17"/>
      <c r="BU485" s="17"/>
      <c r="BV485" s="17"/>
      <c r="BW485" s="17"/>
      <c r="BX485" s="18"/>
      <c r="BY485" s="18"/>
      <c r="BZ485" s="18"/>
      <c r="CA485" s="18"/>
      <c r="CB485" s="17"/>
      <c r="CC485" s="17"/>
      <c r="CD485" s="17"/>
      <c r="CE485" s="18"/>
      <c r="CF485" s="18"/>
      <c r="CG485" s="18"/>
      <c r="CH485" s="18"/>
      <c r="CI485" s="18"/>
      <c r="CJ485" s="18"/>
      <c r="CK485" s="18"/>
      <c r="CL485" s="18"/>
      <c r="CM485" s="18"/>
      <c r="CN485" s="18"/>
      <c r="CO485" s="18"/>
      <c r="CP485" s="18"/>
      <c r="CQ485" s="18"/>
      <c r="CR485" s="18"/>
      <c r="CS485" s="18"/>
      <c r="CT485" s="18"/>
      <c r="CU485" s="18"/>
      <c r="CV485" s="18"/>
      <c r="CW485" s="18"/>
      <c r="CX485" s="18"/>
      <c r="CY485" s="18"/>
      <c r="CZ485" s="18"/>
      <c r="DA485" s="18"/>
      <c r="DB485" s="18"/>
      <c r="DC485" s="18"/>
      <c r="DD485" s="18"/>
      <c r="DE485" s="18"/>
      <c r="DF485" s="18"/>
      <c r="DG485" s="18"/>
      <c r="DH485" s="18"/>
      <c r="DI485" s="18"/>
      <c r="DJ485" s="18"/>
      <c r="DK485" s="18"/>
      <c r="DL485" s="18"/>
      <c r="DM485" s="18"/>
      <c r="DN485" s="18"/>
      <c r="DO485" s="18"/>
      <c r="DP485" s="18"/>
      <c r="DQ485" s="18"/>
      <c r="DR485" s="18"/>
      <c r="DS485" s="18"/>
      <c r="DT485" s="18"/>
      <c r="DU485" s="18"/>
      <c r="DV485" s="18"/>
      <c r="DW485" s="18"/>
      <c r="DX485" s="18"/>
      <c r="DY485" s="18"/>
      <c r="DZ485" s="18"/>
    </row>
    <row r="486" spans="1:130" x14ac:dyDescent="0.3">
      <c r="A486" s="18"/>
      <c r="B486" s="18"/>
      <c r="C486" s="18"/>
      <c r="D486" s="18"/>
      <c r="E486" s="18"/>
      <c r="F486" s="18"/>
      <c r="G486" s="18"/>
      <c r="H486" s="18"/>
      <c r="I486" s="18"/>
      <c r="J486" s="18"/>
      <c r="K486" s="18"/>
      <c r="L486" s="18"/>
      <c r="M486" s="18"/>
      <c r="N486" s="17"/>
      <c r="O486" s="17"/>
      <c r="P486" s="17"/>
      <c r="Q486" s="17"/>
      <c r="R486" s="17"/>
      <c r="S486" s="17"/>
      <c r="T486" s="17"/>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7"/>
      <c r="BT486" s="17"/>
      <c r="BU486" s="17"/>
      <c r="BV486" s="17"/>
      <c r="BW486" s="17"/>
      <c r="BX486" s="18"/>
      <c r="BY486" s="18"/>
      <c r="BZ486" s="18"/>
      <c r="CA486" s="18"/>
      <c r="CB486" s="17"/>
      <c r="CC486" s="17"/>
      <c r="CD486" s="17"/>
      <c r="CE486" s="18"/>
      <c r="CF486" s="18"/>
      <c r="CG486" s="18"/>
      <c r="CH486" s="18"/>
      <c r="CI486" s="18"/>
      <c r="CJ486" s="18"/>
      <c r="CK486" s="18"/>
      <c r="CL486" s="18"/>
      <c r="CM486" s="18"/>
      <c r="CN486" s="18"/>
      <c r="CO486" s="18"/>
      <c r="CP486" s="18"/>
      <c r="CQ486" s="18"/>
      <c r="CR486" s="18"/>
      <c r="CS486" s="18"/>
      <c r="CT486" s="18"/>
      <c r="CU486" s="18"/>
      <c r="CV486" s="18"/>
      <c r="CW486" s="18"/>
      <c r="CX486" s="18"/>
      <c r="CY486" s="18"/>
      <c r="CZ486" s="18"/>
      <c r="DA486" s="18"/>
      <c r="DB486" s="18"/>
      <c r="DC486" s="18"/>
      <c r="DD486" s="18"/>
      <c r="DE486" s="18"/>
      <c r="DF486" s="18"/>
      <c r="DG486" s="18"/>
      <c r="DH486" s="18"/>
      <c r="DI486" s="18"/>
      <c r="DJ486" s="18"/>
      <c r="DK486" s="18"/>
      <c r="DL486" s="18"/>
      <c r="DM486" s="18"/>
      <c r="DN486" s="18"/>
      <c r="DO486" s="18"/>
      <c r="DP486" s="18"/>
      <c r="DQ486" s="18"/>
      <c r="DR486" s="18"/>
      <c r="DS486" s="18"/>
      <c r="DT486" s="18"/>
      <c r="DU486" s="18"/>
      <c r="DV486" s="18"/>
      <c r="DW486" s="18"/>
      <c r="DX486" s="18"/>
      <c r="DY486" s="18"/>
      <c r="DZ486" s="18"/>
    </row>
    <row r="487" spans="1:130" x14ac:dyDescent="0.3">
      <c r="A487" s="18"/>
      <c r="B487" s="18"/>
      <c r="C487" s="18"/>
      <c r="D487" s="18"/>
      <c r="E487" s="18"/>
      <c r="F487" s="18"/>
      <c r="G487" s="18"/>
      <c r="H487" s="18"/>
      <c r="I487" s="18"/>
      <c r="J487" s="18"/>
      <c r="K487" s="18"/>
      <c r="L487" s="18"/>
      <c r="M487" s="18"/>
      <c r="N487" s="17"/>
      <c r="O487" s="17"/>
      <c r="P487" s="17"/>
      <c r="Q487" s="17"/>
      <c r="R487" s="17"/>
      <c r="S487" s="17"/>
      <c r="T487" s="17"/>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7"/>
      <c r="BT487" s="17"/>
      <c r="BU487" s="17"/>
      <c r="BV487" s="17"/>
      <c r="BW487" s="17"/>
      <c r="BX487" s="18"/>
      <c r="BY487" s="18"/>
      <c r="BZ487" s="18"/>
      <c r="CA487" s="18"/>
      <c r="CB487" s="17"/>
      <c r="CC487" s="17"/>
      <c r="CD487" s="17"/>
      <c r="CE487" s="18"/>
      <c r="CF487" s="18"/>
      <c r="CG487" s="18"/>
      <c r="CH487" s="18"/>
      <c r="CI487" s="18"/>
      <c r="CJ487" s="18"/>
      <c r="CK487" s="18"/>
      <c r="CL487" s="18"/>
      <c r="CM487" s="18"/>
      <c r="CN487" s="18"/>
      <c r="CO487" s="18"/>
      <c r="CP487" s="18"/>
      <c r="CQ487" s="18"/>
      <c r="CR487" s="18"/>
      <c r="CS487" s="18"/>
      <c r="CT487" s="18"/>
      <c r="CU487" s="18"/>
      <c r="CV487" s="18"/>
      <c r="CW487" s="18"/>
      <c r="CX487" s="18"/>
      <c r="CY487" s="18"/>
      <c r="CZ487" s="18"/>
      <c r="DA487" s="18"/>
      <c r="DB487" s="18"/>
      <c r="DC487" s="18"/>
      <c r="DD487" s="18"/>
      <c r="DE487" s="18"/>
      <c r="DF487" s="18"/>
      <c r="DG487" s="18"/>
      <c r="DH487" s="18"/>
      <c r="DI487" s="18"/>
      <c r="DJ487" s="18"/>
      <c r="DK487" s="18"/>
      <c r="DL487" s="18"/>
      <c r="DM487" s="18"/>
      <c r="DN487" s="18"/>
      <c r="DO487" s="18"/>
      <c r="DP487" s="18"/>
      <c r="DQ487" s="18"/>
      <c r="DR487" s="18"/>
      <c r="DS487" s="18"/>
      <c r="DT487" s="18"/>
      <c r="DU487" s="18"/>
      <c r="DV487" s="18"/>
      <c r="DW487" s="18"/>
      <c r="DX487" s="18"/>
      <c r="DY487" s="18"/>
      <c r="DZ487" s="18"/>
    </row>
    <row r="488" spans="1:130" x14ac:dyDescent="0.3">
      <c r="A488" s="18"/>
      <c r="B488" s="18"/>
      <c r="C488" s="18"/>
      <c r="D488" s="18"/>
      <c r="E488" s="18"/>
      <c r="F488" s="18"/>
      <c r="G488" s="18"/>
      <c r="H488" s="18"/>
      <c r="I488" s="18"/>
      <c r="J488" s="18"/>
      <c r="K488" s="18"/>
      <c r="L488" s="18"/>
      <c r="M488" s="18"/>
      <c r="N488" s="17"/>
      <c r="O488" s="17"/>
      <c r="P488" s="17"/>
      <c r="Q488" s="17"/>
      <c r="R488" s="17"/>
      <c r="S488" s="17"/>
      <c r="T488" s="17"/>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7"/>
      <c r="BT488" s="17"/>
      <c r="BU488" s="17"/>
      <c r="BV488" s="17"/>
      <c r="BW488" s="17"/>
      <c r="BX488" s="18"/>
      <c r="BY488" s="18"/>
      <c r="BZ488" s="18"/>
      <c r="CA488" s="18"/>
      <c r="CB488" s="17"/>
      <c r="CC488" s="17"/>
      <c r="CD488" s="17"/>
      <c r="CE488" s="18"/>
      <c r="CF488" s="18"/>
      <c r="CG488" s="18"/>
      <c r="CH488" s="18"/>
      <c r="CI488" s="18"/>
      <c r="CJ488" s="18"/>
      <c r="CK488" s="18"/>
      <c r="CL488" s="18"/>
      <c r="CM488" s="18"/>
      <c r="CN488" s="18"/>
      <c r="CO488" s="18"/>
      <c r="CP488" s="18"/>
      <c r="CQ488" s="18"/>
      <c r="CR488" s="18"/>
      <c r="CS488" s="18"/>
      <c r="CT488" s="18"/>
      <c r="CU488" s="18"/>
      <c r="CV488" s="18"/>
      <c r="CW488" s="18"/>
      <c r="CX488" s="18"/>
      <c r="CY488" s="18"/>
      <c r="CZ488" s="18"/>
      <c r="DA488" s="18"/>
      <c r="DB488" s="18"/>
      <c r="DC488" s="18"/>
      <c r="DD488" s="18"/>
      <c r="DE488" s="18"/>
      <c r="DF488" s="18"/>
      <c r="DG488" s="18"/>
      <c r="DH488" s="18"/>
      <c r="DI488" s="18"/>
      <c r="DJ488" s="18"/>
      <c r="DK488" s="18"/>
      <c r="DL488" s="18"/>
      <c r="DM488" s="18"/>
      <c r="DN488" s="18"/>
      <c r="DO488" s="18"/>
      <c r="DP488" s="18"/>
      <c r="DQ488" s="18"/>
      <c r="DR488" s="18"/>
      <c r="DS488" s="18"/>
      <c r="DT488" s="18"/>
      <c r="DU488" s="18"/>
      <c r="DV488" s="18"/>
      <c r="DW488" s="18"/>
      <c r="DX488" s="18"/>
      <c r="DY488" s="18"/>
      <c r="DZ488" s="18"/>
    </row>
    <row r="489" spans="1:130" x14ac:dyDescent="0.3">
      <c r="A489" s="18"/>
      <c r="B489" s="18"/>
      <c r="C489" s="18"/>
      <c r="D489" s="18"/>
      <c r="E489" s="18"/>
      <c r="F489" s="18"/>
      <c r="G489" s="18"/>
      <c r="H489" s="18"/>
      <c r="I489" s="18"/>
      <c r="J489" s="18"/>
      <c r="K489" s="18"/>
      <c r="L489" s="18"/>
      <c r="M489" s="18"/>
      <c r="N489" s="17"/>
      <c r="O489" s="17"/>
      <c r="P489" s="17"/>
      <c r="Q489" s="17"/>
      <c r="R489" s="17"/>
      <c r="S489" s="17"/>
      <c r="T489" s="17"/>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7"/>
      <c r="BT489" s="17"/>
      <c r="BU489" s="17"/>
      <c r="BV489" s="17"/>
      <c r="BW489" s="17"/>
      <c r="BX489" s="18"/>
      <c r="BY489" s="18"/>
      <c r="BZ489" s="18"/>
      <c r="CA489" s="18"/>
      <c r="CB489" s="17"/>
      <c r="CC489" s="17"/>
      <c r="CD489" s="17"/>
      <c r="CE489" s="18"/>
      <c r="CF489" s="18"/>
      <c r="CG489" s="18"/>
      <c r="CH489" s="18"/>
      <c r="CI489" s="18"/>
      <c r="CJ489" s="18"/>
      <c r="CK489" s="18"/>
      <c r="CL489" s="18"/>
      <c r="CM489" s="18"/>
      <c r="CN489" s="18"/>
      <c r="CO489" s="18"/>
      <c r="CP489" s="18"/>
      <c r="CQ489" s="18"/>
      <c r="CR489" s="18"/>
      <c r="CS489" s="18"/>
      <c r="CT489" s="18"/>
      <c r="CU489" s="18"/>
      <c r="CV489" s="18"/>
      <c r="CW489" s="18"/>
      <c r="CX489" s="18"/>
      <c r="CY489" s="18"/>
      <c r="CZ489" s="18"/>
      <c r="DA489" s="18"/>
      <c r="DB489" s="18"/>
      <c r="DC489" s="18"/>
      <c r="DD489" s="18"/>
      <c r="DE489" s="18"/>
      <c r="DF489" s="18"/>
      <c r="DG489" s="18"/>
      <c r="DH489" s="18"/>
      <c r="DI489" s="18"/>
      <c r="DJ489" s="18"/>
      <c r="DK489" s="18"/>
      <c r="DL489" s="18"/>
      <c r="DM489" s="18"/>
      <c r="DN489" s="18"/>
      <c r="DO489" s="18"/>
      <c r="DP489" s="18"/>
      <c r="DQ489" s="18"/>
      <c r="DR489" s="18"/>
      <c r="DS489" s="18"/>
      <c r="DT489" s="18"/>
      <c r="DU489" s="18"/>
      <c r="DV489" s="18"/>
      <c r="DW489" s="18"/>
      <c r="DX489" s="18"/>
      <c r="DY489" s="18"/>
      <c r="DZ489" s="18"/>
    </row>
    <row r="490" spans="1:130" x14ac:dyDescent="0.3">
      <c r="A490" s="18"/>
      <c r="B490" s="18"/>
      <c r="C490" s="18"/>
      <c r="D490" s="18"/>
      <c r="E490" s="18"/>
      <c r="F490" s="18"/>
      <c r="G490" s="18"/>
      <c r="H490" s="18"/>
      <c r="I490" s="18"/>
      <c r="J490" s="18"/>
      <c r="K490" s="18"/>
      <c r="L490" s="18"/>
      <c r="M490" s="18"/>
      <c r="N490" s="17"/>
      <c r="O490" s="17"/>
      <c r="P490" s="17"/>
      <c r="Q490" s="17"/>
      <c r="R490" s="17"/>
      <c r="S490" s="17"/>
      <c r="T490" s="17"/>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7"/>
      <c r="BT490" s="17"/>
      <c r="BU490" s="17"/>
      <c r="BV490" s="17"/>
      <c r="BW490" s="17"/>
      <c r="BX490" s="18"/>
      <c r="BY490" s="18"/>
      <c r="BZ490" s="18"/>
      <c r="CA490" s="18"/>
      <c r="CB490" s="17"/>
      <c r="CC490" s="17"/>
      <c r="CD490" s="17"/>
      <c r="CE490" s="18"/>
      <c r="CF490" s="18"/>
      <c r="CG490" s="18"/>
      <c r="CH490" s="18"/>
      <c r="CI490" s="18"/>
      <c r="CJ490" s="18"/>
      <c r="CK490" s="18"/>
      <c r="CL490" s="18"/>
      <c r="CM490" s="18"/>
      <c r="CN490" s="18"/>
      <c r="CO490" s="18"/>
      <c r="CP490" s="18"/>
      <c r="CQ490" s="18"/>
      <c r="CR490" s="18"/>
      <c r="CS490" s="18"/>
      <c r="CT490" s="18"/>
      <c r="CU490" s="18"/>
      <c r="CV490" s="18"/>
      <c r="CW490" s="18"/>
      <c r="CX490" s="18"/>
      <c r="CY490" s="18"/>
      <c r="CZ490" s="18"/>
      <c r="DA490" s="18"/>
      <c r="DB490" s="18"/>
      <c r="DC490" s="18"/>
      <c r="DD490" s="18"/>
      <c r="DE490" s="18"/>
      <c r="DF490" s="18"/>
      <c r="DG490" s="18"/>
      <c r="DH490" s="18"/>
      <c r="DI490" s="18"/>
      <c r="DJ490" s="18"/>
      <c r="DK490" s="18"/>
      <c r="DL490" s="18"/>
      <c r="DM490" s="18"/>
      <c r="DN490" s="18"/>
      <c r="DO490" s="18"/>
      <c r="DP490" s="18"/>
      <c r="DQ490" s="18"/>
      <c r="DR490" s="18"/>
      <c r="DS490" s="18"/>
      <c r="DT490" s="18"/>
      <c r="DU490" s="18"/>
      <c r="DV490" s="18"/>
      <c r="DW490" s="18"/>
      <c r="DX490" s="18"/>
      <c r="DY490" s="18"/>
      <c r="DZ490" s="18"/>
    </row>
    <row r="491" spans="1:130" x14ac:dyDescent="0.3">
      <c r="A491" s="18"/>
      <c r="B491" s="18"/>
      <c r="C491" s="18"/>
      <c r="D491" s="18"/>
      <c r="E491" s="18"/>
      <c r="F491" s="18"/>
      <c r="G491" s="18"/>
      <c r="H491" s="18"/>
      <c r="I491" s="18"/>
      <c r="J491" s="18"/>
      <c r="K491" s="18"/>
      <c r="L491" s="18"/>
      <c r="M491" s="18"/>
      <c r="N491" s="17"/>
      <c r="O491" s="17"/>
      <c r="P491" s="17"/>
      <c r="Q491" s="17"/>
      <c r="R491" s="17"/>
      <c r="S491" s="17"/>
      <c r="T491" s="17"/>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7"/>
      <c r="BT491" s="17"/>
      <c r="BU491" s="17"/>
      <c r="BV491" s="17"/>
      <c r="BW491" s="17"/>
      <c r="BX491" s="18"/>
      <c r="BY491" s="18"/>
      <c r="BZ491" s="18"/>
      <c r="CA491" s="18"/>
      <c r="CB491" s="17"/>
      <c r="CC491" s="17"/>
      <c r="CD491" s="17"/>
      <c r="CE491" s="18"/>
      <c r="CF491" s="18"/>
      <c r="CG491" s="18"/>
      <c r="CH491" s="18"/>
      <c r="CI491" s="18"/>
      <c r="CJ491" s="18"/>
      <c r="CK491" s="18"/>
      <c r="CL491" s="18"/>
      <c r="CM491" s="18"/>
      <c r="CN491" s="18"/>
      <c r="CO491" s="18"/>
      <c r="CP491" s="18"/>
      <c r="CQ491" s="18"/>
      <c r="CR491" s="18"/>
      <c r="CS491" s="18"/>
      <c r="CT491" s="18"/>
      <c r="CU491" s="18"/>
      <c r="CV491" s="18"/>
      <c r="CW491" s="18"/>
      <c r="CX491" s="18"/>
      <c r="CY491" s="18"/>
      <c r="CZ491" s="18"/>
      <c r="DA491" s="18"/>
      <c r="DB491" s="18"/>
      <c r="DC491" s="18"/>
      <c r="DD491" s="18"/>
      <c r="DE491" s="18"/>
      <c r="DF491" s="18"/>
      <c r="DG491" s="18"/>
      <c r="DH491" s="18"/>
      <c r="DI491" s="18"/>
      <c r="DJ491" s="18"/>
      <c r="DK491" s="18"/>
      <c r="DL491" s="18"/>
      <c r="DM491" s="18"/>
      <c r="DN491" s="18"/>
      <c r="DO491" s="18"/>
      <c r="DP491" s="18"/>
      <c r="DQ491" s="18"/>
      <c r="DR491" s="18"/>
      <c r="DS491" s="18"/>
      <c r="DT491" s="18"/>
      <c r="DU491" s="18"/>
      <c r="DV491" s="18"/>
      <c r="DW491" s="18"/>
      <c r="DX491" s="18"/>
      <c r="DY491" s="18"/>
      <c r="DZ491" s="18"/>
    </row>
    <row r="492" spans="1:130" x14ac:dyDescent="0.3">
      <c r="A492" s="18"/>
      <c r="B492" s="18"/>
      <c r="C492" s="18"/>
      <c r="D492" s="18"/>
      <c r="E492" s="18"/>
      <c r="F492" s="18"/>
      <c r="G492" s="18"/>
      <c r="H492" s="18"/>
      <c r="I492" s="18"/>
      <c r="J492" s="18"/>
      <c r="K492" s="18"/>
      <c r="L492" s="18"/>
      <c r="M492" s="18"/>
      <c r="N492" s="17"/>
      <c r="O492" s="17"/>
      <c r="P492" s="17"/>
      <c r="Q492" s="17"/>
      <c r="R492" s="17"/>
      <c r="S492" s="17"/>
      <c r="T492" s="17"/>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7"/>
      <c r="BT492" s="17"/>
      <c r="BU492" s="17"/>
      <c r="BV492" s="17"/>
      <c r="BW492" s="17"/>
      <c r="BX492" s="18"/>
      <c r="BY492" s="18"/>
      <c r="BZ492" s="18"/>
      <c r="CA492" s="18"/>
      <c r="CB492" s="17"/>
      <c r="CC492" s="17"/>
      <c r="CD492" s="17"/>
      <c r="CE492" s="18"/>
      <c r="CF492" s="18"/>
      <c r="CG492" s="18"/>
      <c r="CH492" s="18"/>
      <c r="CI492" s="18"/>
      <c r="CJ492" s="18"/>
      <c r="CK492" s="18"/>
      <c r="CL492" s="18"/>
      <c r="CM492" s="18"/>
      <c r="CN492" s="18"/>
      <c r="CO492" s="18"/>
      <c r="CP492" s="18"/>
      <c r="CQ492" s="18"/>
      <c r="CR492" s="18"/>
      <c r="CS492" s="18"/>
      <c r="CT492" s="18"/>
      <c r="CU492" s="18"/>
      <c r="CV492" s="18"/>
      <c r="CW492" s="18"/>
      <c r="CX492" s="18"/>
      <c r="CY492" s="18"/>
      <c r="CZ492" s="18"/>
      <c r="DA492" s="18"/>
      <c r="DB492" s="18"/>
      <c r="DC492" s="18"/>
      <c r="DD492" s="18"/>
      <c r="DE492" s="18"/>
      <c r="DF492" s="18"/>
      <c r="DG492" s="18"/>
      <c r="DH492" s="18"/>
      <c r="DI492" s="18"/>
      <c r="DJ492" s="18"/>
      <c r="DK492" s="18"/>
      <c r="DL492" s="18"/>
      <c r="DM492" s="18"/>
      <c r="DN492" s="18"/>
      <c r="DO492" s="18"/>
      <c r="DP492" s="18"/>
      <c r="DQ492" s="18"/>
      <c r="DR492" s="18"/>
      <c r="DS492" s="18"/>
      <c r="DT492" s="18"/>
      <c r="DU492" s="18"/>
      <c r="DV492" s="18"/>
      <c r="DW492" s="18"/>
      <c r="DX492" s="18"/>
      <c r="DY492" s="18"/>
      <c r="DZ492" s="18"/>
    </row>
    <row r="493" spans="1:130" x14ac:dyDescent="0.3">
      <c r="A493" s="18"/>
      <c r="B493" s="18"/>
      <c r="C493" s="18"/>
      <c r="D493" s="18"/>
      <c r="E493" s="18"/>
      <c r="F493" s="18"/>
      <c r="G493" s="18"/>
      <c r="H493" s="18"/>
      <c r="I493" s="18"/>
      <c r="J493" s="18"/>
      <c r="K493" s="18"/>
      <c r="L493" s="18"/>
      <c r="M493" s="18"/>
      <c r="N493" s="17"/>
      <c r="O493" s="17"/>
      <c r="P493" s="17"/>
      <c r="Q493" s="17"/>
      <c r="R493" s="17"/>
      <c r="S493" s="17"/>
      <c r="T493" s="17"/>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7"/>
      <c r="BT493" s="17"/>
      <c r="BU493" s="17"/>
      <c r="BV493" s="17"/>
      <c r="BW493" s="17"/>
      <c r="BX493" s="18"/>
      <c r="BY493" s="18"/>
      <c r="BZ493" s="18"/>
      <c r="CA493" s="18"/>
      <c r="CB493" s="17"/>
      <c r="CC493" s="17"/>
      <c r="CD493" s="17"/>
      <c r="CE493" s="18"/>
      <c r="CF493" s="18"/>
      <c r="CG493" s="18"/>
      <c r="CH493" s="18"/>
      <c r="CI493" s="18"/>
      <c r="CJ493" s="18"/>
      <c r="CK493" s="18"/>
      <c r="CL493" s="18"/>
      <c r="CM493" s="18"/>
      <c r="CN493" s="18"/>
      <c r="CO493" s="18"/>
      <c r="CP493" s="18"/>
      <c r="CQ493" s="18"/>
      <c r="CR493" s="18"/>
      <c r="CS493" s="18"/>
      <c r="CT493" s="18"/>
      <c r="CU493" s="18"/>
      <c r="CV493" s="18"/>
      <c r="CW493" s="18"/>
      <c r="CX493" s="18"/>
      <c r="CY493" s="18"/>
      <c r="CZ493" s="18"/>
      <c r="DA493" s="18"/>
      <c r="DB493" s="18"/>
      <c r="DC493" s="18"/>
      <c r="DD493" s="18"/>
      <c r="DE493" s="18"/>
      <c r="DF493" s="18"/>
      <c r="DG493" s="18"/>
      <c r="DH493" s="18"/>
      <c r="DI493" s="18"/>
      <c r="DJ493" s="18"/>
      <c r="DK493" s="18"/>
      <c r="DL493" s="18"/>
      <c r="DM493" s="18"/>
      <c r="DN493" s="18"/>
      <c r="DO493" s="18"/>
      <c r="DP493" s="18"/>
      <c r="DQ493" s="18"/>
      <c r="DR493" s="18"/>
      <c r="DS493" s="18"/>
      <c r="DT493" s="18"/>
      <c r="DU493" s="18"/>
      <c r="DV493" s="18"/>
      <c r="DW493" s="18"/>
      <c r="DX493" s="18"/>
      <c r="DY493" s="18"/>
      <c r="DZ493" s="18"/>
    </row>
    <row r="494" spans="1:130" x14ac:dyDescent="0.3">
      <c r="A494" s="18"/>
      <c r="B494" s="18"/>
      <c r="C494" s="18"/>
      <c r="D494" s="18"/>
      <c r="E494" s="18"/>
      <c r="F494" s="18"/>
      <c r="G494" s="18"/>
      <c r="H494" s="18"/>
      <c r="I494" s="18"/>
      <c r="J494" s="18"/>
      <c r="K494" s="18"/>
      <c r="L494" s="18"/>
      <c r="M494" s="18"/>
      <c r="N494" s="17"/>
      <c r="O494" s="17"/>
      <c r="P494" s="17"/>
      <c r="Q494" s="17"/>
      <c r="R494" s="17"/>
      <c r="S494" s="17"/>
      <c r="T494" s="17"/>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7"/>
      <c r="BT494" s="17"/>
      <c r="BU494" s="17"/>
      <c r="BV494" s="17"/>
      <c r="BW494" s="17"/>
      <c r="BX494" s="18"/>
      <c r="BY494" s="18"/>
      <c r="BZ494" s="18"/>
      <c r="CA494" s="18"/>
      <c r="CB494" s="17"/>
      <c r="CC494" s="17"/>
      <c r="CD494" s="17"/>
      <c r="CE494" s="18"/>
      <c r="CF494" s="18"/>
      <c r="CG494" s="18"/>
      <c r="CH494" s="18"/>
      <c r="CI494" s="18"/>
      <c r="CJ494" s="18"/>
      <c r="CK494" s="18"/>
      <c r="CL494" s="18"/>
      <c r="CM494" s="18"/>
      <c r="CN494" s="18"/>
      <c r="CO494" s="18"/>
      <c r="CP494" s="18"/>
      <c r="CQ494" s="18"/>
      <c r="CR494" s="18"/>
      <c r="CS494" s="18"/>
      <c r="CT494" s="18"/>
      <c r="CU494" s="18"/>
      <c r="CV494" s="18"/>
      <c r="CW494" s="18"/>
      <c r="CX494" s="18"/>
      <c r="CY494" s="18"/>
      <c r="CZ494" s="18"/>
      <c r="DA494" s="18"/>
      <c r="DB494" s="18"/>
      <c r="DC494" s="18"/>
      <c r="DD494" s="18"/>
      <c r="DE494" s="18"/>
      <c r="DF494" s="18"/>
      <c r="DG494" s="18"/>
      <c r="DH494" s="18"/>
      <c r="DI494" s="18"/>
      <c r="DJ494" s="18"/>
      <c r="DK494" s="18"/>
      <c r="DL494" s="18"/>
      <c r="DM494" s="18"/>
      <c r="DN494" s="18"/>
      <c r="DO494" s="18"/>
      <c r="DP494" s="18"/>
      <c r="DQ494" s="18"/>
      <c r="DR494" s="18"/>
      <c r="DS494" s="18"/>
      <c r="DT494" s="18"/>
      <c r="DU494" s="18"/>
      <c r="DV494" s="18"/>
      <c r="DW494" s="18"/>
      <c r="DX494" s="18"/>
      <c r="DY494" s="18"/>
      <c r="DZ494" s="18"/>
    </row>
    <row r="495" spans="1:130" x14ac:dyDescent="0.3">
      <c r="A495" s="18"/>
      <c r="B495" s="18"/>
      <c r="C495" s="18"/>
      <c r="D495" s="18"/>
      <c r="E495" s="18"/>
      <c r="F495" s="18"/>
      <c r="G495" s="18"/>
      <c r="H495" s="18"/>
      <c r="I495" s="18"/>
      <c r="J495" s="18"/>
      <c r="K495" s="18"/>
      <c r="L495" s="18"/>
      <c r="M495" s="18"/>
      <c r="N495" s="17"/>
      <c r="O495" s="17"/>
      <c r="P495" s="17"/>
      <c r="Q495" s="17"/>
      <c r="R495" s="17"/>
      <c r="S495" s="17"/>
      <c r="T495" s="17"/>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7"/>
      <c r="BT495" s="17"/>
      <c r="BU495" s="17"/>
      <c r="BV495" s="17"/>
      <c r="BW495" s="17"/>
      <c r="BX495" s="18"/>
      <c r="BY495" s="18"/>
      <c r="BZ495" s="18"/>
      <c r="CA495" s="18"/>
      <c r="CB495" s="17"/>
      <c r="CC495" s="17"/>
      <c r="CD495" s="17"/>
      <c r="CE495" s="18"/>
      <c r="CF495" s="18"/>
      <c r="CG495" s="18"/>
      <c r="CH495" s="18"/>
      <c r="CI495" s="18"/>
      <c r="CJ495" s="18"/>
      <c r="CK495" s="18"/>
      <c r="CL495" s="18"/>
      <c r="CM495" s="18"/>
      <c r="CN495" s="18"/>
      <c r="CO495" s="18"/>
      <c r="CP495" s="18"/>
      <c r="CQ495" s="18"/>
      <c r="CR495" s="18"/>
      <c r="CS495" s="18"/>
      <c r="CT495" s="18"/>
      <c r="CU495" s="18"/>
      <c r="CV495" s="18"/>
      <c r="CW495" s="18"/>
      <c r="CX495" s="18"/>
      <c r="CY495" s="18"/>
      <c r="CZ495" s="18"/>
      <c r="DA495" s="18"/>
      <c r="DB495" s="18"/>
      <c r="DC495" s="18"/>
      <c r="DD495" s="18"/>
      <c r="DE495" s="18"/>
      <c r="DF495" s="18"/>
      <c r="DG495" s="18"/>
      <c r="DH495" s="18"/>
      <c r="DI495" s="18"/>
      <c r="DJ495" s="18"/>
      <c r="DK495" s="18"/>
      <c r="DL495" s="18"/>
      <c r="DM495" s="18"/>
      <c r="DN495" s="18"/>
      <c r="DO495" s="18"/>
      <c r="DP495" s="18"/>
      <c r="DQ495" s="18"/>
      <c r="DR495" s="18"/>
      <c r="DS495" s="18"/>
      <c r="DT495" s="18"/>
      <c r="DU495" s="18"/>
      <c r="DV495" s="18"/>
      <c r="DW495" s="18"/>
      <c r="DX495" s="18"/>
      <c r="DY495" s="18"/>
      <c r="DZ495" s="18"/>
    </row>
    <row r="496" spans="1:130" x14ac:dyDescent="0.3">
      <c r="A496" s="18"/>
      <c r="B496" s="18"/>
      <c r="C496" s="18"/>
      <c r="D496" s="18"/>
      <c r="E496" s="18"/>
      <c r="F496" s="18"/>
      <c r="G496" s="18"/>
      <c r="H496" s="18"/>
      <c r="I496" s="18"/>
      <c r="J496" s="18"/>
      <c r="K496" s="18"/>
      <c r="L496" s="18"/>
      <c r="M496" s="18"/>
      <c r="N496" s="17"/>
      <c r="O496" s="17"/>
      <c r="P496" s="17"/>
      <c r="Q496" s="17"/>
      <c r="R496" s="17"/>
      <c r="S496" s="17"/>
      <c r="T496" s="17"/>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7"/>
      <c r="BT496" s="17"/>
      <c r="BU496" s="17"/>
      <c r="BV496" s="17"/>
      <c r="BW496" s="17"/>
      <c r="BX496" s="18"/>
      <c r="BY496" s="18"/>
      <c r="BZ496" s="18"/>
      <c r="CA496" s="18"/>
      <c r="CB496" s="17"/>
      <c r="CC496" s="17"/>
      <c r="CD496" s="17"/>
      <c r="CE496" s="18"/>
      <c r="CF496" s="18"/>
      <c r="CG496" s="18"/>
      <c r="CH496" s="18"/>
      <c r="CI496" s="18"/>
      <c r="CJ496" s="18"/>
      <c r="CK496" s="18"/>
      <c r="CL496" s="18"/>
      <c r="CM496" s="18"/>
      <c r="CN496" s="18"/>
      <c r="CO496" s="18"/>
      <c r="CP496" s="18"/>
      <c r="CQ496" s="18"/>
      <c r="CR496" s="18"/>
      <c r="CS496" s="18"/>
      <c r="CT496" s="18"/>
      <c r="CU496" s="18"/>
      <c r="CV496" s="18"/>
      <c r="CW496" s="18"/>
      <c r="CX496" s="18"/>
      <c r="CY496" s="18"/>
      <c r="CZ496" s="18"/>
      <c r="DA496" s="18"/>
      <c r="DB496" s="18"/>
      <c r="DC496" s="18"/>
      <c r="DD496" s="18"/>
      <c r="DE496" s="18"/>
      <c r="DF496" s="18"/>
      <c r="DG496" s="18"/>
      <c r="DH496" s="18"/>
      <c r="DI496" s="18"/>
      <c r="DJ496" s="18"/>
      <c r="DK496" s="18"/>
      <c r="DL496" s="18"/>
      <c r="DM496" s="18"/>
      <c r="DN496" s="18"/>
      <c r="DO496" s="18"/>
      <c r="DP496" s="18"/>
      <c r="DQ496" s="18"/>
      <c r="DR496" s="18"/>
      <c r="DS496" s="18"/>
      <c r="DT496" s="18"/>
      <c r="DU496" s="18"/>
      <c r="DV496" s="18"/>
      <c r="DW496" s="18"/>
      <c r="DX496" s="18"/>
      <c r="DY496" s="18"/>
      <c r="DZ496" s="18"/>
    </row>
    <row r="497" spans="1:130" x14ac:dyDescent="0.3">
      <c r="A497" s="18"/>
      <c r="B497" s="18"/>
      <c r="C497" s="18"/>
      <c r="D497" s="18"/>
      <c r="E497" s="18"/>
      <c r="F497" s="18"/>
      <c r="G497" s="18"/>
      <c r="H497" s="18"/>
      <c r="I497" s="18"/>
      <c r="J497" s="18"/>
      <c r="K497" s="18"/>
      <c r="L497" s="18"/>
      <c r="M497" s="18"/>
      <c r="N497" s="17"/>
      <c r="O497" s="17"/>
      <c r="P497" s="17"/>
      <c r="Q497" s="17"/>
      <c r="R497" s="17"/>
      <c r="S497" s="17"/>
      <c r="T497" s="17"/>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7"/>
      <c r="BT497" s="17"/>
      <c r="BU497" s="17"/>
      <c r="BV497" s="17"/>
      <c r="BW497" s="17"/>
      <c r="BX497" s="18"/>
      <c r="BY497" s="18"/>
      <c r="BZ497" s="18"/>
      <c r="CA497" s="18"/>
      <c r="CB497" s="17"/>
      <c r="CC497" s="17"/>
      <c r="CD497" s="17"/>
      <c r="CE497" s="18"/>
      <c r="CF497" s="18"/>
      <c r="CG497" s="18"/>
      <c r="CH497" s="18"/>
      <c r="CI497" s="18"/>
      <c r="CJ497" s="18"/>
      <c r="CK497" s="18"/>
      <c r="CL497" s="18"/>
      <c r="CM497" s="18"/>
      <c r="CN497" s="18"/>
      <c r="CO497" s="18"/>
      <c r="CP497" s="18"/>
      <c r="CQ497" s="18"/>
      <c r="CR497" s="18"/>
      <c r="CS497" s="18"/>
      <c r="CT497" s="18"/>
      <c r="CU497" s="18"/>
      <c r="CV497" s="18"/>
      <c r="CW497" s="18"/>
      <c r="CX497" s="18"/>
      <c r="CY497" s="18"/>
      <c r="CZ497" s="18"/>
      <c r="DA497" s="18"/>
      <c r="DB497" s="18"/>
      <c r="DC497" s="18"/>
      <c r="DD497" s="18"/>
      <c r="DE497" s="18"/>
      <c r="DF497" s="18"/>
      <c r="DG497" s="18"/>
      <c r="DH497" s="18"/>
      <c r="DI497" s="18"/>
      <c r="DJ497" s="18"/>
      <c r="DK497" s="18"/>
      <c r="DL497" s="18"/>
      <c r="DM497" s="18"/>
      <c r="DN497" s="18"/>
      <c r="DO497" s="18"/>
      <c r="DP497" s="18"/>
      <c r="DQ497" s="18"/>
      <c r="DR497" s="18"/>
      <c r="DS497" s="18"/>
      <c r="DT497" s="18"/>
      <c r="DU497" s="18"/>
      <c r="DV497" s="18"/>
      <c r="DW497" s="18"/>
      <c r="DX497" s="18"/>
      <c r="DY497" s="18"/>
      <c r="DZ497" s="18"/>
    </row>
    <row r="498" spans="1:130" x14ac:dyDescent="0.3">
      <c r="A498" s="18"/>
      <c r="B498" s="18"/>
      <c r="C498" s="18"/>
      <c r="D498" s="18"/>
      <c r="E498" s="18"/>
      <c r="F498" s="18"/>
      <c r="G498" s="18"/>
      <c r="H498" s="18"/>
      <c r="I498" s="18"/>
      <c r="J498" s="18"/>
      <c r="K498" s="18"/>
      <c r="L498" s="18"/>
      <c r="M498" s="18"/>
      <c r="N498" s="17"/>
      <c r="O498" s="17"/>
      <c r="P498" s="17"/>
      <c r="Q498" s="17"/>
      <c r="R498" s="17"/>
      <c r="S498" s="17"/>
      <c r="T498" s="17"/>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7"/>
      <c r="BT498" s="17"/>
      <c r="BU498" s="17"/>
      <c r="BV498" s="17"/>
      <c r="BW498" s="17"/>
      <c r="BX498" s="18"/>
      <c r="BY498" s="18"/>
      <c r="BZ498" s="18"/>
      <c r="CA498" s="18"/>
      <c r="CB498" s="17"/>
      <c r="CC498" s="17"/>
      <c r="CD498" s="17"/>
      <c r="CE498" s="18"/>
      <c r="CF498" s="18"/>
      <c r="CG498" s="18"/>
      <c r="CH498" s="18"/>
      <c r="CI498" s="18"/>
      <c r="CJ498" s="18"/>
      <c r="CK498" s="18"/>
      <c r="CL498" s="18"/>
      <c r="CM498" s="18"/>
      <c r="CN498" s="18"/>
      <c r="CO498" s="18"/>
      <c r="CP498" s="18"/>
      <c r="CQ498" s="18"/>
      <c r="CR498" s="18"/>
      <c r="CS498" s="18"/>
      <c r="CT498" s="18"/>
      <c r="CU498" s="18"/>
      <c r="CV498" s="18"/>
      <c r="CW498" s="18"/>
      <c r="CX498" s="18"/>
      <c r="CY498" s="18"/>
      <c r="CZ498" s="18"/>
      <c r="DA498" s="18"/>
      <c r="DB498" s="18"/>
      <c r="DC498" s="18"/>
      <c r="DD498" s="18"/>
      <c r="DE498" s="18"/>
      <c r="DF498" s="18"/>
      <c r="DG498" s="18"/>
      <c r="DH498" s="18"/>
      <c r="DI498" s="18"/>
      <c r="DJ498" s="18"/>
      <c r="DK498" s="18"/>
      <c r="DL498" s="18"/>
      <c r="DM498" s="18"/>
      <c r="DN498" s="18"/>
      <c r="DO498" s="18"/>
      <c r="DP498" s="18"/>
      <c r="DQ498" s="18"/>
      <c r="DR498" s="18"/>
      <c r="DS498" s="18"/>
      <c r="DT498" s="18"/>
      <c r="DU498" s="18"/>
      <c r="DV498" s="18"/>
      <c r="DW498" s="18"/>
      <c r="DX498" s="18"/>
      <c r="DY498" s="18"/>
      <c r="DZ498" s="18"/>
    </row>
    <row r="499" spans="1:130" x14ac:dyDescent="0.3">
      <c r="A499" s="18"/>
      <c r="B499" s="18"/>
      <c r="C499" s="18"/>
      <c r="D499" s="18"/>
      <c r="E499" s="18"/>
      <c r="F499" s="18"/>
      <c r="G499" s="18"/>
      <c r="H499" s="18"/>
      <c r="I499" s="18"/>
      <c r="J499" s="18"/>
      <c r="K499" s="18"/>
      <c r="L499" s="18"/>
      <c r="M499" s="18"/>
      <c r="N499" s="17"/>
      <c r="O499" s="17"/>
      <c r="P499" s="17"/>
      <c r="Q499" s="17"/>
      <c r="R499" s="17"/>
      <c r="S499" s="17"/>
      <c r="T499" s="17"/>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7"/>
      <c r="BT499" s="17"/>
      <c r="BU499" s="17"/>
      <c r="BV499" s="17"/>
      <c r="BW499" s="17"/>
      <c r="BX499" s="18"/>
      <c r="BY499" s="18"/>
      <c r="BZ499" s="18"/>
      <c r="CA499" s="18"/>
      <c r="CB499" s="17"/>
      <c r="CC499" s="17"/>
      <c r="CD499" s="17"/>
      <c r="CE499" s="18"/>
      <c r="CF499" s="18"/>
      <c r="CG499" s="18"/>
      <c r="CH499" s="18"/>
      <c r="CI499" s="18"/>
      <c r="CJ499" s="18"/>
      <c r="CK499" s="18"/>
      <c r="CL499" s="18"/>
      <c r="CM499" s="18"/>
      <c r="CN499" s="18"/>
      <c r="CO499" s="18"/>
      <c r="CP499" s="18"/>
      <c r="CQ499" s="18"/>
      <c r="CR499" s="18"/>
      <c r="CS499" s="18"/>
      <c r="CT499" s="18"/>
      <c r="CU499" s="18"/>
      <c r="CV499" s="18"/>
      <c r="CW499" s="18"/>
      <c r="CX499" s="18"/>
      <c r="CY499" s="18"/>
      <c r="CZ499" s="18"/>
      <c r="DA499" s="18"/>
      <c r="DB499" s="18"/>
      <c r="DC499" s="18"/>
      <c r="DD499" s="18"/>
      <c r="DE499" s="18"/>
      <c r="DF499" s="18"/>
      <c r="DG499" s="18"/>
      <c r="DH499" s="18"/>
      <c r="DI499" s="18"/>
      <c r="DJ499" s="18"/>
      <c r="DK499" s="18"/>
      <c r="DL499" s="18"/>
      <c r="DM499" s="18"/>
      <c r="DN499" s="18"/>
      <c r="DO499" s="18"/>
      <c r="DP499" s="18"/>
      <c r="DQ499" s="18"/>
      <c r="DR499" s="18"/>
      <c r="DS499" s="18"/>
      <c r="DT499" s="18"/>
      <c r="DU499" s="18"/>
      <c r="DV499" s="18"/>
      <c r="DW499" s="18"/>
      <c r="DX499" s="18"/>
      <c r="DY499" s="18"/>
      <c r="DZ499" s="18"/>
    </row>
    <row r="500" spans="1:130" x14ac:dyDescent="0.3">
      <c r="A500" s="18"/>
      <c r="B500" s="18"/>
      <c r="C500" s="18"/>
      <c r="D500" s="18"/>
      <c r="E500" s="18"/>
      <c r="F500" s="18"/>
      <c r="G500" s="18"/>
      <c r="H500" s="18"/>
      <c r="I500" s="18"/>
      <c r="J500" s="18"/>
      <c r="K500" s="18"/>
      <c r="L500" s="18"/>
      <c r="M500" s="18"/>
      <c r="N500" s="17"/>
      <c r="O500" s="17"/>
      <c r="P500" s="17"/>
      <c r="Q500" s="17"/>
      <c r="R500" s="17"/>
      <c r="S500" s="17"/>
      <c r="T500" s="17"/>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7"/>
      <c r="BT500" s="17"/>
      <c r="BU500" s="17"/>
      <c r="BV500" s="17"/>
      <c r="BW500" s="17"/>
      <c r="BX500" s="18"/>
      <c r="BY500" s="18"/>
      <c r="BZ500" s="18"/>
      <c r="CA500" s="18"/>
      <c r="CB500" s="17"/>
      <c r="CC500" s="17"/>
      <c r="CD500" s="17"/>
      <c r="CE500" s="18"/>
      <c r="CF500" s="18"/>
      <c r="CG500" s="18"/>
      <c r="CH500" s="18"/>
      <c r="CI500" s="18"/>
      <c r="CJ500" s="18"/>
      <c r="CK500" s="18"/>
      <c r="CL500" s="18"/>
      <c r="CM500" s="18"/>
      <c r="CN500" s="18"/>
      <c r="CO500" s="18"/>
      <c r="CP500" s="18"/>
      <c r="CQ500" s="18"/>
      <c r="CR500" s="18"/>
      <c r="CS500" s="18"/>
      <c r="CT500" s="18"/>
      <c r="CU500" s="18"/>
      <c r="CV500" s="18"/>
      <c r="CW500" s="18"/>
      <c r="CX500" s="18"/>
      <c r="CY500" s="18"/>
      <c r="CZ500" s="18"/>
      <c r="DA500" s="18"/>
      <c r="DB500" s="18"/>
      <c r="DC500" s="18"/>
      <c r="DD500" s="18"/>
      <c r="DE500" s="18"/>
      <c r="DF500" s="18"/>
      <c r="DG500" s="18"/>
      <c r="DH500" s="18"/>
      <c r="DI500" s="18"/>
      <c r="DJ500" s="18"/>
      <c r="DK500" s="18"/>
      <c r="DL500" s="18"/>
      <c r="DM500" s="18"/>
      <c r="DN500" s="18"/>
      <c r="DO500" s="18"/>
      <c r="DP500" s="18"/>
      <c r="DQ500" s="18"/>
      <c r="DR500" s="18"/>
      <c r="DS500" s="18"/>
      <c r="DT500" s="18"/>
      <c r="DU500" s="18"/>
      <c r="DV500" s="18"/>
      <c r="DW500" s="18"/>
      <c r="DX500" s="18"/>
      <c r="DY500" s="18"/>
      <c r="DZ500" s="18"/>
    </row>
  </sheetData>
  <sheetProtection algorithmName="SHA-512" hashValue="VpvDLesD3UrPvsn4RkATGuU1CWunwlKKwrNe4b6igWh8ttgXVhUVXdM1DQp1Bsi9lwzMVQduOdUnpoSEB53vtw==" saltValue="By4AoY7n3+AUsVUG02cyaw==" spinCount="100000" sheet="1" objects="1" scenarios="1"/>
  <conditionalFormatting sqref="C205:M217 C34:M83 C162:M197 C110:M116 C91:M107 C119:M149">
    <cfRule type="cellIs" dxfId="10" priority="13" operator="equal">
      <formula>"NA"</formula>
    </cfRule>
  </conditionalFormatting>
  <conditionalFormatting sqref="AF34:AM217">
    <cfRule type="expression" dxfId="9" priority="12">
      <formula>ROUND(AF34,2)=0</formula>
    </cfRule>
  </conditionalFormatting>
  <conditionalFormatting sqref="AE35:AE217">
    <cfRule type="expression" dxfId="8" priority="11">
      <formula>AE35=AP35</formula>
    </cfRule>
  </conditionalFormatting>
  <conditionalFormatting sqref="C118:M118">
    <cfRule type="cellIs" dxfId="7" priority="5" operator="equal">
      <formula>"NA"</formula>
    </cfRule>
  </conditionalFormatting>
  <conditionalFormatting sqref="C117:M117">
    <cfRule type="cellIs" dxfId="6" priority="4" operator="equal">
      <formula>"NA"</formula>
    </cfRule>
  </conditionalFormatting>
  <conditionalFormatting sqref="C109:M109">
    <cfRule type="cellIs" dxfId="5" priority="3" operator="equal">
      <formula>"NA"</formula>
    </cfRule>
  </conditionalFormatting>
  <conditionalFormatting sqref="C108:M108">
    <cfRule type="cellIs" dxfId="4" priority="1" operator="equal">
      <formula>"NA"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_1">
              <controlPr defaultSize="0" print="0" autoFill="0" autoPict="0" macro="[0]!CopyPasteLinks">
                <anchor moveWithCells="1" sizeWithCells="1">
                  <from>
                    <xdr:col>2</xdr:col>
                    <xdr:colOff>565150</xdr:colOff>
                    <xdr:row>0</xdr:row>
                    <xdr:rowOff>38100</xdr:rowOff>
                  </from>
                  <to>
                    <xdr:col>7</xdr:col>
                    <xdr:colOff>215900</xdr:colOff>
                    <xdr:row>1</xdr:row>
                    <xdr:rowOff>241300</xdr:rowOff>
                  </to>
                </anchor>
              </controlPr>
            </control>
          </mc:Choice>
        </mc:AlternateContent>
        <mc:AlternateContent xmlns:mc="http://schemas.openxmlformats.org/markup-compatibility/2006">
          <mc:Choice Requires="x14">
            <control shapeId="7186" r:id="rId5" name="Button 18">
              <controlPr defaultSize="0" print="0" autoFill="0" autoPict="0" macro="[0]!clear_FinancialsDF_sheet">
                <anchor moveWithCells="1" sizeWithCells="1">
                  <from>
                    <xdr:col>1</xdr:col>
                    <xdr:colOff>101600</xdr:colOff>
                    <xdr:row>0</xdr:row>
                    <xdr:rowOff>38100</xdr:rowOff>
                  </from>
                  <to>
                    <xdr:col>2</xdr:col>
                    <xdr:colOff>38100</xdr:colOff>
                    <xdr:row>1</xdr:row>
                    <xdr:rowOff>241300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DC5DF-CFD2-4400-B771-E043A434E537}">
  <sheetPr codeName="Sheet10">
    <tabColor rgb="FFFF0000"/>
  </sheetPr>
  <dimension ref="A1:E1041"/>
  <sheetViews>
    <sheetView zoomScaleNormal="100" workbookViewId="0">
      <pane ySplit="18" topLeftCell="A78" activePane="bottomLeft" state="frozen"/>
      <selection pane="bottomLeft" activeCell="B92" sqref="B92"/>
    </sheetView>
  </sheetViews>
  <sheetFormatPr defaultColWidth="9.33203125" defaultRowHeight="12.5" x14ac:dyDescent="0.25"/>
  <cols>
    <col min="1" max="1" width="52.77734375" style="516" bestFit="1" customWidth="1"/>
    <col min="2" max="2" width="80.6640625" style="516" bestFit="1" customWidth="1"/>
    <col min="3" max="5" width="9.33203125" style="516"/>
    <col min="6" max="6" width="18.77734375" style="516" bestFit="1" customWidth="1"/>
    <col min="7" max="16384" width="9.33203125" style="516"/>
  </cols>
  <sheetData>
    <row r="1" spans="1:5" ht="13" x14ac:dyDescent="0.3">
      <c r="A1" s="517" t="s">
        <v>307</v>
      </c>
      <c r="B1" s="517" t="s">
        <v>415</v>
      </c>
      <c r="E1" s="517" t="s">
        <v>553</v>
      </c>
    </row>
    <row r="2" spans="1:5" x14ac:dyDescent="0.25">
      <c r="A2" s="516" t="str">
        <f>'Financials DF'!A8</f>
        <v>CODE</v>
      </c>
      <c r="B2" s="516" t="str">
        <f>'Financials DF'!B8</f>
        <v>NTC</v>
      </c>
      <c r="E2" s="522" t="str">
        <f t="shared" ref="E2:E66" ca="1" si="0">_xlfn.FORMULATEXT(B2)</f>
        <v>='Financials DF'!B8</v>
      </c>
    </row>
    <row r="3" spans="1:5" x14ac:dyDescent="0.25">
      <c r="A3" s="516" t="str">
        <f>'Financials DF'!A9</f>
        <v>NAME</v>
      </c>
      <c r="B3" s="516" t="str">
        <f>'Financials DF'!B9</f>
        <v>NETCARE LTD</v>
      </c>
      <c r="E3" s="522" t="str">
        <f t="shared" ca="1" si="0"/>
        <v>='Financials DF'!B9</v>
      </c>
    </row>
    <row r="4" spans="1:5" x14ac:dyDescent="0.25">
      <c r="A4" s="516" t="str">
        <f>'Financials DF'!A10</f>
        <v>TICKER</v>
      </c>
      <c r="B4" s="516" t="str">
        <f>'Financials DF'!B10</f>
        <v>NTC SJ Equity</v>
      </c>
      <c r="E4" s="522" t="str">
        <f t="shared" ca="1" si="0"/>
        <v>='Financials DF'!B10</v>
      </c>
    </row>
    <row r="5" spans="1:5" x14ac:dyDescent="0.25">
      <c r="A5" s="516" t="str">
        <f>'Financials DF'!A11</f>
        <v>ICB_INDUSTRY</v>
      </c>
      <c r="B5" s="516" t="str">
        <f>'Financials DF'!B11</f>
        <v>Health Care</v>
      </c>
      <c r="E5" s="522" t="str">
        <f t="shared" ca="1" si="0"/>
        <v>='Financials DF'!B11</v>
      </c>
    </row>
    <row r="6" spans="1:5" x14ac:dyDescent="0.25">
      <c r="A6" s="516" t="str">
        <f>'Financials DF'!A12</f>
        <v>ICB_SUPERSECTOR</v>
      </c>
      <c r="B6" s="516" t="str">
        <f>'Financials DF'!B12</f>
        <v>Health Care</v>
      </c>
      <c r="E6" s="522" t="str">
        <f t="shared" ca="1" si="0"/>
        <v>='Financials DF'!B12</v>
      </c>
    </row>
    <row r="7" spans="1:5" x14ac:dyDescent="0.25">
      <c r="A7" s="516" t="str">
        <f>'Financials DF'!A13</f>
        <v>ICB_SECTOR</v>
      </c>
      <c r="B7" s="516" t="str">
        <f>'Financials DF'!B13</f>
        <v>Health Care Providers</v>
      </c>
      <c r="E7" s="522" t="str">
        <f t="shared" ca="1" si="0"/>
        <v>='Financials DF'!B13</v>
      </c>
    </row>
    <row r="8" spans="1:5" x14ac:dyDescent="0.25">
      <c r="A8" s="516" t="str">
        <f>'Financials DF'!A14</f>
        <v>ICB_SUBSECTOR</v>
      </c>
      <c r="B8" s="516" t="str">
        <f>'Financials DF'!B14</f>
        <v>Health Care Facilities</v>
      </c>
      <c r="E8" s="522" t="str">
        <f t="shared" ca="1" si="0"/>
        <v>='Financials DF'!B14</v>
      </c>
    </row>
    <row r="9" spans="1:5" x14ac:dyDescent="0.25">
      <c r="A9" s="516" t="str">
        <f>'Financials DF'!A15</f>
        <v>SOURCE</v>
      </c>
      <c r="B9" s="516" t="str">
        <f>'Financials DF'!B15</f>
        <v>Bloomberg</v>
      </c>
      <c r="E9" s="522" t="str">
        <f t="shared" ca="1" si="0"/>
        <v>='Financials DF'!B15</v>
      </c>
    </row>
    <row r="10" spans="1:5" x14ac:dyDescent="0.25">
      <c r="A10" s="523" t="s">
        <v>416</v>
      </c>
      <c r="B10" s="524">
        <f>Summary!$C$5</f>
        <v>14.26</v>
      </c>
      <c r="E10" s="522" t="str">
        <f t="shared" ca="1" si="0"/>
        <v>=Summary!$C$5</v>
      </c>
    </row>
    <row r="11" spans="1:5" x14ac:dyDescent="0.25">
      <c r="A11" s="523" t="s">
        <v>610</v>
      </c>
      <c r="B11" s="523" t="str">
        <f>Summary!$C$22</f>
        <v>DCF:</v>
      </c>
      <c r="E11" s="522" t="str">
        <f t="shared" ca="1" si="0"/>
        <v>=Summary!$C$22</v>
      </c>
    </row>
    <row r="12" spans="1:5" x14ac:dyDescent="0.25">
      <c r="A12" s="523" t="s">
        <v>611</v>
      </c>
      <c r="B12" s="523" t="str">
        <f>Summary!$C$23</f>
        <v>Improved Capital Allocation Track record supports DCF valuation</v>
      </c>
      <c r="E12" s="522" t="str">
        <f t="shared" ca="1" si="0"/>
        <v>=Summary!$C$23</v>
      </c>
    </row>
    <row r="13" spans="1:5" x14ac:dyDescent="0.25">
      <c r="A13" s="523" t="s">
        <v>547</v>
      </c>
      <c r="B13" s="524">
        <f ca="1">Summary!$D$22</f>
        <v>20.204677144327977</v>
      </c>
      <c r="E13" s="522" t="str">
        <f t="shared" ca="1" si="0"/>
        <v>=Summary!$D$22</v>
      </c>
    </row>
    <row r="14" spans="1:5" x14ac:dyDescent="0.25">
      <c r="A14" s="525" t="s">
        <v>806</v>
      </c>
      <c r="B14" s="526" t="str">
        <f>'Financials DF'!C18</f>
        <v>ZAR</v>
      </c>
      <c r="E14" s="522" t="str">
        <f t="shared" ca="1" si="0"/>
        <v>='Financials DF'!C18</v>
      </c>
    </row>
    <row r="15" spans="1:5" x14ac:dyDescent="0.25">
      <c r="A15" s="523" t="s">
        <v>612</v>
      </c>
      <c r="B15" s="527">
        <f ca="1">Summary!$E$22</f>
        <v>0.41687778010715126</v>
      </c>
      <c r="E15" s="522" t="str">
        <f t="shared" ca="1" si="0"/>
        <v>=Summary!$E$22</v>
      </c>
    </row>
    <row r="16" spans="1:5" x14ac:dyDescent="0.25">
      <c r="A16" s="523" t="s">
        <v>542</v>
      </c>
      <c r="B16" s="523" t="str">
        <f>"1. " &amp; Summary!$C$27 &amp; CHAR(10) &amp; "2. "&amp; Summary!$C$28 &amp; CHAR(10) &amp; "3. "&amp; Summary!$C$29 &amp; CHAR(10)</f>
        <v xml:space="preserve">1. Post Covid recovery supports higher revenue growth and margins
2. Good cash flow generation and capital allocation will allow dividends and buy-backs
3. Management credibility improving
</v>
      </c>
      <c r="E16" s="522" t="str">
        <f t="shared" ca="1" si="0"/>
        <v>="1. " &amp; Summary!$C$27 &amp; CHAR(10) &amp; "2. "&amp; Summary!$C$28 &amp; CHAR(10) &amp; "3. "&amp; Summary!$C$29 &amp; CHAR(10)</v>
      </c>
    </row>
    <row r="17" spans="1:5" x14ac:dyDescent="0.25">
      <c r="A17" s="523" t="s">
        <v>543</v>
      </c>
      <c r="B17" s="523" t="str">
        <f>"1. " &amp; Summary!$C$33 &amp; CHAR(10) &amp; "2. "&amp; Summary!$C$34 &amp; CHAR(10) &amp; "3. "&amp; Summary!$C$35 &amp; CHAR(10)</f>
        <v xml:space="preserve">1. Long terms margins under pressure due to slower PMI growth and high costs
2. Lack of diversification - SA Focussed
3. NHI Risks to business model - higher cost of capital
</v>
      </c>
      <c r="E17" s="522" t="str">
        <f t="shared" ca="1" si="0"/>
        <v>="1. " &amp; Summary!$C$33 &amp; CHAR(10) &amp; "2. "&amp; Summary!$C$34 &amp; CHAR(10) &amp; "3. "&amp; Summary!$C$35 &amp; CHAR(10)</v>
      </c>
    </row>
    <row r="18" spans="1:5" x14ac:dyDescent="0.25">
      <c r="A18" s="523" t="s">
        <v>544</v>
      </c>
      <c r="B18" s="523" t="str">
        <f>Summary!$B$39 &amp;": " &amp; Summary!$C$39 &amp; CHAR(10) &amp; Summary!$B$40&amp; " "&amp; Summary!$C$40 &amp; CHAR(10) &amp; Summary!$B$41&amp;" "&amp; Summary!$C$41&amp; CHAR(10) &amp; Summary!$B$42&amp;" "&amp; Summary!$C$42</f>
        <v>One line summary: Very cheap valuation supported by post Covid recovery in earnings and dividends
What are we saying? Very cheap valuation supported by post Covid recovery in earnings and dividends
What is the company saying? Management confident of earnings recovery but concerns around Covid waves remain
What is the market saying? Market skeptical around SA Covid and Macro risk</v>
      </c>
      <c r="E18" s="522" t="str">
        <f t="shared" ca="1" si="0"/>
        <v>=Summary!$B$39 &amp;": " &amp; Summary!$C$39 &amp; CHAR(10) &amp; Summary!$B$40&amp; " "&amp; Summary!$C$40 &amp; CHAR(10) &amp; Summary!$B$41&amp;" "&amp; Summary!$C$41&amp; CHAR(10) &amp; Summary!$B$42&amp;" "&amp; Summary!$C$42</v>
      </c>
    </row>
    <row r="19" spans="1:5" x14ac:dyDescent="0.25">
      <c r="A19" s="516" t="s">
        <v>473</v>
      </c>
      <c r="B19" s="528">
        <f>IFERROR(Fcsts!$V$7,"NA")</f>
        <v>6.1649275549087168E-2</v>
      </c>
      <c r="E19" s="522" t="str">
        <f t="shared" ca="1" si="0"/>
        <v>=IFERROR(Fcsts!$V$7,"NA")</v>
      </c>
    </row>
    <row r="20" spans="1:5" x14ac:dyDescent="0.25">
      <c r="A20" s="516" t="s">
        <v>474</v>
      </c>
      <c r="B20" s="528">
        <f>IFERROR(Fcsts!$Y$7,"NA")</f>
        <v>0.92870729060924129</v>
      </c>
      <c r="E20" s="522" t="str">
        <f t="shared" ca="1" si="0"/>
        <v>=IFERROR(Fcsts!$Y$7,"NA")</v>
      </c>
    </row>
    <row r="21" spans="1:5" x14ac:dyDescent="0.25">
      <c r="A21" s="516" t="s">
        <v>475</v>
      </c>
      <c r="B21" s="528">
        <f>IFERROR(Fcsts!$AB$7,"NA")</f>
        <v>2.4916937794129246</v>
      </c>
      <c r="E21" s="522" t="str">
        <f t="shared" ca="1" si="0"/>
        <v>=IFERROR(Fcsts!$AB$7,"NA")</v>
      </c>
    </row>
    <row r="22" spans="1:5" x14ac:dyDescent="0.25">
      <c r="A22" s="516" t="s">
        <v>476</v>
      </c>
      <c r="B22" s="528">
        <f>IFERROR(Fcsts!$AE$7,"NA")</f>
        <v>0.14265976371092209</v>
      </c>
      <c r="E22" s="522" t="str">
        <f t="shared" ca="1" si="0"/>
        <v>=IFERROR(Fcsts!$AE$7,"NA")</v>
      </c>
    </row>
    <row r="23" spans="1:5" x14ac:dyDescent="0.25">
      <c r="A23" s="516" t="s">
        <v>477</v>
      </c>
      <c r="B23" s="528">
        <f>IFERROR(Fcsts!$V$14,"NA")</f>
        <v>0.41399081967098639</v>
      </c>
      <c r="E23" s="522" t="str">
        <f t="shared" ca="1" si="0"/>
        <v>=IFERROR(Fcsts!$V$14,"NA")</v>
      </c>
    </row>
    <row r="24" spans="1:5" x14ac:dyDescent="0.25">
      <c r="A24" s="516" t="s">
        <v>478</v>
      </c>
      <c r="B24" s="528">
        <f>IFERROR(Fcsts!$Y$13,"NA")</f>
        <v>0.06</v>
      </c>
      <c r="E24" s="522" t="str">
        <f t="shared" ca="1" si="0"/>
        <v>=IFERROR(Fcsts!$Y$13,"NA")</v>
      </c>
    </row>
    <row r="25" spans="1:5" x14ac:dyDescent="0.25">
      <c r="A25" s="516" t="s">
        <v>479</v>
      </c>
      <c r="B25" s="528">
        <f>IFERROR(Fcsts!$AB$15,"NA")</f>
        <v>0.09</v>
      </c>
      <c r="E25" s="522" t="str">
        <f t="shared" ca="1" si="0"/>
        <v>=IFERROR(Fcsts!$AB$15,"NA")</v>
      </c>
    </row>
    <row r="26" spans="1:5" x14ac:dyDescent="0.25">
      <c r="A26" s="516" t="s">
        <v>521</v>
      </c>
      <c r="B26" s="528">
        <f>IFERROR(Fcsts!$AB$14,"NA")</f>
        <v>0.15</v>
      </c>
      <c r="E26" s="522" t="str">
        <f t="shared" ca="1" si="0"/>
        <v>=IFERROR(Fcsts!$AB$14,"NA")</v>
      </c>
    </row>
    <row r="27" spans="1:5" x14ac:dyDescent="0.25">
      <c r="A27" s="516" t="s">
        <v>480</v>
      </c>
      <c r="B27" s="528">
        <f>IFERROR(Fcsts!$AB$16,"NA")</f>
        <v>1.0714285714285714</v>
      </c>
      <c r="E27" s="522" t="str">
        <f t="shared" ca="1" si="0"/>
        <v>=IFERROR(Fcsts!$AB$16,"NA")</v>
      </c>
    </row>
    <row r="28" spans="1:5" x14ac:dyDescent="0.25">
      <c r="A28" s="516" t="s">
        <v>481</v>
      </c>
      <c r="B28" s="528">
        <f>IFERROR(Fcsts!$AE$15,"NA")</f>
        <v>3168.8356206966632</v>
      </c>
      <c r="E28" s="522" t="str">
        <f t="shared" ca="1" si="0"/>
        <v>=IFERROR(Fcsts!$AE$15,"NA")</v>
      </c>
    </row>
    <row r="29" spans="1:5" x14ac:dyDescent="0.25">
      <c r="A29" s="516" t="s">
        <v>482</v>
      </c>
      <c r="B29" s="528">
        <f>IFERROR(Fcsts!$AE$14,"NA")</f>
        <v>2281.5616469015972</v>
      </c>
      <c r="E29" s="522" t="str">
        <f t="shared" ca="1" si="0"/>
        <v>=IFERROR(Fcsts!$AE$14,"NA")</v>
      </c>
    </row>
    <row r="30" spans="1:5" x14ac:dyDescent="0.25">
      <c r="A30" s="516" t="s">
        <v>483</v>
      </c>
      <c r="B30" s="528">
        <f>IFERROR(Fcsts!$V$19,"NA")</f>
        <v>24742.124970066667</v>
      </c>
      <c r="E30" s="522" t="str">
        <f t="shared" ca="1" si="0"/>
        <v>=IFERROR(Fcsts!$V$19,"NA")</v>
      </c>
    </row>
    <row r="31" spans="1:5" x14ac:dyDescent="0.25">
      <c r="A31" s="516" t="s">
        <v>484</v>
      </c>
      <c r="B31" s="528">
        <f>IFERROR(Fcsts!$Y$19,"NA")</f>
        <v>21215.982110740661</v>
      </c>
      <c r="E31" s="522" t="str">
        <f t="shared" ca="1" si="0"/>
        <v>=IFERROR(Fcsts!$Y$19,"NA")</v>
      </c>
    </row>
    <row r="32" spans="1:5" x14ac:dyDescent="0.25">
      <c r="A32" s="516" t="s">
        <v>485</v>
      </c>
      <c r="B32" s="528">
        <f>IFERROR(Fcsts!$AB$19,"NA")</f>
        <v>0.13383309123164119</v>
      </c>
      <c r="E32" s="522" t="str">
        <f t="shared" ca="1" si="0"/>
        <v>=IFERROR(Fcsts!$AB$19,"NA")</v>
      </c>
    </row>
    <row r="33" spans="1:5" x14ac:dyDescent="0.25">
      <c r="A33" s="516" t="s">
        <v>479</v>
      </c>
      <c r="B33" s="528">
        <f>IFERROR(Fcsts!$AB$20,"NA")</f>
        <v>0.15</v>
      </c>
      <c r="E33" s="522" t="str">
        <f t="shared" ca="1" si="0"/>
        <v>=IFERROR(Fcsts!$AB$20,"NA")</v>
      </c>
    </row>
    <row r="34" spans="1:5" x14ac:dyDescent="0.25">
      <c r="A34" s="516" t="s">
        <v>486</v>
      </c>
      <c r="B34" s="528">
        <f>IFERROR(Fcsts!$AB$21,"NA")</f>
        <v>5.3999999999999999E-2</v>
      </c>
      <c r="E34" s="522" t="str">
        <f t="shared" ca="1" si="0"/>
        <v>=IFERROR(Fcsts!$AB$21,"NA")</v>
      </c>
    </row>
    <row r="35" spans="1:5" x14ac:dyDescent="0.25">
      <c r="A35" s="516" t="s">
        <v>487</v>
      </c>
      <c r="B35" s="528">
        <f>IFERROR(Fcsts!$AE$19,"NA")</f>
        <v>4499.8416447109967</v>
      </c>
      <c r="E35" s="522" t="str">
        <f t="shared" ca="1" si="0"/>
        <v>=IFERROR(Fcsts!$AE$19,"NA")</v>
      </c>
    </row>
    <row r="36" spans="1:5" x14ac:dyDescent="0.25">
      <c r="A36" s="516" t="s">
        <v>488</v>
      </c>
      <c r="B36" s="528">
        <f>IFERROR(Fcsts!$AE$21,"NA")</f>
        <v>1331.0060240143332</v>
      </c>
      <c r="E36" s="522" t="str">
        <f t="shared" ca="1" si="0"/>
        <v>=IFERROR(Fcsts!$AE$21,"NA")</v>
      </c>
    </row>
    <row r="37" spans="1:5" x14ac:dyDescent="0.25">
      <c r="A37" s="516" t="s">
        <v>489</v>
      </c>
      <c r="B37" s="528">
        <f>IFERROR(Fcsts!$V$26,"NA")</f>
        <v>2281.5616469015972</v>
      </c>
      <c r="E37" s="522" t="str">
        <f t="shared" ca="1" si="0"/>
        <v>=IFERROR(Fcsts!$V$26,"NA")</v>
      </c>
    </row>
    <row r="38" spans="1:5" x14ac:dyDescent="0.25">
      <c r="A38" s="516" t="s">
        <v>512</v>
      </c>
      <c r="B38" s="528">
        <f>IFERROR(Fcsts!$Y$26,"NA")</f>
        <v>0.15</v>
      </c>
      <c r="E38" s="522" t="str">
        <f t="shared" ca="1" si="0"/>
        <v>=IFERROR(Fcsts!$Y$26,"NA")</v>
      </c>
    </row>
    <row r="39" spans="1:5" x14ac:dyDescent="0.25">
      <c r="A39" s="516" t="s">
        <v>513</v>
      </c>
      <c r="B39" s="528">
        <f>IFERROR(Fcsts!$Y$27,"NA")</f>
        <v>0.08</v>
      </c>
      <c r="E39" s="522" t="str">
        <f t="shared" ca="1" si="0"/>
        <v>=IFERROR(Fcsts!$Y$27,"NA")</v>
      </c>
    </row>
    <row r="40" spans="1:5" x14ac:dyDescent="0.25">
      <c r="A40" s="516" t="s">
        <v>490</v>
      </c>
      <c r="B40" s="528">
        <f>IFERROR(Fcsts!$AB$25,"NA")</f>
        <v>0.125</v>
      </c>
      <c r="E40" s="522" t="str">
        <f t="shared" ca="1" si="0"/>
        <v>=IFERROR(Fcsts!$AB$25,"NA")</v>
      </c>
    </row>
    <row r="41" spans="1:5" x14ac:dyDescent="0.25">
      <c r="A41" s="516" t="s">
        <v>491</v>
      </c>
      <c r="B41" s="528">
        <f>IFERROR(Fcsts!$V$34,"NA")</f>
        <v>6.4379878048257924</v>
      </c>
      <c r="E41" s="522" t="str">
        <f t="shared" ca="1" si="0"/>
        <v>=IFERROR(Fcsts!$V$34,"NA")</v>
      </c>
    </row>
    <row r="42" spans="1:5" x14ac:dyDescent="0.25">
      <c r="A42" s="516" t="s">
        <v>492</v>
      </c>
      <c r="B42" s="528">
        <f>IFERROR(Fcsts!$V$35,"NA")</f>
        <v>11.287829952578591</v>
      </c>
      <c r="E42" s="522" t="str">
        <f t="shared" ca="1" si="0"/>
        <v>=IFERROR(Fcsts!$V$35,"NA")</v>
      </c>
    </row>
    <row r="43" spans="1:5" x14ac:dyDescent="0.25">
      <c r="A43" s="516" t="s">
        <v>493</v>
      </c>
      <c r="B43" s="528">
        <f>IFERROR(Fcsts!$V$36,"NA")</f>
        <v>-0.42965230412998034</v>
      </c>
      <c r="E43" s="522" t="str">
        <f t="shared" ca="1" si="0"/>
        <v>=IFERROR(Fcsts!$V$36,"NA")</v>
      </c>
    </row>
    <row r="44" spans="1:5" x14ac:dyDescent="0.25">
      <c r="A44" s="516" t="s">
        <v>494</v>
      </c>
      <c r="B44" s="528">
        <f>IFERROR(Fcsts!$Y$34,"NA")</f>
        <v>0.91844181901024557</v>
      </c>
      <c r="E44" s="522" t="str">
        <f t="shared" ca="1" si="0"/>
        <v>=IFERROR(Fcsts!$Y$34,"NA")</v>
      </c>
    </row>
    <row r="45" spans="1:5" x14ac:dyDescent="0.25">
      <c r="A45" s="516" t="s">
        <v>495</v>
      </c>
      <c r="B45" s="528">
        <f>IFERROR(Fcsts!$Y$35,"NA")</f>
        <v>1.8459847434611867</v>
      </c>
      <c r="E45" s="522" t="str">
        <f t="shared" ca="1" si="0"/>
        <v>=IFERROR(Fcsts!$Y$35,"NA")</v>
      </c>
    </row>
    <row r="46" spans="1:5" x14ac:dyDescent="0.25">
      <c r="A46" s="516" t="s">
        <v>496</v>
      </c>
      <c r="B46" s="528">
        <f>IFERROR(Fcsts!$Y$36,"NA")</f>
        <v>-0.5024651085207863</v>
      </c>
      <c r="E46" s="522" t="str">
        <f t="shared" ca="1" si="0"/>
        <v>=IFERROR(Fcsts!$Y$36,"NA")</v>
      </c>
    </row>
    <row r="47" spans="1:5" x14ac:dyDescent="0.25">
      <c r="A47" s="516" t="s">
        <v>497</v>
      </c>
      <c r="B47" s="528">
        <f>IFERROR(Fcsts!$AB$34,"NA")</f>
        <v>5.9873807351208495</v>
      </c>
      <c r="E47" s="522" t="str">
        <f t="shared" ca="1" si="0"/>
        <v>=IFERROR(Fcsts!$AB$34,"NA")</v>
      </c>
    </row>
    <row r="48" spans="1:5" x14ac:dyDescent="0.25">
      <c r="A48" s="516" t="s">
        <v>498</v>
      </c>
      <c r="B48" s="528">
        <f>IFERROR(Fcsts!$AB$35,"NA")</f>
        <v>10.844381524236669</v>
      </c>
      <c r="E48" s="522" t="str">
        <f t="shared" ca="1" si="0"/>
        <v>=IFERROR(Fcsts!$AB$35,"NA")</v>
      </c>
    </row>
    <row r="49" spans="1:5" x14ac:dyDescent="0.25">
      <c r="A49" s="516" t="s">
        <v>499</v>
      </c>
      <c r="B49" s="528">
        <f>IFERROR(Fcsts!$AB$36,"NA")</f>
        <v>-0.44788176976811978</v>
      </c>
      <c r="E49" s="522" t="str">
        <f t="shared" ca="1" si="0"/>
        <v>=IFERROR(Fcsts!$AB$36,"NA")</v>
      </c>
    </row>
    <row r="50" spans="1:5" x14ac:dyDescent="0.25">
      <c r="A50" s="516" t="s">
        <v>500</v>
      </c>
      <c r="B50" s="528">
        <f>IFERROR(Fcsts!$AE$34,"NA")</f>
        <v>0.64388149364688185</v>
      </c>
      <c r="E50" s="522" t="str">
        <f t="shared" ca="1" si="0"/>
        <v>=IFERROR(Fcsts!$AE$34,"NA")</v>
      </c>
    </row>
    <row r="51" spans="1:5" x14ac:dyDescent="0.25">
      <c r="A51" s="516" t="s">
        <v>501</v>
      </c>
      <c r="B51" s="528">
        <f>IFERROR(Fcsts!$AE$35,"NA")</f>
        <v>1.1662021979902069</v>
      </c>
      <c r="E51" s="522" t="str">
        <f t="shared" ca="1" si="0"/>
        <v>=IFERROR(Fcsts!$AE$35,"NA")</v>
      </c>
    </row>
    <row r="52" spans="1:5" x14ac:dyDescent="0.25">
      <c r="A52" s="516" t="s">
        <v>502</v>
      </c>
      <c r="B52" s="528">
        <f>IFERROR(Fcsts!$AE$36,"NA")</f>
        <v>-0.44788176976811978</v>
      </c>
      <c r="E52" s="522" t="str">
        <f t="shared" ca="1" si="0"/>
        <v>=IFERROR(Fcsts!$AE$36,"NA")</v>
      </c>
    </row>
    <row r="53" spans="1:5" x14ac:dyDescent="0.25">
      <c r="A53" s="523" t="s">
        <v>503</v>
      </c>
      <c r="B53" s="529">
        <f>IFERROR(Fcsts!$AH$34,"NA")</f>
        <v>7.6075486397268142</v>
      </c>
      <c r="E53" s="522" t="str">
        <f t="shared" ca="1" si="0"/>
        <v>=IFERROR(Fcsts!$AH$34,"NA")</v>
      </c>
    </row>
    <row r="54" spans="1:5" x14ac:dyDescent="0.25">
      <c r="A54" s="523" t="s">
        <v>504</v>
      </c>
      <c r="B54" s="529">
        <f>IFERROR(Fcsts!$AH$35,"NA")</f>
        <v>5.4984434839274741</v>
      </c>
      <c r="E54" s="522" t="str">
        <f t="shared" ca="1" si="0"/>
        <v>=IFERROR(Fcsts!$AH$35,"NA")</v>
      </c>
    </row>
    <row r="55" spans="1:5" x14ac:dyDescent="0.25">
      <c r="A55" s="523" t="s">
        <v>505</v>
      </c>
      <c r="B55" s="529">
        <f>IFERROR(Fcsts!$AH$36,"NA")</f>
        <v>0.38358221957986394</v>
      </c>
      <c r="E55" s="522" t="str">
        <f t="shared" ca="1" si="0"/>
        <v>=IFERROR(Fcsts!$AH$36,"NA")</v>
      </c>
    </row>
    <row r="56" spans="1:5" x14ac:dyDescent="0.25">
      <c r="A56" s="523" t="s">
        <v>522</v>
      </c>
      <c r="B56" s="529">
        <f>IFERROR(Fcsts!$AJ$36,"NA")</f>
        <v>19.450959223755966</v>
      </c>
      <c r="E56" s="522" t="str">
        <f t="shared" ca="1" si="0"/>
        <v>=IFERROR(Fcsts!$AJ$36,"NA")</v>
      </c>
    </row>
    <row r="57" spans="1:5" x14ac:dyDescent="0.25">
      <c r="A57" s="523" t="s">
        <v>523</v>
      </c>
      <c r="B57" s="529">
        <f>IFERROR(Fcsts!$AI$25,"NA")</f>
        <v>0.14265976371092209</v>
      </c>
      <c r="E57" s="522" t="str">
        <f t="shared" ca="1" si="0"/>
        <v>=IFERROR(Fcsts!$AI$25,"NA")</v>
      </c>
    </row>
    <row r="58" spans="1:5" x14ac:dyDescent="0.25">
      <c r="A58" s="523" t="s">
        <v>524</v>
      </c>
      <c r="B58" s="529">
        <f>IFERROR(Fcsts!$AI$26,"NA")</f>
        <v>0.55000000000000004</v>
      </c>
      <c r="E58" s="522" t="str">
        <f t="shared" ca="1" si="0"/>
        <v>=IFERROR(Fcsts!$AI$26,"NA")</v>
      </c>
    </row>
    <row r="59" spans="1:5" x14ac:dyDescent="0.25">
      <c r="A59" s="523" t="s">
        <v>525</v>
      </c>
      <c r="B59" s="529">
        <f>IFERROR(Fcsts!$AI$27,"NA")</f>
        <v>0.06</v>
      </c>
      <c r="E59" s="522" t="str">
        <f t="shared" ca="1" si="0"/>
        <v>=IFERROR(Fcsts!$AI$27,"NA")</v>
      </c>
    </row>
    <row r="60" spans="1:5" x14ac:dyDescent="0.25">
      <c r="A60" s="523" t="s">
        <v>526</v>
      </c>
      <c r="B60" s="529">
        <f>IFERROR(Fcsts!$AI$28,"NA")</f>
        <v>0.15</v>
      </c>
      <c r="E60" s="522" t="str">
        <f t="shared" ca="1" si="0"/>
        <v>=IFERROR(Fcsts!$AI$28,"NA")</v>
      </c>
    </row>
    <row r="61" spans="1:5" x14ac:dyDescent="0.25">
      <c r="A61" s="523" t="s">
        <v>527</v>
      </c>
      <c r="B61" s="529">
        <f>IFERROR(Fcsts!$AI$29,"NA")</f>
        <v>0.54</v>
      </c>
      <c r="E61" s="522" t="str">
        <f t="shared" ca="1" si="0"/>
        <v>=IFERROR(Fcsts!$AI$29,"NA")</v>
      </c>
    </row>
    <row r="62" spans="1:5" x14ac:dyDescent="0.25">
      <c r="A62" s="523" t="s">
        <v>531</v>
      </c>
      <c r="B62" s="529">
        <f>IFERROR(Fcsts!$AI$30,"NA")</f>
        <v>6.36</v>
      </c>
      <c r="E62" s="522" t="str">
        <f t="shared" ca="1" si="0"/>
        <v>=IFERROR(Fcsts!$AI$30,"NA")</v>
      </c>
    </row>
    <row r="63" spans="1:5" x14ac:dyDescent="0.25">
      <c r="A63" s="516" t="s">
        <v>506</v>
      </c>
      <c r="B63" s="528">
        <f>IFERROR(Fcsts!$V$42,"NA")</f>
        <v>0.16202688174350643</v>
      </c>
      <c r="E63" s="522" t="str">
        <f t="shared" ca="1" si="0"/>
        <v>=IFERROR(Fcsts!$V$42,"NA")</v>
      </c>
    </row>
    <row r="64" spans="1:5" x14ac:dyDescent="0.25">
      <c r="A64" s="516" t="s">
        <v>507</v>
      </c>
      <c r="B64" s="528">
        <f ca="1">IFERROR(Fcsts!$V$43,"NA")</f>
        <v>0.74506632687093743</v>
      </c>
      <c r="E64" s="522" t="str">
        <f t="shared" ca="1" si="0"/>
        <v>=IFERROR(Fcsts!$V$43,"NA")</v>
      </c>
    </row>
    <row r="65" spans="1:5" x14ac:dyDescent="0.25">
      <c r="A65" s="516" t="s">
        <v>508</v>
      </c>
      <c r="B65" s="528">
        <f ca="1">IFERROR(Fcsts!$V$44,"NA")</f>
        <v>0.583039445127431</v>
      </c>
      <c r="E65" s="522" t="str">
        <f t="shared" ca="1" si="0"/>
        <v>=IFERROR(Fcsts!$V$44,"NA")</v>
      </c>
    </row>
    <row r="66" spans="1:5" x14ac:dyDescent="0.25">
      <c r="A66" s="516" t="s">
        <v>509</v>
      </c>
      <c r="B66" s="528">
        <f>IFERROR(Fcsts!$Y$42,"NA")</f>
        <v>-3.7724707854048898</v>
      </c>
      <c r="E66" s="522" t="str">
        <f t="shared" ca="1" si="0"/>
        <v>=IFERROR(Fcsts!$Y$42,"NA")</v>
      </c>
    </row>
    <row r="67" spans="1:5" x14ac:dyDescent="0.25">
      <c r="A67" s="516" t="s">
        <v>510</v>
      </c>
      <c r="B67" s="528">
        <f>IFERROR(Fcsts!$Y$43,"NA")</f>
        <v>0.14265976371092209</v>
      </c>
      <c r="E67" s="522" t="str">
        <f t="shared" ref="E67:E130" ca="1" si="1">_xlfn.FORMULATEXT(B67)</f>
        <v>=IFERROR(Fcsts!$Y$43,"NA")</v>
      </c>
    </row>
    <row r="68" spans="1:5" x14ac:dyDescent="0.25">
      <c r="A68" s="516" t="s">
        <v>511</v>
      </c>
      <c r="B68" s="528">
        <f>IFERROR(Fcsts!$Y$44,"NA")</f>
        <v>3.9151305491158119</v>
      </c>
      <c r="E68" s="522" t="str">
        <f t="shared" ca="1" si="1"/>
        <v>=IFERROR(Fcsts!$Y$44,"NA")</v>
      </c>
    </row>
    <row r="69" spans="1:5" x14ac:dyDescent="0.25">
      <c r="A69" s="523" t="s">
        <v>532</v>
      </c>
      <c r="B69" s="529">
        <f>IFERROR(Fcsts!$V$61,"NA")</f>
        <v>0.15</v>
      </c>
      <c r="E69" s="522" t="str">
        <f t="shared" ca="1" si="1"/>
        <v>=IFERROR(Fcsts!$V$61,"NA")</v>
      </c>
    </row>
    <row r="70" spans="1:5" x14ac:dyDescent="0.25">
      <c r="A70" s="523" t="s">
        <v>533</v>
      </c>
      <c r="B70" s="529">
        <f>IFERROR(Fcsts!$V$62,"NA")</f>
        <v>0.2</v>
      </c>
      <c r="E70" s="522" t="str">
        <f t="shared" ca="1" si="1"/>
        <v>=IFERROR(Fcsts!$V$62,"NA")</v>
      </c>
    </row>
    <row r="71" spans="1:5" x14ac:dyDescent="0.25">
      <c r="A71" s="523" t="s">
        <v>534</v>
      </c>
      <c r="B71" s="529">
        <f>IFERROR(Fcsts!$V$63,"NA")</f>
        <v>0.06</v>
      </c>
      <c r="E71" s="522" t="str">
        <f t="shared" ca="1" si="1"/>
        <v>=IFERROR(Fcsts!$V$63,"NA")</v>
      </c>
    </row>
    <row r="72" spans="1:5" x14ac:dyDescent="0.25">
      <c r="A72" s="523" t="s">
        <v>535</v>
      </c>
      <c r="B72" s="529">
        <f>IFERROR(Fcsts!$V$64,"NA")</f>
        <v>12</v>
      </c>
      <c r="E72" s="522" t="str">
        <f t="shared" ca="1" si="1"/>
        <v>=IFERROR(Fcsts!$V$64,"NA")</v>
      </c>
    </row>
    <row r="73" spans="1:5" x14ac:dyDescent="0.25">
      <c r="A73" s="523" t="s">
        <v>536</v>
      </c>
      <c r="B73" s="529">
        <f>IFERROR(Fcsts!$V$65,"NA")</f>
        <v>0.15</v>
      </c>
      <c r="E73" s="522" t="str">
        <f t="shared" ca="1" si="1"/>
        <v>=IFERROR(Fcsts!$V$65,"NA")</v>
      </c>
    </row>
    <row r="74" spans="1:5" x14ac:dyDescent="0.25">
      <c r="A74" s="523" t="s">
        <v>537</v>
      </c>
      <c r="B74" s="529">
        <f>IFERROR(Fcsts!$V$69,"NA")</f>
        <v>16</v>
      </c>
      <c r="E74" s="522" t="str">
        <f t="shared" ca="1" si="1"/>
        <v>=IFERROR(Fcsts!$V$69,"NA")</v>
      </c>
    </row>
    <row r="75" spans="1:5" x14ac:dyDescent="0.25">
      <c r="A75" s="523" t="s">
        <v>538</v>
      </c>
      <c r="B75" s="529">
        <f>IFERROR(Fcsts!$V$68,"NA")</f>
        <v>6.6666666666666661</v>
      </c>
      <c r="E75" s="522" t="str">
        <f t="shared" ca="1" si="1"/>
        <v>=IFERROR(Fcsts!$V$68,"NA")</v>
      </c>
    </row>
    <row r="76" spans="1:5" x14ac:dyDescent="0.25">
      <c r="A76" s="523" t="s">
        <v>539</v>
      </c>
      <c r="B76" s="529">
        <f ca="1">IFERROR(Fcsts!$Z$65,"NA")</f>
        <v>1.2690205800040524</v>
      </c>
      <c r="E76" s="522" t="str">
        <f t="shared" ca="1" si="1"/>
        <v>=IFERROR(Fcsts!$Z$65,"NA")</v>
      </c>
    </row>
    <row r="77" spans="1:5" x14ac:dyDescent="0.25">
      <c r="A77" s="523" t="s">
        <v>545</v>
      </c>
      <c r="B77" s="529">
        <f ca="1">IFERROR(Fcsts!$W$69,"NA")</f>
        <v>20.304329280064838</v>
      </c>
      <c r="E77" s="522" t="str">
        <f t="shared" ca="1" si="1"/>
        <v>=IFERROR(Fcsts!$W$69,"NA")</v>
      </c>
    </row>
    <row r="78" spans="1:5" x14ac:dyDescent="0.25">
      <c r="A78" s="523" t="s">
        <v>546</v>
      </c>
      <c r="B78" s="529">
        <f ca="1">IFERROR(Fcsts!$W$68,"NA")</f>
        <v>8.460137200027015</v>
      </c>
      <c r="E78" s="522" t="str">
        <f t="shared" ca="1" si="1"/>
        <v>=IFERROR(Fcsts!$W$68,"NA")</v>
      </c>
    </row>
    <row r="79" spans="1:5" x14ac:dyDescent="0.25">
      <c r="A79" s="523" t="s">
        <v>540</v>
      </c>
      <c r="B79" s="529">
        <f ca="1">IFERROR(Fcsts!$X$69,"NA")</f>
        <v>0.42386600841969413</v>
      </c>
      <c r="E79" s="522" t="str">
        <f t="shared" ca="1" si="1"/>
        <v>=IFERROR(Fcsts!$X$69,"NA")</v>
      </c>
    </row>
    <row r="80" spans="1:5" x14ac:dyDescent="0.25">
      <c r="A80" s="523" t="s">
        <v>541</v>
      </c>
      <c r="B80" s="529">
        <f ca="1">IFERROR(Fcsts!$X$68,"NA")</f>
        <v>-0.40672249649179415</v>
      </c>
      <c r="E80" s="522" t="str">
        <f t="shared" ca="1" si="1"/>
        <v>=IFERROR(Fcsts!$X$68,"NA")</v>
      </c>
    </row>
    <row r="81" spans="1:5" x14ac:dyDescent="0.25">
      <c r="A81" s="523" t="s">
        <v>750</v>
      </c>
      <c r="B81" s="530">
        <f>IFERROR(Fcsts!$Z$61,"NA")</f>
        <v>45199</v>
      </c>
      <c r="E81" s="522" t="str">
        <f t="shared" ca="1" si="1"/>
        <v>=IFERROR(Fcsts!$Z$61,"NA")</v>
      </c>
    </row>
    <row r="82" spans="1:5" x14ac:dyDescent="0.25">
      <c r="A82" s="531" t="s">
        <v>514</v>
      </c>
      <c r="B82" s="532">
        <f>IFERROR(DCF!$G$7,"NA")</f>
        <v>7.6999999999999999E-2</v>
      </c>
      <c r="E82" s="522" t="str">
        <f t="shared" ca="1" si="1"/>
        <v>=IFERROR(DCF!$G$7,"NA")</v>
      </c>
    </row>
    <row r="83" spans="1:5" x14ac:dyDescent="0.25">
      <c r="A83" s="523" t="s">
        <v>515</v>
      </c>
      <c r="B83" s="529">
        <f>IFERROR(DCF!$G$8,"NA")</f>
        <v>0.06</v>
      </c>
      <c r="E83" s="522" t="str">
        <f t="shared" ca="1" si="1"/>
        <v>=IFERROR(DCF!$G$8,"NA")</v>
      </c>
    </row>
    <row r="84" spans="1:5" x14ac:dyDescent="0.25">
      <c r="A84" s="523" t="s">
        <v>516</v>
      </c>
      <c r="B84" s="529">
        <f>IFERROR(DCF!$G$9,"NA")</f>
        <v>12</v>
      </c>
      <c r="E84" s="522" t="str">
        <f t="shared" ca="1" si="1"/>
        <v>=IFERROR(DCF!$G$9,"NA")</v>
      </c>
    </row>
    <row r="85" spans="1:5" x14ac:dyDescent="0.25">
      <c r="A85" s="523" t="s">
        <v>519</v>
      </c>
      <c r="B85" s="529">
        <f>IFERROR(DCF!$K$7,"NA")</f>
        <v>13.544062470073712</v>
      </c>
      <c r="E85" s="522" t="str">
        <f t="shared" ca="1" si="1"/>
        <v>=IFERROR(DCF!$K$7,"NA")</v>
      </c>
    </row>
    <row r="86" spans="1:5" x14ac:dyDescent="0.25">
      <c r="A86" s="523" t="s">
        <v>518</v>
      </c>
      <c r="B86" s="529">
        <f>IFERROR(DCF!$K$8,"NA")</f>
        <v>0.13383309123164119</v>
      </c>
      <c r="E86" s="522" t="str">
        <f t="shared" ca="1" si="1"/>
        <v>=IFERROR(DCF!$K$8,"NA")</v>
      </c>
    </row>
    <row r="87" spans="1:5" x14ac:dyDescent="0.25">
      <c r="A87" s="523" t="s">
        <v>517</v>
      </c>
      <c r="B87" s="529">
        <f>IFERROR(DCF!$K$9,"NA")</f>
        <v>0.27</v>
      </c>
      <c r="E87" s="522" t="str">
        <f t="shared" ca="1" si="1"/>
        <v>=IFERROR(DCF!$K$9,"NA")</v>
      </c>
    </row>
    <row r="88" spans="1:5" x14ac:dyDescent="0.25">
      <c r="A88" s="523" t="s">
        <v>1777</v>
      </c>
      <c r="B88" s="529">
        <f>IFERROR(DCF!K13,"NA")</f>
        <v>1338</v>
      </c>
      <c r="E88" s="522" t="str">
        <f t="shared" ca="1" si="1"/>
        <v>=IFERROR(DCF!K13,"NA")</v>
      </c>
    </row>
    <row r="89" spans="1:5" x14ac:dyDescent="0.25">
      <c r="A89" s="523" t="s">
        <v>1773</v>
      </c>
      <c r="B89" s="529">
        <f ca="1">IFERROR(DCF!D12,"NA")</f>
        <v>2.8738772895247053</v>
      </c>
      <c r="E89" s="522" t="str">
        <f t="shared" ca="1" si="1"/>
        <v>=IFERROR(DCF!D12,"NA")</v>
      </c>
    </row>
    <row r="90" spans="1:5" x14ac:dyDescent="0.25">
      <c r="A90" s="523" t="s">
        <v>1774</v>
      </c>
      <c r="B90" s="529">
        <f ca="1">IFERROR(DCF!D13,"NA")</f>
        <v>12.137072478189816</v>
      </c>
      <c r="E90" s="522" t="str">
        <f t="shared" ca="1" si="1"/>
        <v>=IFERROR(DCF!D13,"NA")</v>
      </c>
    </row>
    <row r="91" spans="1:5" x14ac:dyDescent="0.25">
      <c r="A91" s="523" t="s">
        <v>1775</v>
      </c>
      <c r="B91" s="529">
        <f ca="1">IFERROR(DCF!D14,"NA")</f>
        <v>9.5031444169722015</v>
      </c>
      <c r="E91" s="522" t="str">
        <f t="shared" ca="1" si="1"/>
        <v>=IFERROR(DCF!D14,"NA")</v>
      </c>
    </row>
    <row r="92" spans="1:5" x14ac:dyDescent="0.25">
      <c r="A92" s="523" t="s">
        <v>1776</v>
      </c>
      <c r="B92" s="529">
        <f ca="1">IFERROR(DCF!D15,"NA")</f>
        <v>24.514094184686723</v>
      </c>
      <c r="E92" s="522" t="str">
        <f t="shared" ca="1" si="1"/>
        <v>=IFERROR(DCF!D15,"NA")</v>
      </c>
    </row>
    <row r="93" spans="1:5" x14ac:dyDescent="0.25">
      <c r="A93" s="523" t="s">
        <v>520</v>
      </c>
      <c r="B93" s="529">
        <f ca="1">IFERROR(DCF!$K$14,"NA")</f>
        <v>20.204677144327977</v>
      </c>
      <c r="E93" s="522" t="str">
        <f t="shared" ca="1" si="1"/>
        <v>=IFERROR(DCF!$K$14,"NA")</v>
      </c>
    </row>
    <row r="94" spans="1:5" x14ac:dyDescent="0.25">
      <c r="A94" s="516" t="s">
        <v>658</v>
      </c>
      <c r="B94" s="528">
        <f>IFERROR('WACC &amp; EV'!$D$6,"NA")</f>
        <v>0.09</v>
      </c>
      <c r="E94" s="522" t="str">
        <f t="shared" ca="1" si="1"/>
        <v>=IFERROR('WACC &amp; EV'!$D$6,"NA")</v>
      </c>
    </row>
    <row r="95" spans="1:5" x14ac:dyDescent="0.25">
      <c r="A95" s="516" t="s">
        <v>643</v>
      </c>
      <c r="B95" s="528">
        <f>IFERROR('WACC &amp; EV'!$E$7,"NA")</f>
        <v>0.28000000000000003</v>
      </c>
      <c r="E95" s="522" t="str">
        <f t="shared" ca="1" si="1"/>
        <v>=IFERROR('WACC &amp; EV'!$E$7,"NA")</v>
      </c>
    </row>
    <row r="96" spans="1:5" x14ac:dyDescent="0.25">
      <c r="A96" s="516" t="s">
        <v>644</v>
      </c>
      <c r="B96" s="528">
        <f>IFERROR('WACC &amp; EV'!$G$5,"NA")</f>
        <v>0.95</v>
      </c>
      <c r="E96" s="522" t="str">
        <f t="shared" ca="1" si="1"/>
        <v>=IFERROR('WACC &amp; EV'!$G$5,"NA")</v>
      </c>
    </row>
    <row r="97" spans="1:5" x14ac:dyDescent="0.25">
      <c r="A97" s="516" t="s">
        <v>645</v>
      </c>
      <c r="B97" s="528">
        <f>IFERROR('WACC &amp; EV'!$G$6,"NA")</f>
        <v>5.0000000000000044E-2</v>
      </c>
      <c r="E97" s="522" t="str">
        <f t="shared" ca="1" si="1"/>
        <v>=IFERROR('WACC &amp; EV'!$G$6,"NA")</v>
      </c>
    </row>
    <row r="98" spans="1:5" x14ac:dyDescent="0.25">
      <c r="A98" s="516" t="s">
        <v>649</v>
      </c>
      <c r="B98" s="528">
        <f>IFERROR('WACC &amp; EV'!$C$13,"NA")</f>
        <v>0.122</v>
      </c>
      <c r="E98" s="522" t="str">
        <f t="shared" ca="1" si="1"/>
        <v>=IFERROR('WACC &amp; EV'!$C$13,"NA")</v>
      </c>
    </row>
    <row r="99" spans="1:5" x14ac:dyDescent="0.25">
      <c r="A99" s="516" t="s">
        <v>646</v>
      </c>
      <c r="B99" s="528">
        <f>IFERROR('WACC &amp; EV'!$E$13,"NA")</f>
        <v>0.17</v>
      </c>
      <c r="E99" s="522" t="str">
        <f t="shared" ca="1" si="1"/>
        <v>=IFERROR('WACC &amp; EV'!$E$13,"NA")</v>
      </c>
    </row>
    <row r="100" spans="1:5" x14ac:dyDescent="0.25">
      <c r="A100" s="516" t="s">
        <v>650</v>
      </c>
      <c r="B100" s="528">
        <f>IFERROR('WACC &amp; EV'!$C$14,"NA")</f>
        <v>0.11</v>
      </c>
      <c r="E100" s="522" t="str">
        <f t="shared" ca="1" si="1"/>
        <v>=IFERROR('WACC &amp; EV'!$C$14,"NA")</v>
      </c>
    </row>
    <row r="101" spans="1:5" x14ac:dyDescent="0.25">
      <c r="A101" s="516" t="s">
        <v>651</v>
      </c>
      <c r="B101" s="528">
        <f>IFERROR('WACC &amp; EV'!$C$15,"NA")</f>
        <v>0.06</v>
      </c>
      <c r="E101" s="522" t="str">
        <f t="shared" ca="1" si="1"/>
        <v>=IFERROR('WACC &amp; EV'!$C$15,"NA")</v>
      </c>
    </row>
    <row r="102" spans="1:5" x14ac:dyDescent="0.25">
      <c r="A102" s="516" t="s">
        <v>652</v>
      </c>
      <c r="B102" s="528">
        <f>IFERROR('WACC &amp; EV'!$C$16,"NA")</f>
        <v>3</v>
      </c>
      <c r="E102" s="522" t="str">
        <f t="shared" ca="1" si="1"/>
        <v>=IFERROR('WACC &amp; EV'!$C$16,"NA")</v>
      </c>
    </row>
    <row r="103" spans="1:5" x14ac:dyDescent="0.25">
      <c r="A103" s="516" t="s">
        <v>647</v>
      </c>
      <c r="B103" s="528">
        <f>IFERROR('WACC &amp; EV'!$C$17,"NA")</f>
        <v>0.14573999999999998</v>
      </c>
      <c r="E103" s="522" t="str">
        <f t="shared" ca="1" si="1"/>
        <v>=IFERROR('WACC &amp; EV'!$C$17,"NA")</v>
      </c>
    </row>
    <row r="104" spans="1:5" x14ac:dyDescent="0.25">
      <c r="A104" s="516" t="s">
        <v>648</v>
      </c>
      <c r="B104" s="528">
        <f>IFERROR('WACC &amp; EV'!$E$17,"NA")</f>
        <v>0.11</v>
      </c>
      <c r="E104" s="522" t="str">
        <f t="shared" ca="1" si="1"/>
        <v>=IFERROR('WACC &amp; EV'!$E$17,"NA")</v>
      </c>
    </row>
    <row r="105" spans="1:5" x14ac:dyDescent="0.25">
      <c r="A105" s="516" t="s">
        <v>653</v>
      </c>
      <c r="B105" s="528">
        <f>IFERROR('WACC &amp; EV'!$C$18,"NA")</f>
        <v>0.29578952530002139</v>
      </c>
      <c r="E105" s="522" t="str">
        <f t="shared" ca="1" si="1"/>
        <v>=IFERROR('WACC &amp; EV'!$C$18,"NA")</v>
      </c>
    </row>
    <row r="106" spans="1:5" x14ac:dyDescent="0.25">
      <c r="A106" s="516" t="s">
        <v>654</v>
      </c>
      <c r="B106" s="528">
        <f>IFERROR('WACC &amp; EV'!$C$20,"NA")</f>
        <v>4499.8416447109967</v>
      </c>
      <c r="E106" s="522" t="str">
        <f t="shared" ca="1" si="1"/>
        <v>=IFERROR('WACC &amp; EV'!$C$20,"NA")</v>
      </c>
    </row>
    <row r="107" spans="1:5" x14ac:dyDescent="0.25">
      <c r="A107" s="516" t="s">
        <v>655</v>
      </c>
      <c r="B107" s="528">
        <f>IFERROR('WACC &amp; EV'!$C$21,"NA")</f>
        <v>1338</v>
      </c>
      <c r="E107" s="522" t="str">
        <f t="shared" ca="1" si="1"/>
        <v>=IFERROR('WACC &amp; EV'!$C$21,"NA")</v>
      </c>
    </row>
    <row r="108" spans="1:5" x14ac:dyDescent="0.25">
      <c r="A108" s="516" t="s">
        <v>656</v>
      </c>
      <c r="B108" s="528">
        <f>IFERROR('WACC &amp; EV'!$C$22,"NA")</f>
        <v>14.26</v>
      </c>
      <c r="E108" s="522" t="str">
        <f t="shared" ca="1" si="1"/>
        <v>=IFERROR('WACC &amp; EV'!$C$22,"NA")</v>
      </c>
    </row>
    <row r="109" spans="1:5" x14ac:dyDescent="0.25">
      <c r="A109" s="516" t="s">
        <v>659</v>
      </c>
      <c r="B109" s="528">
        <f>IFERROR('WACC &amp; EV'!$C$25,"NA")</f>
        <v>11.689970159846638</v>
      </c>
      <c r="E109" s="522" t="str">
        <f t="shared" ca="1" si="1"/>
        <v>=IFERROR('WACC &amp; EV'!$C$25,"NA")</v>
      </c>
    </row>
    <row r="110" spans="1:5" x14ac:dyDescent="0.25">
      <c r="A110" s="516" t="s">
        <v>753</v>
      </c>
      <c r="B110" s="528">
        <f>IFERROR('WACC &amp; EV'!$D$25,"NA")</f>
        <v>36.055567302471424</v>
      </c>
      <c r="E110" s="522" t="str">
        <f t="shared" ca="1" si="1"/>
        <v>=IFERROR('WACC &amp; EV'!$D$25,"NA")</v>
      </c>
    </row>
    <row r="111" spans="1:5" x14ac:dyDescent="0.25">
      <c r="A111" s="516" t="s">
        <v>660</v>
      </c>
      <c r="B111" s="528">
        <f>IFERROR('WACC &amp; EV'!$F$25,"NA")</f>
        <v>52603.014550706765</v>
      </c>
      <c r="E111" s="522" t="str">
        <f t="shared" ca="1" si="1"/>
        <v>=IFERROR('WACC &amp; EV'!$F$25,"NA")</v>
      </c>
    </row>
    <row r="112" spans="1:5" x14ac:dyDescent="0.25">
      <c r="A112" s="516" t="s">
        <v>661</v>
      </c>
      <c r="B112" s="528">
        <f>IFERROR('WACC &amp; EV'!$G$25,"NA")</f>
        <v>6475.6655000000001</v>
      </c>
      <c r="E112" s="522" t="str">
        <f t="shared" ca="1" si="1"/>
        <v>=IFERROR('WACC &amp; EV'!$G$25,"NA")</v>
      </c>
    </row>
    <row r="113" spans="1:5" x14ac:dyDescent="0.25">
      <c r="A113" s="516" t="s">
        <v>662</v>
      </c>
      <c r="B113" s="528">
        <f>IFERROR('WACC &amp; EV'!$H$25,"NA")</f>
        <v>2169</v>
      </c>
      <c r="E113" s="522" t="str">
        <f t="shared" ca="1" si="1"/>
        <v>=IFERROR('WACC &amp; EV'!$H$25,"NA")</v>
      </c>
    </row>
    <row r="114" spans="1:5" x14ac:dyDescent="0.25">
      <c r="A114" s="516" t="s">
        <v>663</v>
      </c>
      <c r="B114" s="528">
        <f>IFERROR('WACC &amp; EV'!$I$25,"NA")</f>
        <v>54</v>
      </c>
      <c r="E114" s="522" t="str">
        <f t="shared" ca="1" si="1"/>
        <v>=IFERROR('WACC &amp; EV'!$I$25,"NA")</v>
      </c>
    </row>
    <row r="115" spans="1:5" x14ac:dyDescent="0.25">
      <c r="A115" s="516" t="s">
        <v>664</v>
      </c>
      <c r="B115" s="528">
        <f>IFERROR('WACC &amp; EV'!$J$25,"NA")</f>
        <v>48242.349050706762</v>
      </c>
      <c r="E115" s="522" t="str">
        <f t="shared" ca="1" si="1"/>
        <v>=IFERROR('WACC &amp; EV'!$J$25,"NA")</v>
      </c>
    </row>
    <row r="116" spans="1:5" x14ac:dyDescent="0.25">
      <c r="A116" s="516" t="s">
        <v>665</v>
      </c>
      <c r="B116" s="528">
        <f>IFERROR('WACC &amp; EV'!$C$26,"NA")</f>
        <v>12.133489703044665</v>
      </c>
      <c r="E116" s="522" t="str">
        <f t="shared" ca="1" si="1"/>
        <v>=IFERROR('WACC &amp; EV'!$C$26,"NA")</v>
      </c>
    </row>
    <row r="117" spans="1:5" x14ac:dyDescent="0.25">
      <c r="A117" s="516" t="s">
        <v>754</v>
      </c>
      <c r="B117" s="528">
        <f>IFERROR('WACC &amp; EV'!$D$26,"NA")</f>
        <v>37.547172467438301</v>
      </c>
      <c r="E117" s="522" t="str">
        <f t="shared" ca="1" si="1"/>
        <v>=IFERROR('WACC &amp; EV'!$D$26,"NA")</v>
      </c>
    </row>
    <row r="118" spans="1:5" x14ac:dyDescent="0.25">
      <c r="A118" s="516" t="s">
        <v>666</v>
      </c>
      <c r="B118" s="528">
        <f>IFERROR('WACC &amp; EV'!$F$26,"NA")</f>
        <v>54598.782261432447</v>
      </c>
      <c r="E118" s="522" t="str">
        <f t="shared" ca="1" si="1"/>
        <v>=IFERROR('WACC &amp; EV'!$F$26,"NA")</v>
      </c>
    </row>
    <row r="119" spans="1:5" x14ac:dyDescent="0.25">
      <c r="A119" s="516" t="s">
        <v>667</v>
      </c>
      <c r="B119" s="528">
        <f>IFERROR('WACC &amp; EV'!$G$26,"NA")</f>
        <v>6475.6655000000001</v>
      </c>
      <c r="E119" s="522" t="str">
        <f t="shared" ca="1" si="1"/>
        <v>=IFERROR('WACC &amp; EV'!$G$26,"NA")</v>
      </c>
    </row>
    <row r="120" spans="1:5" x14ac:dyDescent="0.25">
      <c r="A120" s="516" t="s">
        <v>668</v>
      </c>
      <c r="B120" s="528">
        <f>IFERROR('WACC &amp; EV'!$H$26,"NA")</f>
        <v>2169</v>
      </c>
      <c r="E120" s="522" t="str">
        <f t="shared" ca="1" si="1"/>
        <v>=IFERROR('WACC &amp; EV'!$H$26,"NA")</v>
      </c>
    </row>
    <row r="121" spans="1:5" x14ac:dyDescent="0.25">
      <c r="A121" s="516" t="s">
        <v>669</v>
      </c>
      <c r="B121" s="528">
        <f>IFERROR('WACC &amp; EV'!$I$26,"NA")</f>
        <v>54</v>
      </c>
      <c r="E121" s="522" t="str">
        <f t="shared" ca="1" si="1"/>
        <v>=IFERROR('WACC &amp; EV'!$I$26,"NA")</v>
      </c>
    </row>
    <row r="122" spans="1:5" x14ac:dyDescent="0.25">
      <c r="A122" s="516" t="s">
        <v>670</v>
      </c>
      <c r="B122" s="528">
        <f>IFERROR('WACC &amp; EV'!$J$26,"NA")</f>
        <v>50238.116761432444</v>
      </c>
      <c r="E122" s="522" t="str">
        <f t="shared" ca="1" si="1"/>
        <v>=IFERROR('WACC &amp; EV'!$J$26,"NA")</v>
      </c>
    </row>
    <row r="123" spans="1:5" x14ac:dyDescent="0.25">
      <c r="A123" s="551" t="s">
        <v>1747</v>
      </c>
      <c r="B123" s="552">
        <f>IFERROR(NAV!M7,"NA")</f>
        <v>80.289340384408604</v>
      </c>
      <c r="E123" s="522" t="str">
        <f t="shared" ca="1" si="1"/>
        <v>=IFERROR(NAV!M7,"NA")</v>
      </c>
    </row>
    <row r="124" spans="1:5" x14ac:dyDescent="0.25">
      <c r="A124" s="551" t="s">
        <v>1748</v>
      </c>
      <c r="B124" s="552">
        <f>IFERROR(NAV!M19,"NA")</f>
        <v>16.709598612313858</v>
      </c>
      <c r="E124" s="522" t="str">
        <f t="shared" ca="1" si="1"/>
        <v>=IFERROR(NAV!M19,"NA")</v>
      </c>
    </row>
    <row r="125" spans="1:5" x14ac:dyDescent="0.25">
      <c r="A125" s="551" t="s">
        <v>1749</v>
      </c>
      <c r="B125" s="552">
        <f>IFERROR(NAV!M31,"NA")</f>
        <v>96.998938996722458</v>
      </c>
      <c r="E125" s="522" t="str">
        <f t="shared" ca="1" si="1"/>
        <v>=IFERROR(NAV!M31,"NA")</v>
      </c>
    </row>
    <row r="126" spans="1:5" x14ac:dyDescent="0.25">
      <c r="A126" s="551" t="s">
        <v>1750</v>
      </c>
      <c r="B126" s="552">
        <f>IFERROR(NAV!M33,"NA")</f>
        <v>96.998938996722458</v>
      </c>
      <c r="E126" s="522" t="str">
        <f t="shared" ca="1" si="1"/>
        <v>=IFERROR(NAV!M33,"NA")</v>
      </c>
    </row>
    <row r="127" spans="1:5" x14ac:dyDescent="0.25">
      <c r="A127" s="551" t="s">
        <v>1751</v>
      </c>
      <c r="B127" s="552">
        <f>IFERROR(NAV!M34,"NA")</f>
        <v>0.51243308633855544</v>
      </c>
      <c r="E127" s="522" t="str">
        <f t="shared" ca="1" si="1"/>
        <v>=IFERROR(NAV!M34,"NA")</v>
      </c>
    </row>
    <row r="128" spans="1:5" x14ac:dyDescent="0.25">
      <c r="A128" s="551" t="s">
        <v>1745</v>
      </c>
      <c r="B128" s="552">
        <f>IFERROR(NAV!L35,"NA")</f>
        <v>0.1</v>
      </c>
      <c r="E128" s="522" t="str">
        <f t="shared" ca="1" si="1"/>
        <v>=IFERROR(NAV!L35,"NA")</v>
      </c>
    </row>
    <row r="129" spans="1:5" x14ac:dyDescent="0.25">
      <c r="A129" s="551" t="s">
        <v>1746</v>
      </c>
      <c r="B129" s="552">
        <f>IFERROR(NAV!M36,"NA")</f>
        <v>86.837855319345508</v>
      </c>
      <c r="E129" s="522" t="str">
        <f t="shared" ca="1" si="1"/>
        <v>=IFERROR(NAV!M36,"NA")</v>
      </c>
    </row>
    <row r="130" spans="1:5" x14ac:dyDescent="0.25">
      <c r="A130" s="523" t="s">
        <v>1661</v>
      </c>
      <c r="B130" s="529">
        <f>IFERROR(Fcsts!$M$6,"NA")</f>
        <v>5.8263856727376995E-2</v>
      </c>
      <c r="E130" s="522" t="str">
        <f t="shared" ca="1" si="1"/>
        <v>=IFERROR(Fcsts!$M$6,"NA")</v>
      </c>
    </row>
    <row r="131" spans="1:5" x14ac:dyDescent="0.25">
      <c r="A131" s="523" t="s">
        <v>1697</v>
      </c>
      <c r="B131" s="529">
        <f>IFERROR(Fcsts!$N$6,"NA")</f>
        <v>6.2680951096731219E-2</v>
      </c>
      <c r="E131" s="522" t="str">
        <f t="shared" ref="E131:E194" ca="1" si="2">_xlfn.FORMULATEXT(B131)</f>
        <v>=IFERROR(Fcsts!$N$6,"NA")</v>
      </c>
    </row>
    <row r="132" spans="1:5" x14ac:dyDescent="0.25">
      <c r="A132" s="523" t="s">
        <v>1679</v>
      </c>
      <c r="B132" s="529">
        <f>IFERROR(Fcsts!$O$6,"NA")</f>
        <v>0.11912137178776128</v>
      </c>
      <c r="E132" s="522" t="str">
        <f t="shared" ca="1" si="2"/>
        <v>=IFERROR(Fcsts!$O$6,"NA")</v>
      </c>
    </row>
    <row r="133" spans="1:5" x14ac:dyDescent="0.25">
      <c r="A133" s="523" t="s">
        <v>1662</v>
      </c>
      <c r="B133" s="529">
        <f>IFERROR(Fcsts!$M$8,"NA")</f>
        <v>0.49799999999999994</v>
      </c>
      <c r="E133" s="522" t="str">
        <f t="shared" ca="1" si="2"/>
        <v>=IFERROR(Fcsts!$M$8,"NA")</v>
      </c>
    </row>
    <row r="134" spans="1:5" x14ac:dyDescent="0.25">
      <c r="A134" s="523" t="s">
        <v>1698</v>
      </c>
      <c r="B134" s="529">
        <f>IFERROR(Fcsts!$N$8,"NA")</f>
        <v>0.498</v>
      </c>
      <c r="E134" s="522" t="str">
        <f t="shared" ca="1" si="2"/>
        <v>=IFERROR(Fcsts!$N$8,"NA")</v>
      </c>
    </row>
    <row r="135" spans="1:5" x14ac:dyDescent="0.25">
      <c r="A135" s="523" t="s">
        <v>1680</v>
      </c>
      <c r="B135" s="529">
        <f>IFERROR(Fcsts!$O$8,"NA")</f>
        <v>0.496</v>
      </c>
      <c r="E135" s="522" t="str">
        <f t="shared" ca="1" si="2"/>
        <v>=IFERROR(Fcsts!$O$8,"NA")</v>
      </c>
    </row>
    <row r="136" spans="1:5" x14ac:dyDescent="0.25">
      <c r="A136" s="523" t="s">
        <v>1663</v>
      </c>
      <c r="B136" s="529">
        <f>IFERROR(Fcsts!$M$10,"NA")</f>
        <v>0.06</v>
      </c>
      <c r="E136" s="522" t="str">
        <f t="shared" ca="1" si="2"/>
        <v>=IFERROR(Fcsts!$M$10,"NA")</v>
      </c>
    </row>
    <row r="137" spans="1:5" x14ac:dyDescent="0.25">
      <c r="A137" s="523" t="s">
        <v>1699</v>
      </c>
      <c r="B137" s="529">
        <f>IFERROR(Fcsts!$N$10,"NA")</f>
        <v>0.05</v>
      </c>
      <c r="E137" s="522" t="str">
        <f t="shared" ca="1" si="2"/>
        <v>=IFERROR(Fcsts!$N$10,"NA")</v>
      </c>
    </row>
    <row r="138" spans="1:5" x14ac:dyDescent="0.25">
      <c r="A138" s="523" t="s">
        <v>1681</v>
      </c>
      <c r="B138" s="529">
        <f>IFERROR(Fcsts!$O$10,"NA")</f>
        <v>0.105</v>
      </c>
      <c r="E138" s="522" t="str">
        <f t="shared" ca="1" si="2"/>
        <v>=IFERROR(Fcsts!$O$10,"NA")</v>
      </c>
    </row>
    <row r="139" spans="1:5" x14ac:dyDescent="0.25">
      <c r="A139" s="523" t="s">
        <v>1664</v>
      </c>
      <c r="B139" s="529">
        <f>IFERROR(Fcsts!$M$11,"NA")</f>
        <v>0.12487985177308156</v>
      </c>
      <c r="E139" s="522" t="str">
        <f t="shared" ca="1" si="2"/>
        <v>=IFERROR(Fcsts!$M$11,"NA")</v>
      </c>
    </row>
    <row r="140" spans="1:5" x14ac:dyDescent="0.25">
      <c r="A140" s="523" t="s">
        <v>1700</v>
      </c>
      <c r="B140" s="529">
        <f>IFERROR(Fcsts!$N$11,"NA")</f>
        <v>0.12552373186805973</v>
      </c>
      <c r="E140" s="522" t="str">
        <f t="shared" ca="1" si="2"/>
        <v>=IFERROR(Fcsts!$N$11,"NA")</v>
      </c>
    </row>
    <row r="141" spans="1:5" x14ac:dyDescent="0.25">
      <c r="A141" s="523" t="s">
        <v>1682</v>
      </c>
      <c r="B141" s="529">
        <f>IFERROR(Fcsts!$O$11,"NA")</f>
        <v>0.11878375818919429</v>
      </c>
      <c r="E141" s="522" t="str">
        <f t="shared" ca="1" si="2"/>
        <v>=IFERROR(Fcsts!$O$11,"NA")</v>
      </c>
    </row>
    <row r="142" spans="1:5" x14ac:dyDescent="0.25">
      <c r="A142" s="523" t="s">
        <v>1665</v>
      </c>
      <c r="B142" s="529">
        <f>IFERROR(Fcsts!$M$12,"NA")</f>
        <v>7.4999999999999997E-2</v>
      </c>
      <c r="E142" s="522" t="str">
        <f t="shared" ca="1" si="2"/>
        <v>=IFERROR(Fcsts!$M$12,"NA")</v>
      </c>
    </row>
    <row r="143" spans="1:5" x14ac:dyDescent="0.25">
      <c r="A143" s="523" t="s">
        <v>1701</v>
      </c>
      <c r="B143" s="529">
        <f>IFERROR(Fcsts!$N$12,"NA")</f>
        <v>7.4999999999999997E-2</v>
      </c>
      <c r="E143" s="522" t="str">
        <f t="shared" ca="1" si="2"/>
        <v>=IFERROR(Fcsts!$N$12,"NA")</v>
      </c>
    </row>
    <row r="144" spans="1:5" x14ac:dyDescent="0.25">
      <c r="A144" s="523" t="s">
        <v>1683</v>
      </c>
      <c r="B144" s="529">
        <f>IFERROR(Fcsts!$O$12,"NA")</f>
        <v>7.4999999999999997E-2</v>
      </c>
      <c r="E144" s="522" t="str">
        <f t="shared" ca="1" si="2"/>
        <v>=IFERROR(Fcsts!$O$12,"NA")</v>
      </c>
    </row>
    <row r="145" spans="1:5" x14ac:dyDescent="0.25">
      <c r="A145" s="523" t="s">
        <v>1666</v>
      </c>
      <c r="B145" s="529">
        <f>IFERROR(Fcsts!$M$15,"NA")</f>
        <v>9.4212972013019106E-2</v>
      </c>
      <c r="E145" s="522" t="str">
        <f t="shared" ca="1" si="2"/>
        <v>=IFERROR(Fcsts!$M$15,"NA")</v>
      </c>
    </row>
    <row r="146" spans="1:5" x14ac:dyDescent="0.25">
      <c r="A146" s="523" t="s">
        <v>1702</v>
      </c>
      <c r="B146" s="529">
        <f>IFERROR(Fcsts!$N$15,"NA")</f>
        <v>9.3244872989563438E-2</v>
      </c>
      <c r="E146" s="522" t="str">
        <f t="shared" ca="1" si="2"/>
        <v>=IFERROR(Fcsts!$N$15,"NA")</v>
      </c>
    </row>
    <row r="147" spans="1:5" x14ac:dyDescent="0.25">
      <c r="A147" s="523" t="s">
        <v>1684</v>
      </c>
      <c r="B147" s="529">
        <f>IFERROR(Fcsts!$O$15,"NA")</f>
        <v>8.3919672589166883E-2</v>
      </c>
      <c r="E147" s="522" t="str">
        <f t="shared" ca="1" si="2"/>
        <v>=IFERROR(Fcsts!$O$15,"NA")</v>
      </c>
    </row>
    <row r="148" spans="1:5" x14ac:dyDescent="0.25">
      <c r="A148" s="523" t="s">
        <v>1667</v>
      </c>
      <c r="B148" s="529">
        <f>IFERROR(Fcsts!$M$16,"NA")</f>
        <v>0.32</v>
      </c>
      <c r="E148" s="522" t="str">
        <f t="shared" ca="1" si="2"/>
        <v>=IFERROR(Fcsts!$M$16,"NA")</v>
      </c>
    </row>
    <row r="149" spans="1:5" x14ac:dyDescent="0.25">
      <c r="A149" s="523" t="s">
        <v>1703</v>
      </c>
      <c r="B149" s="529">
        <f>IFERROR(Fcsts!$N$16,"NA")</f>
        <v>0.32</v>
      </c>
      <c r="E149" s="522" t="str">
        <f t="shared" ca="1" si="2"/>
        <v>=IFERROR(Fcsts!$N$16,"NA")</v>
      </c>
    </row>
    <row r="150" spans="1:5" x14ac:dyDescent="0.25">
      <c r="A150" s="523" t="s">
        <v>1685</v>
      </c>
      <c r="B150" s="529">
        <f>IFERROR(Fcsts!$O$16,"NA")</f>
        <v>0.32</v>
      </c>
      <c r="E150" s="522" t="str">
        <f t="shared" ca="1" si="2"/>
        <v>=IFERROR(Fcsts!$O$16,"NA")</v>
      </c>
    </row>
    <row r="151" spans="1:5" x14ac:dyDescent="0.25">
      <c r="A151" s="523" t="s">
        <v>1668</v>
      </c>
      <c r="B151" s="529">
        <f>IFERROR(Fcsts!$M$20,"NA")</f>
        <v>6.4064820968852992E-2</v>
      </c>
      <c r="E151" s="522" t="str">
        <f t="shared" ca="1" si="2"/>
        <v>=IFERROR(Fcsts!$M$20,"NA")</v>
      </c>
    </row>
    <row r="152" spans="1:5" x14ac:dyDescent="0.25">
      <c r="A152" s="523" t="s">
        <v>1704</v>
      </c>
      <c r="B152" s="529">
        <f>IFERROR(Fcsts!$N$20,"NA")</f>
        <v>6.340651363290313E-2</v>
      </c>
      <c r="E152" s="522" t="str">
        <f t="shared" ca="1" si="2"/>
        <v>=IFERROR(Fcsts!$N$20,"NA")</v>
      </c>
    </row>
    <row r="153" spans="1:5" x14ac:dyDescent="0.25">
      <c r="A153" s="523" t="s">
        <v>1686</v>
      </c>
      <c r="B153" s="529">
        <f>IFERROR(Fcsts!$O$20,"NA")</f>
        <v>5.7065377360633475E-2</v>
      </c>
      <c r="E153" s="522" t="str">
        <f t="shared" ca="1" si="2"/>
        <v>=IFERROR(Fcsts!$O$20,"NA")</v>
      </c>
    </row>
    <row r="154" spans="1:5" x14ac:dyDescent="0.25">
      <c r="A154" s="523" t="s">
        <v>1669</v>
      </c>
      <c r="B154" s="529">
        <f>IFERROR(Fcsts!$M$33,"NA")</f>
        <v>0.10935600752511765</v>
      </c>
      <c r="E154" s="522" t="str">
        <f t="shared" ca="1" si="2"/>
        <v>=IFERROR(Fcsts!$M$33,"NA")</v>
      </c>
    </row>
    <row r="155" spans="1:5" x14ac:dyDescent="0.25">
      <c r="A155" s="523" t="s">
        <v>1705</v>
      </c>
      <c r="B155" s="529">
        <f>IFERROR(Fcsts!$N$33,"NA")</f>
        <v>0.22016957763741041</v>
      </c>
      <c r="E155" s="522" t="str">
        <f t="shared" ca="1" si="2"/>
        <v>=IFERROR(Fcsts!$N$33,"NA")</v>
      </c>
    </row>
    <row r="156" spans="1:5" x14ac:dyDescent="0.25">
      <c r="A156" s="523" t="s">
        <v>1687</v>
      </c>
      <c r="B156" s="529">
        <f>IFERROR(Fcsts!$O$33,"NA")</f>
        <v>0.45829957670570987</v>
      </c>
      <c r="E156" s="522" t="str">
        <f t="shared" ca="1" si="2"/>
        <v>=IFERROR(Fcsts!$O$33,"NA")</v>
      </c>
    </row>
    <row r="157" spans="1:5" x14ac:dyDescent="0.25">
      <c r="A157" s="523" t="s">
        <v>1670</v>
      </c>
      <c r="B157" s="529">
        <f>IFERROR(Fcsts!$M$39,"NA")</f>
        <v>0.6</v>
      </c>
      <c r="E157" s="522" t="str">
        <f t="shared" ca="1" si="2"/>
        <v>=IFERROR(Fcsts!$M$39,"NA")</v>
      </c>
    </row>
    <row r="158" spans="1:5" x14ac:dyDescent="0.25">
      <c r="A158" s="523" t="s">
        <v>1706</v>
      </c>
      <c r="B158" s="529">
        <f>IFERROR(Fcsts!$N$39,"NA")</f>
        <v>0.6</v>
      </c>
      <c r="E158" s="522" t="str">
        <f t="shared" ca="1" si="2"/>
        <v>=IFERROR(Fcsts!$N$39,"NA")</v>
      </c>
    </row>
    <row r="159" spans="1:5" x14ac:dyDescent="0.25">
      <c r="A159" s="523" t="s">
        <v>1688</v>
      </c>
      <c r="B159" s="529">
        <f>IFERROR(Fcsts!$O$39,"NA")</f>
        <v>0.55000000000000004</v>
      </c>
      <c r="E159" s="522" t="str">
        <f t="shared" ca="1" si="2"/>
        <v>=IFERROR(Fcsts!$O$39,"NA")</v>
      </c>
    </row>
    <row r="160" spans="1:5" x14ac:dyDescent="0.25">
      <c r="A160" s="523" t="s">
        <v>1671</v>
      </c>
      <c r="B160" s="529">
        <f>IFERROR(Fcsts!$M$42,"NA")</f>
        <v>0.1436988426898636</v>
      </c>
      <c r="E160" s="522" t="str">
        <f t="shared" ca="1" si="2"/>
        <v>=IFERROR(Fcsts!$M$42,"NA")</v>
      </c>
    </row>
    <row r="161" spans="1:5" x14ac:dyDescent="0.25">
      <c r="A161" s="523" t="s">
        <v>1707</v>
      </c>
      <c r="B161" s="529">
        <f>IFERROR(Fcsts!$N$42,"NA")</f>
        <v>0.15071998712615334</v>
      </c>
      <c r="E161" s="522" t="str">
        <f t="shared" ca="1" si="2"/>
        <v>=IFERROR(Fcsts!$N$42,"NA")</v>
      </c>
    </row>
    <row r="162" spans="1:5" x14ac:dyDescent="0.25">
      <c r="A162" s="523" t="s">
        <v>1689</v>
      </c>
      <c r="B162" s="529">
        <f>IFERROR(Fcsts!$O$42,"NA")</f>
        <v>0.15700382715182964</v>
      </c>
      <c r="E162" s="522" t="str">
        <f t="shared" ca="1" si="2"/>
        <v>=IFERROR(Fcsts!$O$42,"NA")</v>
      </c>
    </row>
    <row r="163" spans="1:5" x14ac:dyDescent="0.25">
      <c r="A163" s="523" t="s">
        <v>1672</v>
      </c>
      <c r="B163" s="529">
        <f>IFERROR(Fcsts!$M$43,"NA")</f>
        <v>0.839450112593079</v>
      </c>
      <c r="E163" s="522" t="str">
        <f t="shared" ca="1" si="2"/>
        <v>=IFERROR(Fcsts!$M$43,"NA")</v>
      </c>
    </row>
    <row r="164" spans="1:5" x14ac:dyDescent="0.25">
      <c r="A164" s="523" t="s">
        <v>1708</v>
      </c>
      <c r="B164" s="529">
        <f>IFERROR(Fcsts!$N$43,"NA")</f>
        <v>0.91307937710200826</v>
      </c>
      <c r="E164" s="522" t="str">
        <f t="shared" ca="1" si="2"/>
        <v>=IFERROR(Fcsts!$N$43,"NA")</v>
      </c>
    </row>
    <row r="165" spans="1:5" x14ac:dyDescent="0.25">
      <c r="A165" s="523" t="s">
        <v>1690</v>
      </c>
      <c r="B165" s="529">
        <f>IFERROR(Fcsts!$O$43,"NA")</f>
        <v>1.0405202551954336</v>
      </c>
      <c r="E165" s="522" t="str">
        <f t="shared" ca="1" si="2"/>
        <v>=IFERROR(Fcsts!$O$43,"NA")</v>
      </c>
    </row>
    <row r="166" spans="1:5" x14ac:dyDescent="0.25">
      <c r="A166" s="523" t="s">
        <v>1785</v>
      </c>
      <c r="B166" s="529">
        <f>IFERROR(Fcsts!$M$54,"NA")</f>
        <v>0</v>
      </c>
      <c r="E166" s="522" t="str">
        <f t="shared" ca="1" si="2"/>
        <v>=IFERROR(Fcsts!$M$54,"NA")</v>
      </c>
    </row>
    <row r="167" spans="1:5" x14ac:dyDescent="0.25">
      <c r="A167" s="523" t="s">
        <v>1784</v>
      </c>
      <c r="B167" s="529">
        <f>IFERROR(Fcsts!$N$54,"NA")</f>
        <v>0</v>
      </c>
      <c r="E167" s="522" t="str">
        <f t="shared" ca="1" si="2"/>
        <v>=IFERROR(Fcsts!$N$54,"NA")</v>
      </c>
    </row>
    <row r="168" spans="1:5" x14ac:dyDescent="0.25">
      <c r="A168" s="523" t="s">
        <v>1783</v>
      </c>
      <c r="B168" s="529">
        <f>IFERROR(Fcsts!$O$54,"NA")</f>
        <v>0</v>
      </c>
      <c r="E168" s="522" t="str">
        <f t="shared" ca="1" si="2"/>
        <v>=IFERROR(Fcsts!$O$54,"NA")</v>
      </c>
    </row>
    <row r="169" spans="1:5" x14ac:dyDescent="0.25">
      <c r="A169" s="523" t="s">
        <v>1827</v>
      </c>
      <c r="B169" s="529">
        <f>IFERROR(Fcsts!$M$56,"NA")</f>
        <v>0</v>
      </c>
      <c r="E169" s="522" t="str">
        <f t="shared" ca="1" si="2"/>
        <v>=IFERROR(Fcsts!$M$56,"NA")</v>
      </c>
    </row>
    <row r="170" spans="1:5" x14ac:dyDescent="0.25">
      <c r="A170" s="523" t="s">
        <v>1828</v>
      </c>
      <c r="B170" s="529">
        <f>IFERROR(Fcsts!$N$56,"NA")</f>
        <v>0</v>
      </c>
      <c r="E170" s="522" t="str">
        <f t="shared" ca="1" si="2"/>
        <v>=IFERROR(Fcsts!$N$56,"NA")</v>
      </c>
    </row>
    <row r="171" spans="1:5" x14ac:dyDescent="0.25">
      <c r="A171" s="523" t="s">
        <v>1829</v>
      </c>
      <c r="B171" s="529">
        <f>IFERROR(Fcsts!$O$56,"NA")</f>
        <v>0</v>
      </c>
      <c r="E171" s="522" t="str">
        <f t="shared" ca="1" si="2"/>
        <v>=IFERROR(Fcsts!$O$56,"NA")</v>
      </c>
    </row>
    <row r="172" spans="1:5" x14ac:dyDescent="0.25">
      <c r="A172" s="523" t="s">
        <v>1673</v>
      </c>
      <c r="B172" s="529">
        <f>IFERROR(Fcsts!$M$59,"NA")</f>
        <v>0.06</v>
      </c>
      <c r="E172" s="522" t="str">
        <f t="shared" ca="1" si="2"/>
        <v>=IFERROR(Fcsts!$M$59,"NA")</v>
      </c>
    </row>
    <row r="173" spans="1:5" x14ac:dyDescent="0.25">
      <c r="A173" s="523" t="s">
        <v>1709</v>
      </c>
      <c r="B173" s="529">
        <f>IFERROR(Fcsts!$N$59,"NA")</f>
        <v>0.06</v>
      </c>
      <c r="E173" s="522" t="str">
        <f t="shared" ca="1" si="2"/>
        <v>=IFERROR(Fcsts!$N$59,"NA")</v>
      </c>
    </row>
    <row r="174" spans="1:5" x14ac:dyDescent="0.25">
      <c r="A174" s="523" t="s">
        <v>1691</v>
      </c>
      <c r="B174" s="529">
        <f>IFERROR(Fcsts!$O$59,"NA")</f>
        <v>0.06</v>
      </c>
      <c r="E174" s="522" t="str">
        <f t="shared" ca="1" si="2"/>
        <v>=IFERROR(Fcsts!$O$59,"NA")</v>
      </c>
    </row>
    <row r="175" spans="1:5" x14ac:dyDescent="0.25">
      <c r="A175" s="523" t="s">
        <v>1674</v>
      </c>
      <c r="B175" s="529">
        <f>IFERROR(Fcsts!$M$60,"NA")</f>
        <v>0.04</v>
      </c>
      <c r="E175" s="522" t="str">
        <f t="shared" ca="1" si="2"/>
        <v>=IFERROR(Fcsts!$M$60,"NA")</v>
      </c>
    </row>
    <row r="176" spans="1:5" x14ac:dyDescent="0.25">
      <c r="A176" s="523" t="s">
        <v>1710</v>
      </c>
      <c r="B176" s="529">
        <f>IFERROR(Fcsts!$N$60,"NA")</f>
        <v>0.04</v>
      </c>
      <c r="E176" s="522" t="str">
        <f t="shared" ca="1" si="2"/>
        <v>=IFERROR(Fcsts!$N$60,"NA")</v>
      </c>
    </row>
    <row r="177" spans="1:5" x14ac:dyDescent="0.25">
      <c r="A177" s="523" t="s">
        <v>1692</v>
      </c>
      <c r="B177" s="529">
        <f>IFERROR(Fcsts!$O$60,"NA")</f>
        <v>0.05</v>
      </c>
      <c r="E177" s="522" t="str">
        <f t="shared" ca="1" si="2"/>
        <v>=IFERROR(Fcsts!$O$60,"NA")</v>
      </c>
    </row>
    <row r="178" spans="1:5" x14ac:dyDescent="0.25">
      <c r="A178" s="523" t="s">
        <v>1827</v>
      </c>
      <c r="B178" s="529">
        <f>IFERROR(Fcsts!$M$61,"NA")</f>
        <v>2.5999999999999999E-2</v>
      </c>
      <c r="E178" s="522" t="str">
        <f t="shared" ca="1" si="2"/>
        <v>=IFERROR(Fcsts!$M$61,"NA")</v>
      </c>
    </row>
    <row r="179" spans="1:5" x14ac:dyDescent="0.25">
      <c r="A179" s="523" t="s">
        <v>1828</v>
      </c>
      <c r="B179" s="529">
        <f>IFERROR(Fcsts!$N$61,"NA")</f>
        <v>2.5999999999999999E-2</v>
      </c>
      <c r="E179" s="522" t="str">
        <f t="shared" ca="1" si="2"/>
        <v>=IFERROR(Fcsts!$N$61,"NA")</v>
      </c>
    </row>
    <row r="180" spans="1:5" x14ac:dyDescent="0.25">
      <c r="A180" s="523" t="s">
        <v>1829</v>
      </c>
      <c r="B180" s="529">
        <f>IFERROR(Fcsts!$O$61,"NA")</f>
        <v>2.5999999999999999E-2</v>
      </c>
      <c r="E180" s="522" t="str">
        <f t="shared" ca="1" si="2"/>
        <v>=IFERROR(Fcsts!$O$61,"NA")</v>
      </c>
    </row>
    <row r="181" spans="1:5" x14ac:dyDescent="0.25">
      <c r="A181" s="523" t="s">
        <v>1675</v>
      </c>
      <c r="B181" s="529">
        <f>IFERROR(Fcsts!$M$62,"NA")</f>
        <v>0.125</v>
      </c>
      <c r="E181" s="522" t="str">
        <f t="shared" ca="1" si="2"/>
        <v>=IFERROR(Fcsts!$M$62,"NA")</v>
      </c>
    </row>
    <row r="182" spans="1:5" x14ac:dyDescent="0.25">
      <c r="A182" s="523" t="s">
        <v>1711</v>
      </c>
      <c r="B182" s="529">
        <f>IFERROR(Fcsts!$N$62,"NA")</f>
        <v>0.125</v>
      </c>
      <c r="E182" s="522" t="str">
        <f t="shared" ca="1" si="2"/>
        <v>=IFERROR(Fcsts!$N$62,"NA")</v>
      </c>
    </row>
    <row r="183" spans="1:5" x14ac:dyDescent="0.25">
      <c r="A183" s="523" t="s">
        <v>1693</v>
      </c>
      <c r="B183" s="529">
        <f>IFERROR(Fcsts!$O$62,"NA")</f>
        <v>0.125</v>
      </c>
      <c r="E183" s="522" t="str">
        <f t="shared" ca="1" si="2"/>
        <v>=IFERROR(Fcsts!$O$62,"NA")</v>
      </c>
    </row>
    <row r="184" spans="1:5" x14ac:dyDescent="0.25">
      <c r="A184" s="523" t="s">
        <v>1676</v>
      </c>
      <c r="B184" s="529">
        <f>IFERROR(Fcsts!$M$79,"NA")</f>
        <v>2.5000000000000001E-2</v>
      </c>
      <c r="E184" s="522" t="str">
        <f t="shared" ca="1" si="2"/>
        <v>=IFERROR(Fcsts!$M$79,"NA")</v>
      </c>
    </row>
    <row r="185" spans="1:5" x14ac:dyDescent="0.25">
      <c r="A185" s="523" t="s">
        <v>1712</v>
      </c>
      <c r="B185" s="529">
        <f>IFERROR(Fcsts!$N$79,"NA")</f>
        <v>2.5000000000000001E-2</v>
      </c>
      <c r="E185" s="522" t="str">
        <f t="shared" ca="1" si="2"/>
        <v>=IFERROR(Fcsts!$N$79,"NA")</v>
      </c>
    </row>
    <row r="186" spans="1:5" x14ac:dyDescent="0.25">
      <c r="A186" s="523" t="s">
        <v>1694</v>
      </c>
      <c r="B186" s="529">
        <f>IFERROR(Fcsts!$O$79,"NA")</f>
        <v>2.5000000000000001E-2</v>
      </c>
      <c r="E186" s="522" t="str">
        <f t="shared" ca="1" si="2"/>
        <v>=IFERROR(Fcsts!$O$79,"NA")</v>
      </c>
    </row>
    <row r="187" spans="1:5" x14ac:dyDescent="0.25">
      <c r="A187" s="523" t="s">
        <v>1677</v>
      </c>
      <c r="B187" s="529">
        <f>IFERROR(Fcsts!$M$80,"NA")</f>
        <v>0.13500000000000001</v>
      </c>
      <c r="E187" s="522" t="str">
        <f t="shared" ca="1" si="2"/>
        <v>=IFERROR(Fcsts!$M$80,"NA")</v>
      </c>
    </row>
    <row r="188" spans="1:5" x14ac:dyDescent="0.25">
      <c r="A188" s="523" t="s">
        <v>1713</v>
      </c>
      <c r="B188" s="529">
        <f>IFERROR(Fcsts!$N$80,"NA")</f>
        <v>0.13500000000000001</v>
      </c>
      <c r="E188" s="522" t="str">
        <f t="shared" ca="1" si="2"/>
        <v>=IFERROR(Fcsts!$N$80,"NA")</v>
      </c>
    </row>
    <row r="189" spans="1:5" x14ac:dyDescent="0.25">
      <c r="A189" s="523" t="s">
        <v>1695</v>
      </c>
      <c r="B189" s="529">
        <f>IFERROR(Fcsts!$O$80,"NA")</f>
        <v>0.13500000000000001</v>
      </c>
      <c r="E189" s="522" t="str">
        <f t="shared" ca="1" si="2"/>
        <v>=IFERROR(Fcsts!$O$80,"NA")</v>
      </c>
    </row>
    <row r="190" spans="1:5" x14ac:dyDescent="0.25">
      <c r="A190" s="523" t="s">
        <v>1678</v>
      </c>
      <c r="B190" s="529">
        <f>IFERROR(Fcsts!$M$82,"NA")</f>
        <v>0.02</v>
      </c>
      <c r="E190" s="522" t="str">
        <f t="shared" ca="1" si="2"/>
        <v>=IFERROR(Fcsts!$M$82,"NA")</v>
      </c>
    </row>
    <row r="191" spans="1:5" x14ac:dyDescent="0.25">
      <c r="A191" s="523" t="s">
        <v>1714</v>
      </c>
      <c r="B191" s="529">
        <f>IFERROR(Fcsts!$N$82,"NA")</f>
        <v>0.02</v>
      </c>
      <c r="E191" s="522" t="str">
        <f t="shared" ca="1" si="2"/>
        <v>=IFERROR(Fcsts!$N$82,"NA")</v>
      </c>
    </row>
    <row r="192" spans="1:5" x14ac:dyDescent="0.25">
      <c r="A192" s="523" t="s">
        <v>1696</v>
      </c>
      <c r="B192" s="529">
        <f>IFERROR(Fcsts!$O$82,"NA")</f>
        <v>0.02</v>
      </c>
      <c r="E192" s="522" t="str">
        <f t="shared" ca="1" si="2"/>
        <v>=IFERROR(Fcsts!$O$82,"NA")</v>
      </c>
    </row>
    <row r="193" spans="1:5" x14ac:dyDescent="0.25">
      <c r="A193" s="533" t="s">
        <v>854</v>
      </c>
      <c r="B193" s="534">
        <f>IFERROR(Ratios!$C$13,"NA")</f>
        <v>0.49799999999999994</v>
      </c>
      <c r="E193" s="522" t="str">
        <f t="shared" ca="1" si="2"/>
        <v>=IFERROR(Ratios!$C$13,"NA")</v>
      </c>
    </row>
    <row r="194" spans="1:5" x14ac:dyDescent="0.25">
      <c r="A194" s="533" t="s">
        <v>912</v>
      </c>
      <c r="B194" s="534">
        <f>IFERROR(Ratios!$D$13,"NA")</f>
        <v>0.498</v>
      </c>
      <c r="E194" s="522" t="str">
        <f t="shared" ca="1" si="2"/>
        <v>=IFERROR(Ratios!$D$13,"NA")</v>
      </c>
    </row>
    <row r="195" spans="1:5" x14ac:dyDescent="0.25">
      <c r="A195" s="533" t="s">
        <v>970</v>
      </c>
      <c r="B195" s="534">
        <f>IFERROR(Ratios!$E$13,"NA")</f>
        <v>0.496</v>
      </c>
      <c r="E195" s="522" t="str">
        <f t="shared" ref="E195:E258" ca="1" si="3">_xlfn.FORMULATEXT(B195)</f>
        <v>=IFERROR(Ratios!$E$13,"NA")</v>
      </c>
    </row>
    <row r="196" spans="1:5" x14ac:dyDescent="0.25">
      <c r="A196" s="533" t="s">
        <v>1028</v>
      </c>
      <c r="B196" s="534">
        <f>IFERROR(Ratios!$F$13,"NA")</f>
        <v>0.48770000000000002</v>
      </c>
      <c r="E196" s="522" t="str">
        <f t="shared" ca="1" si="3"/>
        <v>=IFERROR(Ratios!$F$13,"NA")</v>
      </c>
    </row>
    <row r="197" spans="1:5" x14ac:dyDescent="0.25">
      <c r="A197" s="533" t="s">
        <v>1086</v>
      </c>
      <c r="B197" s="534">
        <f>IFERROR(Ratios!$G$13,"NA")</f>
        <v>0.49299999999999999</v>
      </c>
      <c r="E197" s="522" t="str">
        <f t="shared" ca="1" si="3"/>
        <v>=IFERROR(Ratios!$G$13,"NA")</v>
      </c>
    </row>
    <row r="198" spans="1:5" x14ac:dyDescent="0.25">
      <c r="A198" s="533" t="s">
        <v>1144</v>
      </c>
      <c r="B198" s="534">
        <f>IFERROR(Ratios!$H$13,"NA")</f>
        <v>0.47939999999999999</v>
      </c>
      <c r="E198" s="522" t="str">
        <f t="shared" ca="1" si="3"/>
        <v>=IFERROR(Ratios!$H$13,"NA")</v>
      </c>
    </row>
    <row r="199" spans="1:5" x14ac:dyDescent="0.25">
      <c r="A199" s="533" t="s">
        <v>1202</v>
      </c>
      <c r="B199" s="534">
        <f>IFERROR(Ratios!$I$13,"NA")</f>
        <v>0.50659999999999994</v>
      </c>
      <c r="E199" s="522" t="str">
        <f t="shared" ca="1" si="3"/>
        <v>=IFERROR(Ratios!$I$13,"NA")</v>
      </c>
    </row>
    <row r="200" spans="1:5" x14ac:dyDescent="0.25">
      <c r="A200" s="533" t="s">
        <v>1260</v>
      </c>
      <c r="B200" s="534">
        <f>IFERROR(Ratios!$J$13,"NA")</f>
        <v>0.49969999999999998</v>
      </c>
      <c r="E200" s="522" t="str">
        <f t="shared" ca="1" si="3"/>
        <v>=IFERROR(Ratios!$J$13,"NA")</v>
      </c>
    </row>
    <row r="201" spans="1:5" x14ac:dyDescent="0.25">
      <c r="A201" s="533" t="s">
        <v>1318</v>
      </c>
      <c r="B201" s="534">
        <f>IFERROR(Ratios!$K$13,"NA")</f>
        <v>0.49459999999999998</v>
      </c>
      <c r="E201" s="522" t="str">
        <f t="shared" ca="1" si="3"/>
        <v>=IFERROR(Ratios!$K$13,"NA")</v>
      </c>
    </row>
    <row r="202" spans="1:5" x14ac:dyDescent="0.25">
      <c r="A202" s="533" t="s">
        <v>1376</v>
      </c>
      <c r="B202" s="534">
        <f>IFERROR(Ratios!$L$13,"NA")</f>
        <v>0.43609999999999999</v>
      </c>
      <c r="E202" s="522" t="str">
        <f t="shared" ca="1" si="3"/>
        <v>=IFERROR(Ratios!$L$13,"NA")</v>
      </c>
    </row>
    <row r="203" spans="1:5" x14ac:dyDescent="0.25">
      <c r="A203" s="533" t="s">
        <v>1434</v>
      </c>
      <c r="B203" s="534">
        <f>IFERROR(Ratios!$M$13,"NA")</f>
        <v>0.43790000000000001</v>
      </c>
      <c r="E203" s="522" t="str">
        <f t="shared" ca="1" si="3"/>
        <v>=IFERROR(Ratios!$M$13,"NA")</v>
      </c>
    </row>
    <row r="204" spans="1:5" x14ac:dyDescent="0.25">
      <c r="A204" s="533" t="s">
        <v>1492</v>
      </c>
      <c r="B204" s="534">
        <f>IFERROR(Ratios!$N$13,"NA")</f>
        <v>0.42649999999999999</v>
      </c>
      <c r="E204" s="522" t="str">
        <f t="shared" ca="1" si="3"/>
        <v>=IFERROR(Ratios!$N$13,"NA")</v>
      </c>
    </row>
    <row r="205" spans="1:5" x14ac:dyDescent="0.25">
      <c r="A205" s="533" t="s">
        <v>1550</v>
      </c>
      <c r="B205" s="534">
        <f>IFERROR(Ratios!$O$13,"NA")</f>
        <v>0.43149999999999999</v>
      </c>
      <c r="E205" s="522" t="str">
        <f t="shared" ca="1" si="3"/>
        <v>=IFERROR(Ratios!$O$13,"NA")</v>
      </c>
    </row>
    <row r="206" spans="1:5" x14ac:dyDescent="0.25">
      <c r="A206" s="533" t="s">
        <v>1608</v>
      </c>
      <c r="B206" s="534">
        <f>IFERROR(Ratios!$P$13,"NA")</f>
        <v>0.42130000000000001</v>
      </c>
      <c r="E206" s="522" t="str">
        <f t="shared" ca="1" si="3"/>
        <v>=IFERROR(Ratios!$P$13,"NA")</v>
      </c>
    </row>
    <row r="207" spans="1:5" x14ac:dyDescent="0.25">
      <c r="A207" s="533" t="s">
        <v>855</v>
      </c>
      <c r="B207" s="534">
        <f>IFERROR(Ratios!$C$14,"NA")</f>
        <v>0.12487985177308156</v>
      </c>
      <c r="E207" s="522" t="str">
        <f t="shared" ca="1" si="3"/>
        <v>=IFERROR(Ratios!$C$14,"NA")</v>
      </c>
    </row>
    <row r="208" spans="1:5" x14ac:dyDescent="0.25">
      <c r="A208" s="533" t="s">
        <v>913</v>
      </c>
      <c r="B208" s="534">
        <f>IFERROR(Ratios!$D$14,"NA")</f>
        <v>0.12552373186805973</v>
      </c>
      <c r="E208" s="522" t="str">
        <f t="shared" ca="1" si="3"/>
        <v>=IFERROR(Ratios!$D$14,"NA")</v>
      </c>
    </row>
    <row r="209" spans="1:5" x14ac:dyDescent="0.25">
      <c r="A209" s="533" t="s">
        <v>971</v>
      </c>
      <c r="B209" s="534">
        <f>IFERROR(Ratios!$E$14,"NA")</f>
        <v>0.11878375818919429</v>
      </c>
      <c r="E209" s="522" t="str">
        <f t="shared" ca="1" si="3"/>
        <v>=IFERROR(Ratios!$E$14,"NA")</v>
      </c>
    </row>
    <row r="210" spans="1:5" x14ac:dyDescent="0.25">
      <c r="A210" s="533" t="s">
        <v>1029</v>
      </c>
      <c r="B210" s="534">
        <f>IFERROR(Ratios!$F$14,"NA")</f>
        <v>0.10550000000000001</v>
      </c>
      <c r="E210" s="522" t="str">
        <f t="shared" ca="1" si="3"/>
        <v>=IFERROR(Ratios!$F$14,"NA")</v>
      </c>
    </row>
    <row r="211" spans="1:5" x14ac:dyDescent="0.25">
      <c r="A211" s="533" t="s">
        <v>1087</v>
      </c>
      <c r="B211" s="534">
        <f>IFERROR(Ratios!$G$14,"NA")</f>
        <v>9.7899999999999987E-2</v>
      </c>
      <c r="E211" s="522" t="str">
        <f t="shared" ca="1" si="3"/>
        <v>=IFERROR(Ratios!$G$14,"NA")</v>
      </c>
    </row>
    <row r="212" spans="1:5" x14ac:dyDescent="0.25">
      <c r="A212" s="533" t="s">
        <v>1145</v>
      </c>
      <c r="B212" s="534">
        <f>IFERROR(Ratios!$H$14,"NA")</f>
        <v>8.3199999999999996E-2</v>
      </c>
      <c r="E212" s="522" t="str">
        <f t="shared" ca="1" si="3"/>
        <v>=IFERROR(Ratios!$H$14,"NA")</v>
      </c>
    </row>
    <row r="213" spans="1:5" x14ac:dyDescent="0.25">
      <c r="A213" s="533" t="s">
        <v>1203</v>
      </c>
      <c r="B213" s="534">
        <f>IFERROR(Ratios!$I$14,"NA")</f>
        <v>0.1686</v>
      </c>
      <c r="E213" s="522" t="str">
        <f t="shared" ca="1" si="3"/>
        <v>=IFERROR(Ratios!$I$14,"NA")</v>
      </c>
    </row>
    <row r="214" spans="1:5" x14ac:dyDescent="0.25">
      <c r="A214" s="533" t="s">
        <v>1261</v>
      </c>
      <c r="B214" s="534">
        <f>IFERROR(Ratios!$J$14,"NA")</f>
        <v>9.3699999999999992E-2</v>
      </c>
      <c r="E214" s="522" t="str">
        <f t="shared" ca="1" si="3"/>
        <v>=IFERROR(Ratios!$J$14,"NA")</v>
      </c>
    </row>
    <row r="215" spans="1:5" x14ac:dyDescent="0.25">
      <c r="A215" s="533" t="s">
        <v>1319</v>
      </c>
      <c r="B215" s="534">
        <f>IFERROR(Ratios!$K$14,"NA")</f>
        <v>0.18489999999999998</v>
      </c>
      <c r="E215" s="522" t="str">
        <f t="shared" ca="1" si="3"/>
        <v>=IFERROR(Ratios!$K$14,"NA")</v>
      </c>
    </row>
    <row r="216" spans="1:5" x14ac:dyDescent="0.25">
      <c r="A216" s="533" t="s">
        <v>1377</v>
      </c>
      <c r="B216" s="534">
        <f>IFERROR(Ratios!$L$14,"NA")</f>
        <v>0.10970000000000001</v>
      </c>
      <c r="E216" s="522" t="str">
        <f t="shared" ca="1" si="3"/>
        <v>=IFERROR(Ratios!$L$14,"NA")</v>
      </c>
    </row>
    <row r="217" spans="1:5" x14ac:dyDescent="0.25">
      <c r="A217" s="533" t="s">
        <v>1435</v>
      </c>
      <c r="B217" s="534">
        <f>IFERROR(Ratios!$M$14,"NA")</f>
        <v>0.1106</v>
      </c>
      <c r="E217" s="522" t="str">
        <f t="shared" ca="1" si="3"/>
        <v>=IFERROR(Ratios!$M$14,"NA")</v>
      </c>
    </row>
    <row r="218" spans="1:5" x14ac:dyDescent="0.25">
      <c r="A218" s="533" t="s">
        <v>1493</v>
      </c>
      <c r="B218" s="534">
        <f>IFERROR(Ratios!$N$14,"NA")</f>
        <v>0.1024</v>
      </c>
      <c r="E218" s="522" t="str">
        <f t="shared" ca="1" si="3"/>
        <v>=IFERROR(Ratios!$N$14,"NA")</v>
      </c>
    </row>
    <row r="219" spans="1:5" x14ac:dyDescent="0.25">
      <c r="A219" s="533" t="s">
        <v>1551</v>
      </c>
      <c r="B219" s="534">
        <f>IFERROR(Ratios!$O$14,"NA")</f>
        <v>0.22839999999999999</v>
      </c>
      <c r="E219" s="522" t="str">
        <f t="shared" ca="1" si="3"/>
        <v>=IFERROR(Ratios!$O$14,"NA")</v>
      </c>
    </row>
    <row r="220" spans="1:5" x14ac:dyDescent="0.25">
      <c r="A220" s="533" t="s">
        <v>1609</v>
      </c>
      <c r="B220" s="534">
        <f>IFERROR(Ratios!$P$14,"NA")</f>
        <v>-0.27649999999999997</v>
      </c>
      <c r="E220" s="522" t="str">
        <f t="shared" ca="1" si="3"/>
        <v>=IFERROR(Ratios!$P$14,"NA")</v>
      </c>
    </row>
    <row r="221" spans="1:5" x14ac:dyDescent="0.25">
      <c r="A221" s="533" t="s">
        <v>856</v>
      </c>
      <c r="B221" s="534">
        <f>IFERROR(Ratios!$C$15,"NA")</f>
        <v>6.4064820968852992E-2</v>
      </c>
      <c r="E221" s="522" t="str">
        <f t="shared" ca="1" si="3"/>
        <v>=IFERROR(Ratios!$C$15,"NA")</v>
      </c>
    </row>
    <row r="222" spans="1:5" x14ac:dyDescent="0.25">
      <c r="A222" s="533" t="s">
        <v>914</v>
      </c>
      <c r="B222" s="534">
        <f>IFERROR(Ratios!$D$15,"NA")</f>
        <v>6.340651363290313E-2</v>
      </c>
      <c r="E222" s="522" t="str">
        <f t="shared" ca="1" si="3"/>
        <v>=IFERROR(Ratios!$D$15,"NA")</v>
      </c>
    </row>
    <row r="223" spans="1:5" x14ac:dyDescent="0.25">
      <c r="A223" s="533" t="s">
        <v>972</v>
      </c>
      <c r="B223" s="534">
        <f>IFERROR(Ratios!$E$15,"NA")</f>
        <v>5.7065377360633475E-2</v>
      </c>
      <c r="E223" s="522" t="str">
        <f t="shared" ca="1" si="3"/>
        <v>=IFERROR(Ratios!$E$15,"NA")</v>
      </c>
    </row>
    <row r="224" spans="1:5" x14ac:dyDescent="0.25">
      <c r="A224" s="533" t="s">
        <v>1030</v>
      </c>
      <c r="B224" s="534">
        <f>IFERROR(Ratios!$F$15,"NA")</f>
        <v>4.6799999999999994E-2</v>
      </c>
      <c r="E224" s="522" t="str">
        <f t="shared" ca="1" si="3"/>
        <v>=IFERROR(Ratios!$F$15,"NA")</v>
      </c>
    </row>
    <row r="225" spans="1:5" x14ac:dyDescent="0.25">
      <c r="A225" s="533" t="s">
        <v>1088</v>
      </c>
      <c r="B225" s="534">
        <f>IFERROR(Ratios!$G$15,"NA")</f>
        <v>3.6299999999999999E-2</v>
      </c>
      <c r="E225" s="522" t="str">
        <f t="shared" ca="1" si="3"/>
        <v>=IFERROR(Ratios!$G$15,"NA")</v>
      </c>
    </row>
    <row r="226" spans="1:5" x14ac:dyDescent="0.25">
      <c r="A226" s="533" t="s">
        <v>1146</v>
      </c>
      <c r="B226" s="534">
        <f>IFERROR(Ratios!$H$15,"NA")</f>
        <v>2.3700000000000002E-2</v>
      </c>
      <c r="E226" s="522" t="str">
        <f t="shared" ca="1" si="3"/>
        <v>=IFERROR(Ratios!$H$15,"NA")</v>
      </c>
    </row>
    <row r="227" spans="1:5" x14ac:dyDescent="0.25">
      <c r="A227" s="533" t="s">
        <v>1204</v>
      </c>
      <c r="B227" s="534">
        <f>IFERROR(Ratios!$I$15,"NA")</f>
        <v>0.1133</v>
      </c>
      <c r="E227" s="522" t="str">
        <f t="shared" ca="1" si="3"/>
        <v>=IFERROR(Ratios!$I$15,"NA")</v>
      </c>
    </row>
    <row r="228" spans="1:5" x14ac:dyDescent="0.25">
      <c r="A228" s="533" t="s">
        <v>1262</v>
      </c>
      <c r="B228" s="534">
        <f>IFERROR(Ratios!$J$15,"NA")</f>
        <v>0.23850000000000002</v>
      </c>
      <c r="E228" s="522" t="str">
        <f t="shared" ca="1" si="3"/>
        <v>=IFERROR(Ratios!$J$15,"NA")</v>
      </c>
    </row>
    <row r="229" spans="1:5" x14ac:dyDescent="0.25">
      <c r="A229" s="533" t="s">
        <v>1320</v>
      </c>
      <c r="B229" s="534">
        <f>IFERROR(Ratios!$K$15,"NA")</f>
        <v>-2.58E-2</v>
      </c>
      <c r="E229" s="522" t="str">
        <f t="shared" ca="1" si="3"/>
        <v>=IFERROR(Ratios!$K$15,"NA")</v>
      </c>
    </row>
    <row r="230" spans="1:5" x14ac:dyDescent="0.25">
      <c r="A230" s="533" t="s">
        <v>1378</v>
      </c>
      <c r="B230" s="534">
        <f>IFERROR(Ratios!$L$15,"NA")</f>
        <v>4.5499999999999999E-2</v>
      </c>
      <c r="E230" s="522" t="str">
        <f t="shared" ca="1" si="3"/>
        <v>=IFERROR(Ratios!$L$15,"NA")</v>
      </c>
    </row>
    <row r="231" spans="1:5" x14ac:dyDescent="0.25">
      <c r="A231" s="533" t="s">
        <v>1436</v>
      </c>
      <c r="B231" s="534">
        <f>IFERROR(Ratios!$M$15,"NA")</f>
        <v>7.2999999999999995E-2</v>
      </c>
      <c r="E231" s="522" t="str">
        <f t="shared" ca="1" si="3"/>
        <v>=IFERROR(Ratios!$M$15,"NA")</v>
      </c>
    </row>
    <row r="232" spans="1:5" x14ac:dyDescent="0.25">
      <c r="A232" s="533" t="s">
        <v>1494</v>
      </c>
      <c r="B232" s="534">
        <f>IFERROR(Ratios!$N$15,"NA")</f>
        <v>6.7699999999999996E-2</v>
      </c>
      <c r="E232" s="522" t="str">
        <f t="shared" ca="1" si="3"/>
        <v>=IFERROR(Ratios!$N$15,"NA")</v>
      </c>
    </row>
    <row r="233" spans="1:5" x14ac:dyDescent="0.25">
      <c r="A233" s="533" t="s">
        <v>1552</v>
      </c>
      <c r="B233" s="534">
        <f>IFERROR(Ratios!$O$15,"NA")</f>
        <v>0.18590000000000001</v>
      </c>
      <c r="E233" s="522" t="str">
        <f t="shared" ca="1" si="3"/>
        <v>=IFERROR(Ratios!$O$15,"NA")</v>
      </c>
    </row>
    <row r="234" spans="1:5" x14ac:dyDescent="0.25">
      <c r="A234" s="533" t="s">
        <v>1610</v>
      </c>
      <c r="B234" s="534">
        <f>IFERROR(Ratios!$P$15,"NA")</f>
        <v>-0.16639999999999999</v>
      </c>
      <c r="E234" s="522" t="str">
        <f t="shared" ca="1" si="3"/>
        <v>=IFERROR(Ratios!$P$15,"NA")</v>
      </c>
    </row>
    <row r="235" spans="1:5" x14ac:dyDescent="0.25">
      <c r="A235" s="533" t="s">
        <v>857</v>
      </c>
      <c r="B235" s="534">
        <f>IFERROR(Ratios!$C$16,"NA")</f>
        <v>0.10935600752511765</v>
      </c>
      <c r="E235" s="522" t="str">
        <f t="shared" ca="1" si="3"/>
        <v>=IFERROR(Ratios!$C$16,"NA")</v>
      </c>
    </row>
    <row r="236" spans="1:5" x14ac:dyDescent="0.25">
      <c r="A236" s="533" t="s">
        <v>915</v>
      </c>
      <c r="B236" s="534">
        <f>IFERROR(Ratios!$D$16,"NA")</f>
        <v>0.33109408469535673</v>
      </c>
      <c r="E236" s="522" t="str">
        <f t="shared" ca="1" si="3"/>
        <v>=IFERROR(Ratios!$D$16,"NA")</v>
      </c>
    </row>
    <row r="237" spans="1:5" x14ac:dyDescent="0.25">
      <c r="A237" s="533" t="s">
        <v>973</v>
      </c>
      <c r="B237" s="534">
        <f>IFERROR(Ratios!$E$16,"NA")</f>
        <v>8.0120991078531656E-2</v>
      </c>
      <c r="E237" s="522" t="str">
        <f t="shared" ca="1" si="3"/>
        <v>=IFERROR(Ratios!$E$16,"NA")</v>
      </c>
    </row>
    <row r="238" spans="1:5" x14ac:dyDescent="0.25">
      <c r="A238" s="533" t="s">
        <v>1031</v>
      </c>
      <c r="B238" s="534" t="str">
        <f>IFERROR(Ratios!$F$16,"NA")</f>
        <v>NA</v>
      </c>
      <c r="E238" s="522" t="str">
        <f t="shared" ca="1" si="3"/>
        <v>=IFERROR(Ratios!$F$16,"NA")</v>
      </c>
    </row>
    <row r="239" spans="1:5" x14ac:dyDescent="0.25">
      <c r="A239" s="533" t="s">
        <v>1089</v>
      </c>
      <c r="B239" s="534" t="str">
        <f>IFERROR(Ratios!$G$16,"NA")</f>
        <v>NA</v>
      </c>
      <c r="E239" s="522" t="str">
        <f t="shared" ca="1" si="3"/>
        <v>=IFERROR(Ratios!$G$16,"NA")</v>
      </c>
    </row>
    <row r="240" spans="1:5" x14ac:dyDescent="0.25">
      <c r="A240" s="533" t="s">
        <v>1147</v>
      </c>
      <c r="B240" s="534" t="str">
        <f>IFERROR(Ratios!$H$16,"NA")</f>
        <v>NA</v>
      </c>
      <c r="E240" s="522" t="str">
        <f t="shared" ca="1" si="3"/>
        <v>=IFERROR(Ratios!$H$16,"NA")</v>
      </c>
    </row>
    <row r="241" spans="1:5" x14ac:dyDescent="0.25">
      <c r="A241" s="533" t="s">
        <v>1205</v>
      </c>
      <c r="B241" s="534">
        <f>IFERROR(Ratios!$I$16,"NA")</f>
        <v>6.7307692307692291E-2</v>
      </c>
      <c r="E241" s="522" t="str">
        <f t="shared" ca="1" si="3"/>
        <v>=IFERROR(Ratios!$I$16,"NA")</v>
      </c>
    </row>
    <row r="242" spans="1:5" x14ac:dyDescent="0.25">
      <c r="A242" s="533" t="s">
        <v>1263</v>
      </c>
      <c r="B242" s="534">
        <f>IFERROR(Ratios!$J$16,"NA")</f>
        <v>9.473684210526323E-2</v>
      </c>
      <c r="E242" s="522" t="str">
        <f t="shared" ca="1" si="3"/>
        <v>=IFERROR(Ratios!$J$16,"NA")</v>
      </c>
    </row>
    <row r="243" spans="1:5" x14ac:dyDescent="0.25">
      <c r="A243" s="533" t="s">
        <v>1321</v>
      </c>
      <c r="B243" s="534">
        <f>IFERROR(Ratios!$K$16,"NA")</f>
        <v>0</v>
      </c>
      <c r="E243" s="522" t="str">
        <f t="shared" ca="1" si="3"/>
        <v>=IFERROR(Ratios!$K$16,"NA")</v>
      </c>
    </row>
    <row r="244" spans="1:5" x14ac:dyDescent="0.25">
      <c r="A244" s="533" t="s">
        <v>1379</v>
      </c>
      <c r="B244" s="534">
        <f>IFERROR(Ratios!$L$16,"NA")</f>
        <v>3.2608695652173836E-2</v>
      </c>
      <c r="E244" s="522" t="str">
        <f t="shared" ca="1" si="3"/>
        <v>=IFERROR(Ratios!$L$16,"NA")</v>
      </c>
    </row>
    <row r="245" spans="1:5" x14ac:dyDescent="0.25">
      <c r="A245" s="533" t="s">
        <v>1437</v>
      </c>
      <c r="B245" s="534">
        <f>IFERROR(Ratios!$M$16,"NA")</f>
        <v>0.14999999999999991</v>
      </c>
      <c r="E245" s="522" t="str">
        <f t="shared" ca="1" si="3"/>
        <v>=IFERROR(Ratios!$M$16,"NA")</v>
      </c>
    </row>
    <row r="246" spans="1:5" x14ac:dyDescent="0.25">
      <c r="A246" s="533" t="s">
        <v>1495</v>
      </c>
      <c r="B246" s="534">
        <f>IFERROR(Ratios!$N$16,"NA")</f>
        <v>0.18518518518518512</v>
      </c>
      <c r="E246" s="522" t="str">
        <f t="shared" ca="1" si="3"/>
        <v>=IFERROR(Ratios!$N$16,"NA")</v>
      </c>
    </row>
    <row r="247" spans="1:5" x14ac:dyDescent="0.25">
      <c r="A247" s="533" t="s">
        <v>1553</v>
      </c>
      <c r="B247" s="534">
        <f>IFERROR(Ratios!$O$16,"NA")</f>
        <v>0.20535714285714279</v>
      </c>
      <c r="E247" s="522" t="str">
        <f t="shared" ca="1" si="3"/>
        <v>=IFERROR(Ratios!$O$16,"NA")</v>
      </c>
    </row>
    <row r="248" spans="1:5" x14ac:dyDescent="0.25">
      <c r="A248" s="533" t="s">
        <v>858</v>
      </c>
      <c r="B248" s="534">
        <f>IFERROR(Ratios!$C$17,"NA")</f>
        <v>4.0721407834817569</v>
      </c>
      <c r="E248" s="522" t="str">
        <f t="shared" ca="1" si="3"/>
        <v>=IFERROR(Ratios!$C$17,"NA")</v>
      </c>
    </row>
    <row r="249" spans="1:5" x14ac:dyDescent="0.25">
      <c r="A249" s="533" t="s">
        <v>916</v>
      </c>
      <c r="B249" s="534">
        <f>IFERROR(Ratios!$D$17,"NA")</f>
        <v>3.8887289151253661</v>
      </c>
      <c r="E249" s="522" t="str">
        <f t="shared" ca="1" si="3"/>
        <v>=IFERROR(Ratios!$D$17,"NA")</v>
      </c>
    </row>
    <row r="250" spans="1:5" x14ac:dyDescent="0.25">
      <c r="A250" s="533" t="s">
        <v>974</v>
      </c>
      <c r="B250" s="534">
        <f>IFERROR(Ratios!$E$17,"NA")</f>
        <v>3.407052161124251</v>
      </c>
      <c r="E250" s="522" t="str">
        <f t="shared" ca="1" si="3"/>
        <v>=IFERROR(Ratios!$E$17,"NA")</v>
      </c>
    </row>
    <row r="251" spans="1:5" x14ac:dyDescent="0.25">
      <c r="A251" s="533" t="s">
        <v>1032</v>
      </c>
      <c r="B251" s="534">
        <f>IFERROR(Ratios!$F$17,"NA")</f>
        <v>2.7593712212817412</v>
      </c>
      <c r="E251" s="522" t="str">
        <f t="shared" ca="1" si="3"/>
        <v>=IFERROR(Ratios!$F$17,"NA")</v>
      </c>
    </row>
    <row r="252" spans="1:5" x14ac:dyDescent="0.25">
      <c r="A252" s="533" t="s">
        <v>1090</v>
      </c>
      <c r="B252" s="534">
        <f>IFERROR(Ratios!$G$17,"NA")</f>
        <v>2.4597156398104265</v>
      </c>
      <c r="E252" s="522" t="str">
        <f t="shared" ca="1" si="3"/>
        <v>=IFERROR(Ratios!$G$17,"NA")</v>
      </c>
    </row>
    <row r="253" spans="1:5" x14ac:dyDescent="0.25">
      <c r="A253" s="533" t="s">
        <v>1148</v>
      </c>
      <c r="B253" s="534">
        <f>IFERROR(Ratios!$H$17,"NA")</f>
        <v>1.6006128702757916</v>
      </c>
      <c r="E253" s="522" t="str">
        <f t="shared" ca="1" si="3"/>
        <v>=IFERROR(Ratios!$H$17,"NA")</v>
      </c>
    </row>
    <row r="254" spans="1:5" x14ac:dyDescent="0.25">
      <c r="A254" s="533" t="s">
        <v>1206</v>
      </c>
      <c r="B254" s="534">
        <f>IFERROR(Ratios!$I$17,"NA")</f>
        <v>6.0465116279069768</v>
      </c>
      <c r="E254" s="522" t="str">
        <f t="shared" ca="1" si="3"/>
        <v>=IFERROR(Ratios!$I$17,"NA")</v>
      </c>
    </row>
    <row r="255" spans="1:5" x14ac:dyDescent="0.25">
      <c r="A255" s="533" t="s">
        <v>1264</v>
      </c>
      <c r="B255" s="534">
        <f>IFERROR(Ratios!$J$17,"NA")</f>
        <v>3.5437956204379564</v>
      </c>
      <c r="E255" s="522" t="str">
        <f t="shared" ca="1" si="3"/>
        <v>=IFERROR(Ratios!$J$17,"NA")</v>
      </c>
    </row>
    <row r="256" spans="1:5" x14ac:dyDescent="0.25">
      <c r="A256" s="533" t="s">
        <v>1322</v>
      </c>
      <c r="B256" s="534">
        <f>IFERROR(Ratios!$K$17,"NA")</f>
        <v>7.8533333333333335</v>
      </c>
      <c r="E256" s="522" t="str">
        <f t="shared" ca="1" si="3"/>
        <v>=IFERROR(Ratios!$K$17,"NA")</v>
      </c>
    </row>
    <row r="257" spans="1:5" x14ac:dyDescent="0.25">
      <c r="A257" s="533" t="s">
        <v>1380</v>
      </c>
      <c r="B257" s="534">
        <f>IFERROR(Ratios!$L$17,"NA")</f>
        <v>6.1179941002949851</v>
      </c>
      <c r="E257" s="522" t="str">
        <f t="shared" ca="1" si="3"/>
        <v>=IFERROR(Ratios!$L$17,"NA")</v>
      </c>
    </row>
    <row r="258" spans="1:5" x14ac:dyDescent="0.25">
      <c r="A258" s="533" t="s">
        <v>1438</v>
      </c>
      <c r="B258" s="534">
        <f>IFERROR(Ratios!$M$17,"NA")</f>
        <v>6.2237061769616027</v>
      </c>
      <c r="E258" s="522" t="str">
        <f t="shared" ca="1" si="3"/>
        <v>=IFERROR(Ratios!$M$17,"NA")</v>
      </c>
    </row>
    <row r="259" spans="1:5" x14ac:dyDescent="0.25">
      <c r="A259" s="533" t="s">
        <v>1496</v>
      </c>
      <c r="B259" s="534">
        <f>IFERROR(Ratios!$N$17,"NA")</f>
        <v>5.7677304964539005</v>
      </c>
      <c r="E259" s="522" t="str">
        <f t="shared" ref="E259:E322" ca="1" si="4">_xlfn.FORMULATEXT(B259)</f>
        <v>=IFERROR(Ratios!$N$17,"NA")</v>
      </c>
    </row>
    <row r="260" spans="1:5" x14ac:dyDescent="0.25">
      <c r="A260" s="533" t="s">
        <v>1554</v>
      </c>
      <c r="B260" s="534">
        <f>IFERROR(Ratios!$O$17,"NA")</f>
        <v>8.2944297082228111</v>
      </c>
      <c r="E260" s="522" t="str">
        <f t="shared" ca="1" si="4"/>
        <v>=IFERROR(Ratios!$O$17,"NA")</v>
      </c>
    </row>
    <row r="261" spans="1:5" x14ac:dyDescent="0.25">
      <c r="A261" s="533" t="s">
        <v>1611</v>
      </c>
      <c r="B261" s="534">
        <f>IFERROR(Ratios!$P$17,"NA")</f>
        <v>-3.4927245358755643</v>
      </c>
      <c r="E261" s="522" t="str">
        <f t="shared" ca="1" si="4"/>
        <v>=IFERROR(Ratios!$P$17,"NA")</v>
      </c>
    </row>
    <row r="262" spans="1:5" x14ac:dyDescent="0.25">
      <c r="A262" s="533" t="s">
        <v>859</v>
      </c>
      <c r="B262" s="534">
        <f>IFERROR(Ratios!$C$18,"NA")</f>
        <v>-7.2351782122674257E-15</v>
      </c>
      <c r="E262" s="522" t="str">
        <f t="shared" ca="1" si="4"/>
        <v>=IFERROR(Ratios!$C$18,"NA")</v>
      </c>
    </row>
    <row r="263" spans="1:5" x14ac:dyDescent="0.25">
      <c r="A263" s="533" t="s">
        <v>917</v>
      </c>
      <c r="B263" s="534">
        <f>IFERROR(Ratios!$D$18,"NA")</f>
        <v>0.57597513495538932</v>
      </c>
      <c r="E263" s="522" t="str">
        <f t="shared" ca="1" si="4"/>
        <v>=IFERROR(Ratios!$D$18,"NA")</v>
      </c>
    </row>
    <row r="264" spans="1:5" x14ac:dyDescent="0.25">
      <c r="A264" s="533" t="s">
        <v>975</v>
      </c>
      <c r="B264" s="534">
        <f>IFERROR(Ratios!$E$18,"NA")</f>
        <v>0.38530705760516415</v>
      </c>
      <c r="E264" s="522" t="str">
        <f t="shared" ca="1" si="4"/>
        <v>=IFERROR(Ratios!$E$18,"NA")</v>
      </c>
    </row>
    <row r="265" spans="1:5" x14ac:dyDescent="0.25">
      <c r="A265" s="533" t="s">
        <v>1033</v>
      </c>
      <c r="B265" s="534">
        <f>IFERROR(Ratios!$F$18,"NA")</f>
        <v>-0.42440484190062711</v>
      </c>
      <c r="E265" s="522" t="str">
        <f t="shared" ca="1" si="4"/>
        <v>=IFERROR(Ratios!$F$18,"NA")</v>
      </c>
    </row>
    <row r="266" spans="1:5" x14ac:dyDescent="0.25">
      <c r="A266" s="533" t="s">
        <v>1091</v>
      </c>
      <c r="B266" s="534">
        <f>IFERROR(Ratios!$G$18,"NA")</f>
        <v>-2.2786377708978418</v>
      </c>
      <c r="E266" s="522" t="str">
        <f t="shared" ca="1" si="4"/>
        <v>=IFERROR(Ratios!$G$18,"NA")</v>
      </c>
    </row>
    <row r="267" spans="1:5" x14ac:dyDescent="0.25">
      <c r="A267" s="533" t="s">
        <v>1149</v>
      </c>
      <c r="B267" s="534">
        <f>IFERROR(Ratios!$H$18,"NA")</f>
        <v>-0.2538747312250208</v>
      </c>
      <c r="E267" s="522" t="str">
        <f t="shared" ca="1" si="4"/>
        <v>=IFERROR(Ratios!$H$18,"NA")</v>
      </c>
    </row>
    <row r="268" spans="1:5" x14ac:dyDescent="0.25">
      <c r="A268" s="533" t="s">
        <v>1207</v>
      </c>
      <c r="B268" s="534">
        <f>IFERROR(Ratios!$I$18,"NA")</f>
        <v>0.32725794646337469</v>
      </c>
      <c r="E268" s="522" t="str">
        <f t="shared" ca="1" si="4"/>
        <v>=IFERROR(Ratios!$I$18,"NA")</v>
      </c>
    </row>
    <row r="269" spans="1:5" x14ac:dyDescent="0.25">
      <c r="A269" s="533" t="s">
        <v>1265</v>
      </c>
      <c r="B269" s="534">
        <f>IFERROR(Ratios!$J$18,"NA")</f>
        <v>-3.8322716645963158E-2</v>
      </c>
      <c r="E269" s="522" t="str">
        <f t="shared" ca="1" si="4"/>
        <v>=IFERROR(Ratios!$J$18,"NA")</v>
      </c>
    </row>
    <row r="270" spans="1:5" x14ac:dyDescent="0.25">
      <c r="A270" s="533" t="s">
        <v>1323</v>
      </c>
      <c r="B270" s="534">
        <f>IFERROR(Ratios!$K$18,"NA")</f>
        <v>-1.6147259316638092</v>
      </c>
      <c r="E270" s="522" t="str">
        <f t="shared" ca="1" si="4"/>
        <v>=IFERROR(Ratios!$K$18,"NA")</v>
      </c>
    </row>
    <row r="271" spans="1:5" x14ac:dyDescent="0.25">
      <c r="A271" s="533" t="s">
        <v>1381</v>
      </c>
      <c r="B271" s="534">
        <f>IFERROR(Ratios!$L$18,"NA")</f>
        <v>0.12950820230884935</v>
      </c>
      <c r="E271" s="522" t="str">
        <f t="shared" ca="1" si="4"/>
        <v>=IFERROR(Ratios!$L$18,"NA")</v>
      </c>
    </row>
    <row r="272" spans="1:5" x14ac:dyDescent="0.25">
      <c r="A272" s="533" t="s">
        <v>1439</v>
      </c>
      <c r="B272" s="534">
        <f>IFERROR(Ratios!$M$18,"NA")</f>
        <v>0.14435492184328555</v>
      </c>
      <c r="E272" s="522" t="str">
        <f t="shared" ca="1" si="4"/>
        <v>=IFERROR(Ratios!$M$18,"NA")</v>
      </c>
    </row>
    <row r="273" spans="1:5" x14ac:dyDescent="0.25">
      <c r="A273" s="533" t="s">
        <v>1497</v>
      </c>
      <c r="B273" s="534">
        <f>IFERROR(Ratios!$N$18,"NA")</f>
        <v>-9.4834945052056474E-2</v>
      </c>
      <c r="E273" s="522" t="str">
        <f t="shared" ca="1" si="4"/>
        <v>=IFERROR(Ratios!$N$18,"NA")</v>
      </c>
    </row>
    <row r="274" spans="1:5" x14ac:dyDescent="0.25">
      <c r="A274" s="533" t="s">
        <v>1555</v>
      </c>
      <c r="B274" s="534">
        <f>IFERROR(Ratios!$O$18,"NA")</f>
        <v>-5.244679845917255E-2</v>
      </c>
      <c r="E274" s="522" t="str">
        <f t="shared" ca="1" si="4"/>
        <v>=IFERROR(Ratios!$O$18,"NA")</v>
      </c>
    </row>
    <row r="275" spans="1:5" x14ac:dyDescent="0.25">
      <c r="A275" s="533" t="s">
        <v>860</v>
      </c>
      <c r="B275" s="534">
        <f>IFERROR(Ratios!$C$19,"NA")</f>
        <v>0.35403993799410166</v>
      </c>
      <c r="E275" s="522" t="str">
        <f t="shared" ca="1" si="4"/>
        <v>=IFERROR(Ratios!$C$19,"NA")</v>
      </c>
    </row>
    <row r="276" spans="1:5" x14ac:dyDescent="0.25">
      <c r="A276" s="533" t="s">
        <v>918</v>
      </c>
      <c r="B276" s="534">
        <f>IFERROR(Ratios!$D$19,"NA")</f>
        <v>0.35582512458592264</v>
      </c>
      <c r="E276" s="522" t="str">
        <f t="shared" ca="1" si="4"/>
        <v>=IFERROR(Ratios!$D$19,"NA")</v>
      </c>
    </row>
    <row r="277" spans="1:5" x14ac:dyDescent="0.25">
      <c r="A277" s="533" t="s">
        <v>976</v>
      </c>
      <c r="B277" s="534">
        <f>IFERROR(Ratios!$E$19,"NA")</f>
        <v>0.34463133607960572</v>
      </c>
      <c r="E277" s="522" t="str">
        <f t="shared" ca="1" si="4"/>
        <v>=IFERROR(Ratios!$E$19,"NA")</v>
      </c>
    </row>
    <row r="278" spans="1:5" x14ac:dyDescent="0.25">
      <c r="A278" s="533" t="s">
        <v>1034</v>
      </c>
      <c r="B278" s="534">
        <f>IFERROR(Ratios!$F$19,"NA")</f>
        <v>0.33030044545540704</v>
      </c>
      <c r="E278" s="522" t="str">
        <f t="shared" ca="1" si="4"/>
        <v>=IFERROR(Ratios!$F$19,"NA")</v>
      </c>
    </row>
    <row r="279" spans="1:5" x14ac:dyDescent="0.25">
      <c r="A279" s="533" t="s">
        <v>1092</v>
      </c>
      <c r="B279" s="534">
        <f>IFERROR(Ratios!$G$19,"NA")</f>
        <v>0.310371220818982</v>
      </c>
      <c r="E279" s="522" t="str">
        <f t="shared" ca="1" si="4"/>
        <v>=IFERROR(Ratios!$G$19,"NA")</v>
      </c>
    </row>
    <row r="280" spans="1:5" x14ac:dyDescent="0.25">
      <c r="A280" s="533" t="s">
        <v>1150</v>
      </c>
      <c r="B280" s="534">
        <f>IFERROR(Ratios!$H$19,"NA")</f>
        <v>0.30244658474482455</v>
      </c>
      <c r="E280" s="522" t="str">
        <f t="shared" ca="1" si="4"/>
        <v>=IFERROR(Ratios!$H$19,"NA")</v>
      </c>
    </row>
    <row r="281" spans="1:5" x14ac:dyDescent="0.25">
      <c r="A281" s="533" t="s">
        <v>1208</v>
      </c>
      <c r="B281" s="534">
        <f>IFERROR(Ratios!$I$19,"NA")</f>
        <v>0.40124359912216534</v>
      </c>
      <c r="E281" s="522" t="str">
        <f t="shared" ca="1" si="4"/>
        <v>=IFERROR(Ratios!$I$19,"NA")</v>
      </c>
    </row>
    <row r="282" spans="1:5" x14ac:dyDescent="0.25">
      <c r="A282" s="533" t="s">
        <v>1266</v>
      </c>
      <c r="B282" s="534">
        <f>IFERROR(Ratios!$J$19,"NA")</f>
        <v>0.28049840625905537</v>
      </c>
      <c r="E282" s="522" t="str">
        <f t="shared" ca="1" si="4"/>
        <v>=IFERROR(Ratios!$J$19,"NA")</v>
      </c>
    </row>
    <row r="283" spans="1:5" x14ac:dyDescent="0.25">
      <c r="A283" s="533" t="s">
        <v>1324</v>
      </c>
      <c r="B283" s="534">
        <f>IFERROR(Ratios!$K$19,"NA")</f>
        <v>0.51126626467788006</v>
      </c>
      <c r="E283" s="522" t="str">
        <f t="shared" ca="1" si="4"/>
        <v>=IFERROR(Ratios!$K$19,"NA")</v>
      </c>
    </row>
    <row r="284" spans="1:5" x14ac:dyDescent="0.25">
      <c r="A284" s="533" t="s">
        <v>1382</v>
      </c>
      <c r="B284" s="534">
        <f>IFERROR(Ratios!$L$19,"NA")</f>
        <v>0.33602280999757339</v>
      </c>
      <c r="E284" s="522" t="str">
        <f t="shared" ca="1" si="4"/>
        <v>=IFERROR(Ratios!$L$19,"NA")</v>
      </c>
    </row>
    <row r="285" spans="1:5" x14ac:dyDescent="0.25">
      <c r="A285" s="533" t="s">
        <v>1440</v>
      </c>
      <c r="B285" s="534">
        <f>IFERROR(Ratios!$M$19,"NA")</f>
        <v>0.33739754792386373</v>
      </c>
      <c r="E285" s="522" t="str">
        <f t="shared" ca="1" si="4"/>
        <v>=IFERROR(Ratios!$M$19,"NA")</v>
      </c>
    </row>
    <row r="286" spans="1:5" x14ac:dyDescent="0.25">
      <c r="A286" s="533" t="s">
        <v>1498</v>
      </c>
      <c r="B286" s="534">
        <f>IFERROR(Ratios!$N$19,"NA")</f>
        <v>0.32487459427559751</v>
      </c>
      <c r="E286" s="522" t="str">
        <f t="shared" ca="1" si="4"/>
        <v>=IFERROR(Ratios!$N$19,"NA")</v>
      </c>
    </row>
    <row r="287" spans="1:5" x14ac:dyDescent="0.25">
      <c r="A287" s="533" t="s">
        <v>1556</v>
      </c>
      <c r="B287" s="534">
        <f>IFERROR(Ratios!$O$19,"NA")</f>
        <v>0.62155070255628919</v>
      </c>
      <c r="E287" s="522" t="str">
        <f t="shared" ca="1" si="4"/>
        <v>=IFERROR(Ratios!$O$19,"NA")</v>
      </c>
    </row>
    <row r="288" spans="1:5" x14ac:dyDescent="0.25">
      <c r="A288" s="533" t="s">
        <v>1612</v>
      </c>
      <c r="B288" s="534">
        <f>IFERROR(Ratios!$P$19,"NA")</f>
        <v>-0.52936739888752715</v>
      </c>
      <c r="E288" s="522" t="str">
        <f t="shared" ca="1" si="4"/>
        <v>=IFERROR(Ratios!$P$19,"NA")</v>
      </c>
    </row>
    <row r="289" spans="1:5" x14ac:dyDescent="0.25">
      <c r="A289" s="533" t="s">
        <v>861</v>
      </c>
      <c r="B289" s="534">
        <f>IFERROR(Ratios!$C$20,"NA")</f>
        <v>0.29171054546789987</v>
      </c>
      <c r="E289" s="522" t="str">
        <f t="shared" ca="1" si="4"/>
        <v>=IFERROR(Ratios!$C$20,"NA")</v>
      </c>
    </row>
    <row r="290" spans="1:5" x14ac:dyDescent="0.25">
      <c r="A290" s="533" t="s">
        <v>919</v>
      </c>
      <c r="B290" s="534">
        <f>IFERROR(Ratios!$D$20,"NA")</f>
        <v>0.29163044128666454</v>
      </c>
      <c r="E290" s="522" t="str">
        <f t="shared" ca="1" si="4"/>
        <v>=IFERROR(Ratios!$D$20,"NA")</v>
      </c>
    </row>
    <row r="291" spans="1:5" x14ac:dyDescent="0.25">
      <c r="A291" s="533" t="s">
        <v>977</v>
      </c>
      <c r="B291" s="534">
        <f>IFERROR(Ratios!$E$20,"NA")</f>
        <v>0.30510270432681008</v>
      </c>
      <c r="E291" s="522" t="str">
        <f t="shared" ca="1" si="4"/>
        <v>=IFERROR(Ratios!$E$20,"NA")</v>
      </c>
    </row>
    <row r="292" spans="1:5" x14ac:dyDescent="0.25">
      <c r="A292" s="533" t="s">
        <v>1035</v>
      </c>
      <c r="B292" s="534">
        <f>IFERROR(Ratios!$F$20,"NA")</f>
        <v>0.34519368723098998</v>
      </c>
      <c r="E292" s="522" t="str">
        <f t="shared" ca="1" si="4"/>
        <v>=IFERROR(Ratios!$F$20,"NA")</v>
      </c>
    </row>
    <row r="293" spans="1:5" x14ac:dyDescent="0.25">
      <c r="A293" s="533" t="s">
        <v>1093</v>
      </c>
      <c r="B293" s="534">
        <f>IFERROR(Ratios!$G$20,"NA")</f>
        <v>0.36004932182490751</v>
      </c>
      <c r="E293" s="522" t="str">
        <f t="shared" ca="1" si="4"/>
        <v>=IFERROR(Ratios!$G$20,"NA")</v>
      </c>
    </row>
    <row r="294" spans="1:5" x14ac:dyDescent="0.25">
      <c r="A294" s="533" t="s">
        <v>1151</v>
      </c>
      <c r="B294" s="534">
        <f>IFERROR(Ratios!$H$20,"NA")</f>
        <v>0.42642752562225478</v>
      </c>
      <c r="E294" s="522" t="str">
        <f t="shared" ca="1" si="4"/>
        <v>=IFERROR(Ratios!$H$20,"NA")</v>
      </c>
    </row>
    <row r="295" spans="1:5" x14ac:dyDescent="0.25">
      <c r="A295" s="533" t="s">
        <v>1209</v>
      </c>
      <c r="B295" s="534">
        <f>IFERROR(Ratios!$I$20,"NA")</f>
        <v>0.17046490428441202</v>
      </c>
      <c r="E295" s="522" t="str">
        <f t="shared" ca="1" si="4"/>
        <v>=IFERROR(Ratios!$I$20,"NA")</v>
      </c>
    </row>
    <row r="296" spans="1:5" x14ac:dyDescent="0.25">
      <c r="A296" s="533" t="s">
        <v>1267</v>
      </c>
      <c r="B296" s="534">
        <f>IFERROR(Ratios!$J$20,"NA")</f>
        <v>0.33126721763085398</v>
      </c>
      <c r="E296" s="522" t="str">
        <f t="shared" ca="1" si="4"/>
        <v>=IFERROR(Ratios!$J$20,"NA")</v>
      </c>
    </row>
    <row r="297" spans="1:5" x14ac:dyDescent="0.25">
      <c r="A297" s="533" t="s">
        <v>1325</v>
      </c>
      <c r="B297" s="534">
        <f>IFERROR(Ratios!$K$20,"NA")</f>
        <v>0.26877715704531346</v>
      </c>
      <c r="E297" s="522" t="str">
        <f t="shared" ca="1" si="4"/>
        <v>=IFERROR(Ratios!$K$20,"NA")</v>
      </c>
    </row>
    <row r="298" spans="1:5" x14ac:dyDescent="0.25">
      <c r="A298" s="533" t="s">
        <v>1383</v>
      </c>
      <c r="B298" s="534">
        <f>IFERROR(Ratios!$L$20,"NA")</f>
        <v>0.25112836252031051</v>
      </c>
      <c r="E298" s="522" t="str">
        <f t="shared" ca="1" si="4"/>
        <v>=IFERROR(Ratios!$L$20,"NA")</v>
      </c>
    </row>
    <row r="299" spans="1:5" x14ac:dyDescent="0.25">
      <c r="A299" s="533" t="s">
        <v>1441</v>
      </c>
      <c r="B299" s="534">
        <f>IFERROR(Ratios!$M$20,"NA")</f>
        <v>0.25155591246737602</v>
      </c>
      <c r="E299" s="522" t="str">
        <f t="shared" ca="1" si="4"/>
        <v>=IFERROR(Ratios!$M$20,"NA")</v>
      </c>
    </row>
    <row r="300" spans="1:5" x14ac:dyDescent="0.25">
      <c r="A300" s="533" t="s">
        <v>1499</v>
      </c>
      <c r="B300" s="534">
        <f>IFERROR(Ratios!$N$20,"NA")</f>
        <v>0.26135331516802907</v>
      </c>
      <c r="E300" s="522" t="str">
        <f t="shared" ca="1" si="4"/>
        <v>=IFERROR(Ratios!$N$20,"NA")</v>
      </c>
    </row>
    <row r="301" spans="1:5" x14ac:dyDescent="0.25">
      <c r="A301" s="533" t="s">
        <v>1557</v>
      </c>
      <c r="B301" s="534">
        <f>IFERROR(Ratios!$O$20,"NA")</f>
        <v>0.14830450769440284</v>
      </c>
      <c r="E301" s="522" t="str">
        <f t="shared" ca="1" si="4"/>
        <v>=IFERROR(Ratios!$O$20,"NA")</v>
      </c>
    </row>
    <row r="302" spans="1:5" x14ac:dyDescent="0.25">
      <c r="A302" s="533" t="s">
        <v>1613</v>
      </c>
      <c r="B302" s="534">
        <f>IFERROR(Ratios!$P$20,"NA")</f>
        <v>-0.23971504897595725</v>
      </c>
      <c r="E302" s="522" t="str">
        <f t="shared" ca="1" si="4"/>
        <v>=IFERROR(Ratios!$P$20,"NA")</v>
      </c>
    </row>
    <row r="303" spans="1:5" x14ac:dyDescent="0.25">
      <c r="A303" s="533" t="s">
        <v>862</v>
      </c>
      <c r="B303" s="534">
        <f>IFERROR(Ratios!$C$21,"NA")</f>
        <v>0.39312014822691838</v>
      </c>
      <c r="E303" s="522" t="str">
        <f t="shared" ca="1" si="4"/>
        <v>=IFERROR(Ratios!$C$21,"NA")</v>
      </c>
    </row>
    <row r="304" spans="1:5" x14ac:dyDescent="0.25">
      <c r="A304" s="533" t="s">
        <v>920</v>
      </c>
      <c r="B304" s="534">
        <f>IFERROR(Ratios!$D$21,"NA")</f>
        <v>0.39247626813194031</v>
      </c>
      <c r="E304" s="522" t="str">
        <f t="shared" ca="1" si="4"/>
        <v>=IFERROR(Ratios!$D$21,"NA")</v>
      </c>
    </row>
    <row r="305" spans="1:5" x14ac:dyDescent="0.25">
      <c r="A305" s="533" t="s">
        <v>978</v>
      </c>
      <c r="B305" s="534">
        <f>IFERROR(Ratios!$E$21,"NA")</f>
        <v>0.39721624181080567</v>
      </c>
      <c r="E305" s="522" t="str">
        <f t="shared" ca="1" si="4"/>
        <v>=IFERROR(Ratios!$E$21,"NA")</v>
      </c>
    </row>
    <row r="306" spans="1:5" x14ac:dyDescent="0.25">
      <c r="A306" s="533" t="s">
        <v>1036</v>
      </c>
      <c r="B306" s="534">
        <f>IFERROR(Ratios!$F$21,"NA")</f>
        <v>0.40229247550378999</v>
      </c>
      <c r="E306" s="522" t="str">
        <f t="shared" ca="1" si="4"/>
        <v>=IFERROR(Ratios!$F$21,"NA")</v>
      </c>
    </row>
    <row r="307" spans="1:5" x14ac:dyDescent="0.25">
      <c r="A307" s="533" t="s">
        <v>1094</v>
      </c>
      <c r="B307" s="534">
        <f>IFERROR(Ratios!$G$21,"NA")</f>
        <v>0.41066037735849059</v>
      </c>
      <c r="E307" s="522" t="str">
        <f t="shared" ca="1" si="4"/>
        <v>=IFERROR(Ratios!$G$21,"NA")</v>
      </c>
    </row>
    <row r="308" spans="1:5" x14ac:dyDescent="0.25">
      <c r="A308" s="533" t="s">
        <v>1152</v>
      </c>
      <c r="B308" s="534">
        <f>IFERROR(Ratios!$H$21,"NA")</f>
        <v>0.41670646924587379</v>
      </c>
      <c r="E308" s="522" t="str">
        <f t="shared" ca="1" si="4"/>
        <v>=IFERROR(Ratios!$H$21,"NA")</v>
      </c>
    </row>
    <row r="309" spans="1:5" x14ac:dyDescent="0.25">
      <c r="A309" s="533" t="s">
        <v>1210</v>
      </c>
      <c r="B309" s="534">
        <f>IFERROR(Ratios!$I$21,"NA")</f>
        <v>0.35860855065079439</v>
      </c>
      <c r="E309" s="522" t="str">
        <f t="shared" ca="1" si="4"/>
        <v>=IFERROR(Ratios!$I$21,"NA")</v>
      </c>
    </row>
    <row r="310" spans="1:5" x14ac:dyDescent="0.25">
      <c r="A310" s="533" t="s">
        <v>1268</v>
      </c>
      <c r="B310" s="534">
        <f>IFERROR(Ratios!$J$21,"NA")</f>
        <v>0.43066080996283246</v>
      </c>
      <c r="E310" s="522" t="str">
        <f t="shared" ca="1" si="4"/>
        <v>=IFERROR(Ratios!$J$21,"NA")</v>
      </c>
    </row>
    <row r="311" spans="1:5" x14ac:dyDescent="0.25">
      <c r="A311" s="533" t="s">
        <v>1326</v>
      </c>
      <c r="B311" s="534">
        <f>IFERROR(Ratios!$K$21,"NA")</f>
        <v>0.3337344354923093</v>
      </c>
      <c r="E311" s="522" t="str">
        <f t="shared" ca="1" si="4"/>
        <v>=IFERROR(Ratios!$K$21,"NA")</v>
      </c>
    </row>
    <row r="312" spans="1:5" x14ac:dyDescent="0.25">
      <c r="A312" s="533" t="s">
        <v>1384</v>
      </c>
      <c r="B312" s="534">
        <f>IFERROR(Ratios!$L$21,"NA")</f>
        <v>0.33847497089639117</v>
      </c>
      <c r="E312" s="522" t="str">
        <f t="shared" ca="1" si="4"/>
        <v>=IFERROR(Ratios!$L$21,"NA")</v>
      </c>
    </row>
    <row r="313" spans="1:5" x14ac:dyDescent="0.25">
      <c r="A313" s="533" t="s">
        <v>1442</v>
      </c>
      <c r="B313" s="534">
        <f>IFERROR(Ratios!$M$21,"NA")</f>
        <v>0.34211385007860934</v>
      </c>
      <c r="E313" s="522" t="str">
        <f t="shared" ca="1" si="4"/>
        <v>=IFERROR(Ratios!$M$21,"NA")</v>
      </c>
    </row>
    <row r="314" spans="1:5" x14ac:dyDescent="0.25">
      <c r="A314" s="533" t="s">
        <v>1500</v>
      </c>
      <c r="B314" s="534">
        <f>IFERROR(Ratios!$N$21,"NA")</f>
        <v>0.33517918384041784</v>
      </c>
      <c r="E314" s="522" t="str">
        <f t="shared" ca="1" si="4"/>
        <v>=IFERROR(Ratios!$N$21,"NA")</v>
      </c>
    </row>
    <row r="315" spans="1:5" x14ac:dyDescent="0.25">
      <c r="A315" s="533" t="s">
        <v>1558</v>
      </c>
      <c r="B315" s="534">
        <f>IFERROR(Ratios!$O$21,"NA")</f>
        <v>0.21422832517712365</v>
      </c>
      <c r="E315" s="522" t="str">
        <f t="shared" ca="1" si="4"/>
        <v>=IFERROR(Ratios!$O$21,"NA")</v>
      </c>
    </row>
    <row r="316" spans="1:5" x14ac:dyDescent="0.25">
      <c r="A316" s="533" t="s">
        <v>1614</v>
      </c>
      <c r="B316" s="534">
        <f>IFERROR(Ratios!$P$21,"NA")</f>
        <v>0.70930324938428535</v>
      </c>
      <c r="E316" s="522" t="str">
        <f t="shared" ca="1" si="4"/>
        <v>=IFERROR(Ratios!$P$21,"NA")</v>
      </c>
    </row>
    <row r="317" spans="1:5" x14ac:dyDescent="0.25">
      <c r="A317" s="533" t="s">
        <v>863</v>
      </c>
      <c r="B317" s="534">
        <f>IFERROR(Ratios!$C$22,"NA")</f>
        <v>15.724805929076734</v>
      </c>
      <c r="E317" s="522" t="str">
        <f t="shared" ca="1" si="4"/>
        <v>=IFERROR(Ratios!$C$22,"NA")</v>
      </c>
    </row>
    <row r="318" spans="1:5" x14ac:dyDescent="0.25">
      <c r="A318" s="533" t="s">
        <v>921</v>
      </c>
      <c r="B318" s="534">
        <f>IFERROR(Ratios!$D$22,"NA")</f>
        <v>15.69905072527761</v>
      </c>
      <c r="E318" s="522" t="str">
        <f t="shared" ca="1" si="4"/>
        <v>=IFERROR(Ratios!$D$22,"NA")</v>
      </c>
    </row>
    <row r="319" spans="1:5" x14ac:dyDescent="0.25">
      <c r="A319" s="533" t="s">
        <v>979</v>
      </c>
      <c r="B319" s="534">
        <f>IFERROR(Ratios!$E$22,"NA")</f>
        <v>15.888649672432228</v>
      </c>
      <c r="E319" s="522" t="str">
        <f t="shared" ca="1" si="4"/>
        <v>=IFERROR(Ratios!$E$22,"NA")</v>
      </c>
    </row>
    <row r="320" spans="1:5" x14ac:dyDescent="0.25">
      <c r="A320" s="533" t="s">
        <v>1037</v>
      </c>
      <c r="B320" s="534">
        <f>IFERROR(Ratios!$F$22,"NA")</f>
        <v>15.487544483985765</v>
      </c>
      <c r="E320" s="522" t="str">
        <f t="shared" ca="1" si="4"/>
        <v>=IFERROR(Ratios!$F$22,"NA")</v>
      </c>
    </row>
    <row r="321" spans="1:5" x14ac:dyDescent="0.25">
      <c r="A321" s="533" t="s">
        <v>1095</v>
      </c>
      <c r="B321" s="534">
        <f>IFERROR(Ratios!$G$22,"NA")</f>
        <v>13.603125</v>
      </c>
      <c r="E321" s="522" t="str">
        <f t="shared" ca="1" si="4"/>
        <v>=IFERROR(Ratios!$G$22,"NA")</v>
      </c>
    </row>
    <row r="322" spans="1:5" x14ac:dyDescent="0.25">
      <c r="A322" s="533" t="s">
        <v>1153</v>
      </c>
      <c r="B322" s="534">
        <f>IFERROR(Ratios!$H$22,"NA")</f>
        <v>6.5107794361525704</v>
      </c>
      <c r="E322" s="522" t="str">
        <f t="shared" ca="1" si="4"/>
        <v>=IFERROR(Ratios!$H$22,"NA")</v>
      </c>
    </row>
    <row r="323" spans="1:5" x14ac:dyDescent="0.25">
      <c r="A323" s="533" t="s">
        <v>1211</v>
      </c>
      <c r="B323" s="534">
        <f>IFERROR(Ratios!$I$22,"NA")</f>
        <v>13.726950354609929</v>
      </c>
      <c r="E323" s="522" t="str">
        <f t="shared" ref="E323:E386" ca="1" si="5">_xlfn.FORMULATEXT(B323)</f>
        <v>=IFERROR(Ratios!$I$22,"NA")</v>
      </c>
    </row>
    <row r="324" spans="1:5" x14ac:dyDescent="0.25">
      <c r="A324" s="533" t="s">
        <v>1269</v>
      </c>
      <c r="B324" s="534">
        <f>IFERROR(Ratios!$J$22,"NA")</f>
        <v>15.147707979626485</v>
      </c>
      <c r="E324" s="522" t="str">
        <f t="shared" ca="1" si="5"/>
        <v>=IFERROR(Ratios!$J$22,"NA")</v>
      </c>
    </row>
    <row r="325" spans="1:5" x14ac:dyDescent="0.25">
      <c r="A325" s="533" t="s">
        <v>1327</v>
      </c>
      <c r="B325" s="534">
        <f>IFERROR(Ratios!$K$22,"NA")</f>
        <v>6.4827235772357721</v>
      </c>
      <c r="E325" s="522" t="str">
        <f t="shared" ca="1" si="5"/>
        <v>=IFERROR(Ratios!$K$22,"NA")</v>
      </c>
    </row>
    <row r="326" spans="1:5" x14ac:dyDescent="0.25">
      <c r="A326" s="533" t="s">
        <v>1385</v>
      </c>
      <c r="B326" s="534">
        <f>IFERROR(Ratios!$L$22,"NA")</f>
        <v>12.554465161923455</v>
      </c>
      <c r="E326" s="522" t="str">
        <f t="shared" ca="1" si="5"/>
        <v>=IFERROR(Ratios!$L$22,"NA")</v>
      </c>
    </row>
    <row r="327" spans="1:5" x14ac:dyDescent="0.25">
      <c r="A327" s="533" t="s">
        <v>1443</v>
      </c>
      <c r="B327" s="534">
        <f>IFERROR(Ratios!$M$22,"NA")</f>
        <v>10.418247515808492</v>
      </c>
      <c r="E327" s="522" t="str">
        <f t="shared" ca="1" si="5"/>
        <v>=IFERROR(Ratios!$M$22,"NA")</v>
      </c>
    </row>
    <row r="328" spans="1:5" x14ac:dyDescent="0.25">
      <c r="A328" s="533" t="s">
        <v>1501</v>
      </c>
      <c r="B328" s="534">
        <f>IFERROR(Ratios!$N$22,"NA")</f>
        <v>10.793313069908814</v>
      </c>
      <c r="E328" s="522" t="str">
        <f t="shared" ca="1" si="5"/>
        <v>=IFERROR(Ratios!$N$22,"NA")</v>
      </c>
    </row>
    <row r="329" spans="1:5" x14ac:dyDescent="0.25">
      <c r="A329" s="533" t="s">
        <v>1559</v>
      </c>
      <c r="B329" s="534">
        <f>IFERROR(Ratios!$O$22,"NA")</f>
        <v>6.432017543859649</v>
      </c>
      <c r="E329" s="522" t="str">
        <f t="shared" ca="1" si="5"/>
        <v>=IFERROR(Ratios!$O$22,"NA")</v>
      </c>
    </row>
    <row r="330" spans="1:5" x14ac:dyDescent="0.25">
      <c r="A330" s="533" t="s">
        <v>1615</v>
      </c>
      <c r="B330" s="534">
        <f>IFERROR(Ratios!$P$22,"NA")</f>
        <v>21.855569155446755</v>
      </c>
      <c r="E330" s="522" t="str">
        <f t="shared" ca="1" si="5"/>
        <v>=IFERROR(Ratios!$P$22,"NA")</v>
      </c>
    </row>
    <row r="331" spans="1:5" x14ac:dyDescent="0.25">
      <c r="A331" s="533" t="s">
        <v>864</v>
      </c>
      <c r="B331" s="534">
        <f>IFERROR(Ratios!$C$26,"NA")</f>
        <v>0.15656555046806728</v>
      </c>
      <c r="E331" s="522" t="str">
        <f t="shared" ca="1" si="5"/>
        <v>=IFERROR(Ratios!$C$26,"NA")</v>
      </c>
    </row>
    <row r="332" spans="1:5" x14ac:dyDescent="0.25">
      <c r="A332" s="533" t="s">
        <v>922</v>
      </c>
      <c r="B332" s="534">
        <f>IFERROR(Ratios!$D$26,"NA")</f>
        <v>0.14708814773688084</v>
      </c>
      <c r="E332" s="522" t="str">
        <f t="shared" ca="1" si="5"/>
        <v>=IFERROR(Ratios!$D$26,"NA")</v>
      </c>
    </row>
    <row r="333" spans="1:5" x14ac:dyDescent="0.25">
      <c r="A333" s="533" t="s">
        <v>980</v>
      </c>
      <c r="B333" s="534">
        <f>IFERROR(Ratios!$E$26,"NA")</f>
        <v>0.12555704207142485</v>
      </c>
      <c r="E333" s="522" t="str">
        <f t="shared" ca="1" si="5"/>
        <v>=IFERROR(Ratios!$E$26,"NA")</v>
      </c>
    </row>
    <row r="334" spans="1:5" x14ac:dyDescent="0.25">
      <c r="A334" s="533" t="s">
        <v>1038</v>
      </c>
      <c r="B334" s="534">
        <f>IFERROR(Ratios!$F$26,"NA")</f>
        <v>9.6600000000000005E-2</v>
      </c>
      <c r="E334" s="522" t="str">
        <f t="shared" ca="1" si="5"/>
        <v>=IFERROR(Ratios!$F$26,"NA")</v>
      </c>
    </row>
    <row r="335" spans="1:5" x14ac:dyDescent="0.25">
      <c r="A335" s="533" t="s">
        <v>1096</v>
      </c>
      <c r="B335" s="534">
        <f>IFERROR(Ratios!$G$26,"NA")</f>
        <v>7.6600000000000001E-2</v>
      </c>
      <c r="E335" s="522" t="str">
        <f t="shared" ca="1" si="5"/>
        <v>=IFERROR(Ratios!$G$26,"NA")</v>
      </c>
    </row>
    <row r="336" spans="1:5" x14ac:dyDescent="0.25">
      <c r="A336" s="533" t="s">
        <v>1154</v>
      </c>
      <c r="B336" s="534">
        <f>IFERROR(Ratios!$H$26,"NA")</f>
        <v>4.2000000000000003E-2</v>
      </c>
      <c r="E336" s="522" t="str">
        <f t="shared" ca="1" si="5"/>
        <v>=IFERROR(Ratios!$H$26,"NA")</v>
      </c>
    </row>
    <row r="337" spans="1:5" x14ac:dyDescent="0.25">
      <c r="A337" s="533" t="s">
        <v>1212</v>
      </c>
      <c r="B337" s="534">
        <f>IFERROR(Ratios!$I$26,"NA")</f>
        <v>0.24850000000000003</v>
      </c>
      <c r="E337" s="522" t="str">
        <f t="shared" ca="1" si="5"/>
        <v>=IFERROR(Ratios!$I$26,"NA")</v>
      </c>
    </row>
    <row r="338" spans="1:5" x14ac:dyDescent="0.25">
      <c r="A338" s="533" t="s">
        <v>1270</v>
      </c>
      <c r="B338" s="534">
        <f>IFERROR(Ratios!$J$26,"NA")</f>
        <v>0.54270000000000007</v>
      </c>
      <c r="E338" s="522" t="str">
        <f t="shared" ca="1" si="5"/>
        <v>=IFERROR(Ratios!$J$26,"NA")</v>
      </c>
    </row>
    <row r="339" spans="1:5" x14ac:dyDescent="0.25">
      <c r="A339" s="533" t="s">
        <v>1328</v>
      </c>
      <c r="B339" s="534">
        <f>IFERROR(Ratios!$K$26,"NA")</f>
        <v>-5.9500000000000004E-2</v>
      </c>
      <c r="E339" s="522" t="str">
        <f t="shared" ca="1" si="5"/>
        <v>=IFERROR(Ratios!$K$26,"NA")</v>
      </c>
    </row>
    <row r="340" spans="1:5" x14ac:dyDescent="0.25">
      <c r="A340" s="533" t="s">
        <v>1386</v>
      </c>
      <c r="B340" s="534">
        <f>IFERROR(Ratios!$L$26,"NA")</f>
        <v>0.16269999999999998</v>
      </c>
      <c r="E340" s="522" t="str">
        <f t="shared" ca="1" si="5"/>
        <v>=IFERROR(Ratios!$L$26,"NA")</v>
      </c>
    </row>
    <row r="341" spans="1:5" x14ac:dyDescent="0.25">
      <c r="A341" s="533" t="s">
        <v>1444</v>
      </c>
      <c r="B341" s="534">
        <f>IFERROR(Ratios!$M$26,"NA")</f>
        <v>0.2545</v>
      </c>
      <c r="E341" s="522" t="str">
        <f t="shared" ca="1" si="5"/>
        <v>=IFERROR(Ratios!$M$26,"NA")</v>
      </c>
    </row>
    <row r="342" spans="1:5" x14ac:dyDescent="0.25">
      <c r="A342" s="533" t="s">
        <v>1502</v>
      </c>
      <c r="B342" s="534">
        <f>IFERROR(Ratios!$N$26,"NA")</f>
        <v>0.2666</v>
      </c>
      <c r="E342" s="522" t="str">
        <f t="shared" ca="1" si="5"/>
        <v>=IFERROR(Ratios!$N$26,"NA")</v>
      </c>
    </row>
    <row r="343" spans="1:5" x14ac:dyDescent="0.25">
      <c r="A343" s="533" t="s">
        <v>1560</v>
      </c>
      <c r="B343" s="534">
        <f>IFERROR(Ratios!$O$26,"NA")</f>
        <v>1.236</v>
      </c>
      <c r="E343" s="522" t="str">
        <f t="shared" ca="1" si="5"/>
        <v>=IFERROR(Ratios!$O$26,"NA")</v>
      </c>
    </row>
    <row r="344" spans="1:5" x14ac:dyDescent="0.25">
      <c r="A344" s="533" t="s">
        <v>1616</v>
      </c>
      <c r="B344" s="534">
        <f>IFERROR(Ratios!$P$26,"NA")</f>
        <v>-1.3756999999999999</v>
      </c>
      <c r="E344" s="522" t="str">
        <f t="shared" ca="1" si="5"/>
        <v>=IFERROR(Ratios!$P$26,"NA")</v>
      </c>
    </row>
    <row r="345" spans="1:5" x14ac:dyDescent="0.25">
      <c r="A345" s="533" t="s">
        <v>865</v>
      </c>
      <c r="B345" s="534">
        <f>IFERROR(Ratios!$C$27,"NA")</f>
        <v>6.2674457080595436E-2</v>
      </c>
      <c r="E345" s="522" t="str">
        <f t="shared" ca="1" si="5"/>
        <v>=IFERROR(Ratios!$C$27,"NA")</v>
      </c>
    </row>
    <row r="346" spans="1:5" x14ac:dyDescent="0.25">
      <c r="A346" s="533" t="s">
        <v>923</v>
      </c>
      <c r="B346" s="534">
        <f>IFERROR(Ratios!$D$27,"NA")</f>
        <v>5.9271032269046772E-2</v>
      </c>
      <c r="E346" s="522" t="str">
        <f t="shared" ca="1" si="5"/>
        <v>=IFERROR(Ratios!$D$27,"NA")</v>
      </c>
    </row>
    <row r="347" spans="1:5" x14ac:dyDescent="0.25">
      <c r="A347" s="533" t="s">
        <v>981</v>
      </c>
      <c r="B347" s="534">
        <f>IFERROR(Ratios!$E$27,"NA")</f>
        <v>5.1461206429013549E-2</v>
      </c>
      <c r="E347" s="522" t="str">
        <f t="shared" ca="1" si="5"/>
        <v>=IFERROR(Ratios!$E$27,"NA")</v>
      </c>
    </row>
    <row r="348" spans="1:5" x14ac:dyDescent="0.25">
      <c r="A348" s="533" t="s">
        <v>1039</v>
      </c>
      <c r="B348" s="534">
        <f>IFERROR(Ratios!$F$27,"NA")</f>
        <v>3.7501686226898694E-2</v>
      </c>
      <c r="E348" s="522" t="str">
        <f t="shared" ca="1" si="5"/>
        <v>=IFERROR(Ratios!$F$27,"NA")</v>
      </c>
    </row>
    <row r="349" spans="1:5" x14ac:dyDescent="0.25">
      <c r="A349" s="533" t="s">
        <v>1097</v>
      </c>
      <c r="B349" s="534">
        <f>IFERROR(Ratios!$G$27,"NA")</f>
        <v>3.7548337050324836E-2</v>
      </c>
      <c r="E349" s="522" t="str">
        <f t="shared" ca="1" si="5"/>
        <v>=IFERROR(Ratios!$G$27,"NA")</v>
      </c>
    </row>
    <row r="350" spans="1:5" x14ac:dyDescent="0.25">
      <c r="A350" s="533" t="s">
        <v>1155</v>
      </c>
      <c r="B350" s="534">
        <f>IFERROR(Ratios!$H$27,"NA")</f>
        <v>1.4982579868662766E-2</v>
      </c>
      <c r="E350" s="522" t="str">
        <f t="shared" ca="1" si="5"/>
        <v>=IFERROR(Ratios!$H$27,"NA")</v>
      </c>
    </row>
    <row r="351" spans="1:5" x14ac:dyDescent="0.25">
      <c r="A351" s="533" t="s">
        <v>1213</v>
      </c>
      <c r="B351" s="534">
        <f>IFERROR(Ratios!$I$27,"NA")</f>
        <v>0.11619760264995353</v>
      </c>
      <c r="E351" s="522" t="str">
        <f t="shared" ca="1" si="5"/>
        <v>=IFERROR(Ratios!$I$27,"NA")</v>
      </c>
    </row>
    <row r="352" spans="1:5" x14ac:dyDescent="0.25">
      <c r="A352" s="533" t="s">
        <v>1271</v>
      </c>
      <c r="B352" s="534">
        <f>IFERROR(Ratios!$J$27,"NA")</f>
        <v>5.3842992190711057E-2</v>
      </c>
      <c r="E352" s="522" t="str">
        <f t="shared" ca="1" si="5"/>
        <v>=IFERROR(Ratios!$J$27,"NA")</v>
      </c>
    </row>
    <row r="353" spans="1:5" x14ac:dyDescent="0.25">
      <c r="A353" s="533" t="s">
        <v>1329</v>
      </c>
      <c r="B353" s="534">
        <f>IFERROR(Ratios!$K$27,"NA")</f>
        <v>0.24706062513824845</v>
      </c>
      <c r="E353" s="522" t="str">
        <f t="shared" ca="1" si="5"/>
        <v>=IFERROR(Ratios!$K$27,"NA")</v>
      </c>
    </row>
    <row r="354" spans="1:5" x14ac:dyDescent="0.25">
      <c r="A354" s="533" t="s">
        <v>1387</v>
      </c>
      <c r="B354" s="534">
        <f>IFERROR(Ratios!$L$27,"NA")</f>
        <v>8.6517016189849652E-2</v>
      </c>
      <c r="E354" s="522" t="str">
        <f t="shared" ca="1" si="5"/>
        <v>=IFERROR(Ratios!$L$27,"NA")</v>
      </c>
    </row>
    <row r="355" spans="1:5" x14ac:dyDescent="0.25">
      <c r="A355" s="533" t="s">
        <v>1445</v>
      </c>
      <c r="B355" s="534">
        <f>IFERROR(Ratios!$M$27,"NA")</f>
        <v>8.6134530069714457E-2</v>
      </c>
      <c r="E355" s="522" t="str">
        <f t="shared" ca="1" si="5"/>
        <v>=IFERROR(Ratios!$M$27,"NA")</v>
      </c>
    </row>
    <row r="356" spans="1:5" x14ac:dyDescent="0.25">
      <c r="A356" s="533" t="s">
        <v>1503</v>
      </c>
      <c r="B356" s="534">
        <f>IFERROR(Ratios!$N$27,"NA")</f>
        <v>8.9338743196437406E-2</v>
      </c>
      <c r="E356" s="522" t="str">
        <f t="shared" ca="1" si="5"/>
        <v>=IFERROR(Ratios!$N$27,"NA")</v>
      </c>
    </row>
    <row r="357" spans="1:5" x14ac:dyDescent="0.25">
      <c r="A357" s="533" t="s">
        <v>1561</v>
      </c>
      <c r="B357" s="534">
        <f>IFERROR(Ratios!$O$27,"NA")</f>
        <v>5.3744524474496541E-2</v>
      </c>
      <c r="E357" s="522" t="str">
        <f t="shared" ca="1" si="5"/>
        <v>=IFERROR(Ratios!$O$27,"NA")</v>
      </c>
    </row>
    <row r="358" spans="1:5" x14ac:dyDescent="0.25">
      <c r="A358" s="533" t="s">
        <v>1617</v>
      </c>
      <c r="B358" s="534">
        <f>IFERROR(Ratios!$P$27,"NA")</f>
        <v>0.13821174980778797</v>
      </c>
      <c r="E358" s="522" t="str">
        <f t="shared" ca="1" si="5"/>
        <v>=IFERROR(Ratios!$P$27,"NA")</v>
      </c>
    </row>
    <row r="359" spans="1:5" x14ac:dyDescent="0.25">
      <c r="A359" s="533" t="s">
        <v>866</v>
      </c>
      <c r="B359" s="534">
        <f>IFERROR(Ratios!$C$28,"NA")</f>
        <v>7.8832382492529607E-2</v>
      </c>
      <c r="E359" s="522" t="str">
        <f t="shared" ca="1" si="5"/>
        <v>=IFERROR(Ratios!$C$28,"NA")</v>
      </c>
    </row>
    <row r="360" spans="1:5" x14ac:dyDescent="0.25">
      <c r="A360" s="533" t="s">
        <v>924</v>
      </c>
      <c r="B360" s="534">
        <f>IFERROR(Ratios!$D$28,"NA")</f>
        <v>7.4503975678887197E-2</v>
      </c>
      <c r="E360" s="522" t="str">
        <f t="shared" ca="1" si="5"/>
        <v>=IFERROR(Ratios!$D$28,"NA")</v>
      </c>
    </row>
    <row r="361" spans="1:5" x14ac:dyDescent="0.25">
      <c r="A361" s="533" t="s">
        <v>982</v>
      </c>
      <c r="B361" s="534">
        <f>IFERROR(Ratios!$E$28,"NA")</f>
        <v>6.3767821343623673E-2</v>
      </c>
      <c r="E361" s="522" t="str">
        <f t="shared" ca="1" si="5"/>
        <v>=IFERROR(Ratios!$E$28,"NA")</v>
      </c>
    </row>
    <row r="362" spans="1:5" x14ac:dyDescent="0.25">
      <c r="A362" s="533" t="s">
        <v>1040</v>
      </c>
      <c r="B362" s="534">
        <f>IFERROR(Ratios!$F$28,"NA")</f>
        <v>4.7832656530361693E-2</v>
      </c>
      <c r="E362" s="522" t="str">
        <f t="shared" ca="1" si="5"/>
        <v>=IFERROR(Ratios!$F$28,"NA")</v>
      </c>
    </row>
    <row r="363" spans="1:5" x14ac:dyDescent="0.25">
      <c r="A363" s="533" t="s">
        <v>1098</v>
      </c>
      <c r="B363" s="534">
        <f>IFERROR(Ratios!$G$28,"NA")</f>
        <v>3.7232497337077564E-2</v>
      </c>
      <c r="E363" s="522" t="str">
        <f t="shared" ca="1" si="5"/>
        <v>=IFERROR(Ratios!$G$28,"NA")</v>
      </c>
    </row>
    <row r="364" spans="1:5" x14ac:dyDescent="0.25">
      <c r="A364" s="533" t="s">
        <v>1156</v>
      </c>
      <c r="B364" s="534">
        <f>IFERROR(Ratios!$H$28,"NA")</f>
        <v>2.121788772597526E-2</v>
      </c>
      <c r="E364" s="522" t="str">
        <f t="shared" ca="1" si="5"/>
        <v>=IFERROR(Ratios!$H$28,"NA")</v>
      </c>
    </row>
    <row r="365" spans="1:5" x14ac:dyDescent="0.25">
      <c r="A365" s="533" t="s">
        <v>1214</v>
      </c>
      <c r="B365" s="534">
        <f>IFERROR(Ratios!$I$28,"NA")</f>
        <v>0.14981938406906264</v>
      </c>
      <c r="E365" s="522" t="str">
        <f t="shared" ca="1" si="5"/>
        <v>=IFERROR(Ratios!$I$28,"NA")</v>
      </c>
    </row>
    <row r="366" spans="1:5" x14ac:dyDescent="0.25">
      <c r="A366" s="533" t="s">
        <v>1272</v>
      </c>
      <c r="B366" s="534">
        <f>IFERROR(Ratios!$J$28,"NA")</f>
        <v>0.30923317683881063</v>
      </c>
      <c r="E366" s="522" t="str">
        <f t="shared" ca="1" si="5"/>
        <v>=IFERROR(Ratios!$J$28,"NA")</v>
      </c>
    </row>
    <row r="367" spans="1:5" x14ac:dyDescent="0.25">
      <c r="A367" s="533" t="s">
        <v>1330</v>
      </c>
      <c r="B367" s="534">
        <f>IFERROR(Ratios!$K$28,"NA")</f>
        <v>-2.5235462735462736E-2</v>
      </c>
      <c r="E367" s="522" t="str">
        <f t="shared" ca="1" si="5"/>
        <v>=IFERROR(Ratios!$K$28,"NA")</v>
      </c>
    </row>
    <row r="368" spans="1:5" x14ac:dyDescent="0.25">
      <c r="A368" s="533" t="s">
        <v>1388</v>
      </c>
      <c r="B368" s="534">
        <f>IFERROR(Ratios!$L$28,"NA")</f>
        <v>8.3910963584887241E-2</v>
      </c>
      <c r="E368" s="522" t="str">
        <f t="shared" ca="1" si="5"/>
        <v>=IFERROR(Ratios!$L$28,"NA")</v>
      </c>
    </row>
    <row r="369" spans="1:5" x14ac:dyDescent="0.25">
      <c r="A369" s="533" t="s">
        <v>1446</v>
      </c>
      <c r="B369" s="534">
        <f>IFERROR(Ratios!$M$28,"NA")</f>
        <v>0.12293321344722513</v>
      </c>
      <c r="E369" s="522" t="str">
        <f t="shared" ca="1" si="5"/>
        <v>=IFERROR(Ratios!$M$28,"NA")</v>
      </c>
    </row>
    <row r="370" spans="1:5" x14ac:dyDescent="0.25">
      <c r="A370" s="533" t="s">
        <v>1504</v>
      </c>
      <c r="B370" s="534">
        <f>IFERROR(Ratios!$N$28,"NA")</f>
        <v>0.12510168506682162</v>
      </c>
      <c r="E370" s="522" t="str">
        <f t="shared" ca="1" si="5"/>
        <v>=IFERROR(Ratios!$N$28,"NA")</v>
      </c>
    </row>
    <row r="371" spans="1:5" x14ac:dyDescent="0.25">
      <c r="A371" s="533" t="s">
        <v>1562</v>
      </c>
      <c r="B371" s="534">
        <f>IFERROR(Ratios!$O$28,"NA")</f>
        <v>0.33064882769370657</v>
      </c>
      <c r="E371" s="522" t="str">
        <f t="shared" ca="1" si="5"/>
        <v>=IFERROR(Ratios!$O$28,"NA")</v>
      </c>
    </row>
    <row r="372" spans="1:5" x14ac:dyDescent="0.25">
      <c r="A372" s="533" t="s">
        <v>1618</v>
      </c>
      <c r="B372" s="534">
        <f>IFERROR(Ratios!$P$28,"NA")</f>
        <v>-0.13079180716872738</v>
      </c>
      <c r="E372" s="522" t="str">
        <f t="shared" ca="1" si="5"/>
        <v>=IFERROR(Ratios!$P$28,"NA")</v>
      </c>
    </row>
    <row r="373" spans="1:5" x14ac:dyDescent="0.25">
      <c r="A373" s="533" t="s">
        <v>867</v>
      </c>
      <c r="B373" s="534">
        <f>IFERROR(Ratios!$C$29,"NA")</f>
        <v>0.11542792244469104</v>
      </c>
      <c r="E373" s="522" t="str">
        <f t="shared" ca="1" si="5"/>
        <v>=IFERROR(Ratios!$C$29,"NA")</v>
      </c>
    </row>
    <row r="374" spans="1:5" x14ac:dyDescent="0.25">
      <c r="A374" s="533" t="s">
        <v>925</v>
      </c>
      <c r="B374" s="534">
        <f>IFERROR(Ratios!$D$29,"NA")</f>
        <v>0.10988291478967988</v>
      </c>
      <c r="E374" s="522" t="str">
        <f t="shared" ca="1" si="5"/>
        <v>=IFERROR(Ratios!$D$29,"NA")</v>
      </c>
    </row>
    <row r="375" spans="1:5" x14ac:dyDescent="0.25">
      <c r="A375" s="533" t="s">
        <v>983</v>
      </c>
      <c r="B375" s="534">
        <f>IFERROR(Ratios!$E$29,"NA")</f>
        <v>9.8093304136627979E-2</v>
      </c>
      <c r="E375" s="522" t="str">
        <f t="shared" ca="1" si="5"/>
        <v>=IFERROR(Ratios!$E$29,"NA")</v>
      </c>
    </row>
    <row r="376" spans="1:5" x14ac:dyDescent="0.25">
      <c r="A376" s="533" t="s">
        <v>1041</v>
      </c>
      <c r="B376" s="534">
        <f>IFERROR(Ratios!$F$29,"NA")</f>
        <v>8.6199999999999999E-2</v>
      </c>
      <c r="E376" s="522" t="str">
        <f t="shared" ca="1" si="5"/>
        <v>=IFERROR(Ratios!$F$29,"NA")</v>
      </c>
    </row>
    <row r="377" spans="1:5" x14ac:dyDescent="0.25">
      <c r="A377" s="533" t="s">
        <v>1099</v>
      </c>
      <c r="B377" s="534">
        <f>IFERROR(Ratios!$G$29,"NA")</f>
        <v>8.0100000000000005E-2</v>
      </c>
      <c r="E377" s="522" t="str">
        <f t="shared" ca="1" si="5"/>
        <v>=IFERROR(Ratios!$G$29,"NA")</v>
      </c>
    </row>
    <row r="378" spans="1:5" x14ac:dyDescent="0.25">
      <c r="A378" s="533" t="s">
        <v>1157</v>
      </c>
      <c r="B378" s="534">
        <f>IFERROR(Ratios!$H$29,"NA")</f>
        <v>6.7799999999999999E-2</v>
      </c>
      <c r="E378" s="522" t="str">
        <f t="shared" ca="1" si="5"/>
        <v>=IFERROR(Ratios!$H$29,"NA")</v>
      </c>
    </row>
    <row r="379" spans="1:5" x14ac:dyDescent="0.25">
      <c r="A379" s="533" t="s">
        <v>1215</v>
      </c>
      <c r="B379" s="534">
        <f>IFERROR(Ratios!$I$29,"NA")</f>
        <v>0.1802</v>
      </c>
      <c r="E379" s="522" t="str">
        <f t="shared" ca="1" si="5"/>
        <v>=IFERROR(Ratios!$I$29,"NA")</v>
      </c>
    </row>
    <row r="380" spans="1:5" x14ac:dyDescent="0.25">
      <c r="A380" s="533" t="s">
        <v>1273</v>
      </c>
      <c r="B380" s="534">
        <f>IFERROR(Ratios!$J$29,"NA")</f>
        <v>8.6199999999999999E-2</v>
      </c>
      <c r="E380" s="522" t="str">
        <f t="shared" ca="1" si="5"/>
        <v>=IFERROR(Ratios!$J$29,"NA")</v>
      </c>
    </row>
    <row r="381" spans="1:5" x14ac:dyDescent="0.25">
      <c r="A381" s="533" t="s">
        <v>1331</v>
      </c>
      <c r="B381" s="534">
        <f>IFERROR(Ratios!$K$29,"NA")</f>
        <v>0.1507</v>
      </c>
      <c r="E381" s="522" t="str">
        <f t="shared" ca="1" si="5"/>
        <v>=IFERROR(Ratios!$K$29,"NA")</v>
      </c>
    </row>
    <row r="382" spans="1:5" x14ac:dyDescent="0.25">
      <c r="A382" s="533" t="s">
        <v>1389</v>
      </c>
      <c r="B382" s="534">
        <f>IFERROR(Ratios!$L$29,"NA")</f>
        <v>0.12839999999999999</v>
      </c>
      <c r="E382" s="522" t="str">
        <f t="shared" ca="1" si="5"/>
        <v>=IFERROR(Ratios!$L$29,"NA")</v>
      </c>
    </row>
    <row r="383" spans="1:5" x14ac:dyDescent="0.25">
      <c r="A383" s="533" t="s">
        <v>1447</v>
      </c>
      <c r="B383" s="534">
        <f>IFERROR(Ratios!$M$29,"NA")</f>
        <v>0.15029999999999999</v>
      </c>
      <c r="E383" s="522" t="str">
        <f t="shared" ca="1" si="5"/>
        <v>=IFERROR(Ratios!$M$29,"NA")</v>
      </c>
    </row>
    <row r="384" spans="1:5" x14ac:dyDescent="0.25">
      <c r="A384" s="533" t="s">
        <v>1505</v>
      </c>
      <c r="B384" s="534">
        <f>IFERROR(Ratios!$N$29,"NA")</f>
        <v>0.153</v>
      </c>
      <c r="E384" s="522" t="str">
        <f t="shared" ca="1" si="5"/>
        <v>=IFERROR(Ratios!$N$29,"NA")</v>
      </c>
    </row>
    <row r="385" spans="1:5" x14ac:dyDescent="0.25">
      <c r="A385" s="533" t="s">
        <v>1563</v>
      </c>
      <c r="B385" s="534">
        <f>IFERROR(Ratios!$O$29,"NA")</f>
        <v>0.25559999999999999</v>
      </c>
      <c r="E385" s="522" t="str">
        <f t="shared" ca="1" si="5"/>
        <v>=IFERROR(Ratios!$O$29,"NA")</v>
      </c>
    </row>
    <row r="386" spans="1:5" x14ac:dyDescent="0.25">
      <c r="A386" s="533" t="s">
        <v>1619</v>
      </c>
      <c r="B386" s="534">
        <f>IFERROR(Ratios!$P$29,"NA")</f>
        <v>-0.17449999999999999</v>
      </c>
      <c r="E386" s="522" t="str">
        <f t="shared" ca="1" si="5"/>
        <v>=IFERROR(Ratios!$P$29,"NA")</v>
      </c>
    </row>
    <row r="387" spans="1:5" x14ac:dyDescent="0.25">
      <c r="A387" s="533" t="s">
        <v>868</v>
      </c>
      <c r="B387" s="534">
        <f>IFERROR(Ratios!$C$30,"NA")</f>
        <v>0.16031473228197762</v>
      </c>
      <c r="E387" s="522" t="str">
        <f t="shared" ref="E387:E450" ca="1" si="6">_xlfn.FORMULATEXT(B387)</f>
        <v>=IFERROR(Ratios!$C$30,"NA")</v>
      </c>
    </row>
    <row r="388" spans="1:5" x14ac:dyDescent="0.25">
      <c r="A388" s="533" t="s">
        <v>926</v>
      </c>
      <c r="B388" s="534">
        <f>IFERROR(Ratios!$D$30,"NA")</f>
        <v>0.15261171091081907</v>
      </c>
      <c r="E388" s="522" t="str">
        <f t="shared" ca="1" si="6"/>
        <v>=IFERROR(Ratios!$D$30,"NA")</v>
      </c>
    </row>
    <row r="389" spans="1:5" x14ac:dyDescent="0.25">
      <c r="A389" s="533" t="s">
        <v>984</v>
      </c>
      <c r="B389" s="534">
        <f>IFERROR(Ratios!$E$30,"NA")</f>
        <v>0.13624157710593179</v>
      </c>
      <c r="E389" s="522" t="str">
        <f t="shared" ca="1" si="6"/>
        <v>=IFERROR(Ratios!$E$30,"NA")</v>
      </c>
    </row>
    <row r="390" spans="1:5" x14ac:dyDescent="0.25">
      <c r="A390" s="533" t="s">
        <v>1042</v>
      </c>
      <c r="B390" s="534">
        <f>IFERROR(Ratios!$F$30,"NA")</f>
        <v>0.10872361713278383</v>
      </c>
      <c r="E390" s="522" t="str">
        <f t="shared" ca="1" si="6"/>
        <v>=IFERROR(Ratios!$F$30,"NA")</v>
      </c>
    </row>
    <row r="391" spans="1:5" x14ac:dyDescent="0.25">
      <c r="A391" s="533" t="s">
        <v>1100</v>
      </c>
      <c r="B391" s="534">
        <f>IFERROR(Ratios!$G$30,"NA")</f>
        <v>0.10380519025951297</v>
      </c>
      <c r="E391" s="522" t="str">
        <f t="shared" ca="1" si="6"/>
        <v>=IFERROR(Ratios!$G$30,"NA")</v>
      </c>
    </row>
    <row r="392" spans="1:5" x14ac:dyDescent="0.25">
      <c r="A392" s="533" t="s">
        <v>1158</v>
      </c>
      <c r="B392" s="534">
        <f>IFERROR(Ratios!$H$30,"NA")</f>
        <v>7.4879342476226879E-2</v>
      </c>
      <c r="E392" s="522" t="str">
        <f t="shared" ca="1" si="6"/>
        <v>=IFERROR(Ratios!$H$30,"NA")</v>
      </c>
    </row>
    <row r="393" spans="1:5" x14ac:dyDescent="0.25">
      <c r="A393" s="533" t="s">
        <v>1216</v>
      </c>
      <c r="B393" s="534">
        <f>IFERROR(Ratios!$I$30,"NA")</f>
        <v>0.22582046032632297</v>
      </c>
      <c r="E393" s="522" t="str">
        <f t="shared" ca="1" si="6"/>
        <v>=IFERROR(Ratios!$I$30,"NA")</v>
      </c>
    </row>
    <row r="394" spans="1:5" x14ac:dyDescent="0.25">
      <c r="A394" s="533" t="s">
        <v>1274</v>
      </c>
      <c r="B394" s="534">
        <f>IFERROR(Ratios!$J$30,"NA")</f>
        <v>0.11883490392852772</v>
      </c>
      <c r="E394" s="522" t="str">
        <f t="shared" ca="1" si="6"/>
        <v>=IFERROR(Ratios!$J$30,"NA")</v>
      </c>
    </row>
    <row r="395" spans="1:5" x14ac:dyDescent="0.25">
      <c r="A395" s="533" t="s">
        <v>1332</v>
      </c>
      <c r="B395" s="534">
        <f>IFERROR(Ratios!$K$30,"NA")</f>
        <v>0.17305714705450273</v>
      </c>
      <c r="E395" s="522" t="str">
        <f t="shared" ca="1" si="6"/>
        <v>=IFERROR(Ratios!$K$30,"NA")</v>
      </c>
    </row>
    <row r="396" spans="1:5" x14ac:dyDescent="0.25">
      <c r="A396" s="533" t="s">
        <v>1390</v>
      </c>
      <c r="B396" s="534">
        <f>IFERROR(Ratios!$L$30,"NA")</f>
        <v>0.17902460077686663</v>
      </c>
      <c r="E396" s="522" t="str">
        <f t="shared" ca="1" si="6"/>
        <v>=IFERROR(Ratios!$L$30,"NA")</v>
      </c>
    </row>
    <row r="397" spans="1:5" x14ac:dyDescent="0.25">
      <c r="A397" s="533" t="s">
        <v>1448</v>
      </c>
      <c r="B397" s="534">
        <f>IFERROR(Ratios!$M$30,"NA")</f>
        <v>0.16272370144041903</v>
      </c>
      <c r="E397" s="522" t="str">
        <f t="shared" ca="1" si="6"/>
        <v>=IFERROR(Ratios!$M$30,"NA")</v>
      </c>
    </row>
    <row r="398" spans="1:5" x14ac:dyDescent="0.25">
      <c r="A398" s="533" t="s">
        <v>1506</v>
      </c>
      <c r="B398" s="534">
        <f>IFERROR(Ratios!$N$30,"NA")</f>
        <v>0.17085084033613446</v>
      </c>
      <c r="E398" s="522" t="str">
        <f t="shared" ca="1" si="6"/>
        <v>=IFERROR(Ratios!$N$30,"NA")</v>
      </c>
    </row>
    <row r="399" spans="1:5" x14ac:dyDescent="0.25">
      <c r="A399" s="533" t="s">
        <v>1564</v>
      </c>
      <c r="B399" s="534">
        <f>IFERROR(Ratios!$O$30,"NA")</f>
        <v>0.36280310940944427</v>
      </c>
      <c r="E399" s="522" t="str">
        <f t="shared" ca="1" si="6"/>
        <v>=IFERROR(Ratios!$O$30,"NA")</v>
      </c>
    </row>
    <row r="400" spans="1:5" x14ac:dyDescent="0.25">
      <c r="A400" s="533" t="s">
        <v>1620</v>
      </c>
      <c r="B400" s="534">
        <f>IFERROR(Ratios!$P$30,"NA")</f>
        <v>-0.18664700361978817</v>
      </c>
      <c r="E400" s="522" t="str">
        <f t="shared" ca="1" si="6"/>
        <v>=IFERROR(Ratios!$P$30,"NA")</v>
      </c>
    </row>
    <row r="401" spans="1:5" x14ac:dyDescent="0.25">
      <c r="A401" s="533" t="s">
        <v>869</v>
      </c>
      <c r="B401" s="534">
        <f>IFERROR(Ratios!$C$31,"NA")</f>
        <v>-0.92061052582181169</v>
      </c>
      <c r="E401" s="522" t="str">
        <f t="shared" ca="1" si="6"/>
        <v>=IFERROR(Ratios!$C$31,"NA")</v>
      </c>
    </row>
    <row r="402" spans="1:5" x14ac:dyDescent="0.25">
      <c r="A402" s="533" t="s">
        <v>927</v>
      </c>
      <c r="B402" s="534">
        <f>IFERROR(Ratios!$D$31,"NA")</f>
        <v>7.3721087218676153</v>
      </c>
      <c r="E402" s="522" t="str">
        <f t="shared" ca="1" si="6"/>
        <v>=IFERROR(Ratios!$D$31,"NA")</v>
      </c>
    </row>
    <row r="403" spans="1:5" x14ac:dyDescent="0.25">
      <c r="A403" s="533" t="s">
        <v>985</v>
      </c>
      <c r="B403" s="534">
        <f>IFERROR(Ratios!$E$31,"NA")</f>
        <v>-0.90370794344993766</v>
      </c>
      <c r="E403" s="522" t="str">
        <f t="shared" ca="1" si="6"/>
        <v>=IFERROR(Ratios!$E$31,"NA")</v>
      </c>
    </row>
    <row r="404" spans="1:5" x14ac:dyDescent="0.25">
      <c r="A404" s="533" t="s">
        <v>1043</v>
      </c>
      <c r="B404" s="534">
        <f>IFERROR(Ratios!$F$31,"NA")</f>
        <v>-1.2069540188431209</v>
      </c>
      <c r="E404" s="522" t="str">
        <f t="shared" ca="1" si="6"/>
        <v>=IFERROR(Ratios!$F$31,"NA")</v>
      </c>
    </row>
    <row r="405" spans="1:5" x14ac:dyDescent="0.25">
      <c r="A405" s="533" t="s">
        <v>1101</v>
      </c>
      <c r="B405" s="534">
        <f>IFERROR(Ratios!$G$31,"NA")</f>
        <v>-104.21530912122221</v>
      </c>
      <c r="E405" s="522" t="str">
        <f t="shared" ca="1" si="6"/>
        <v>=IFERROR(Ratios!$G$31,"NA")</v>
      </c>
    </row>
    <row r="406" spans="1:5" x14ac:dyDescent="0.25">
      <c r="A406" s="533" t="s">
        <v>1159</v>
      </c>
      <c r="B406" s="534">
        <f>IFERROR(Ratios!$H$31,"NA")</f>
        <v>-2.2828428036066666</v>
      </c>
      <c r="E406" s="522" t="str">
        <f t="shared" ca="1" si="6"/>
        <v>=IFERROR(Ratios!$H$31,"NA")</v>
      </c>
    </row>
    <row r="407" spans="1:5" x14ac:dyDescent="0.25">
      <c r="A407" s="533" t="s">
        <v>1217</v>
      </c>
      <c r="B407" s="534">
        <f>IFERROR(Ratios!$I$31,"NA")</f>
        <v>-3.8941669158502865</v>
      </c>
      <c r="E407" s="522" t="str">
        <f t="shared" ca="1" si="6"/>
        <v>=IFERROR(Ratios!$I$31,"NA")</v>
      </c>
    </row>
    <row r="408" spans="1:5" x14ac:dyDescent="0.25">
      <c r="A408" s="533" t="s">
        <v>1275</v>
      </c>
      <c r="B408" s="534">
        <f>IFERROR(Ratios!$J$31,"NA")</f>
        <v>-4.3305575482028109</v>
      </c>
      <c r="E408" s="522" t="str">
        <f t="shared" ca="1" si="6"/>
        <v>=IFERROR(Ratios!$J$31,"NA")</v>
      </c>
    </row>
    <row r="409" spans="1:5" x14ac:dyDescent="0.25">
      <c r="A409" s="533" t="s">
        <v>1333</v>
      </c>
      <c r="B409" s="534">
        <f>IFERROR(Ratios!$K$31,"NA")</f>
        <v>-4.6847685576784937</v>
      </c>
      <c r="E409" s="522" t="str">
        <f t="shared" ca="1" si="6"/>
        <v>=IFERROR(Ratios!$K$31,"NA")</v>
      </c>
    </row>
    <row r="410" spans="1:5" x14ac:dyDescent="0.25">
      <c r="A410" s="533" t="s">
        <v>1391</v>
      </c>
      <c r="B410" s="534">
        <f>IFERROR(Ratios!$L$31,"NA")</f>
        <v>0.37618179878439861</v>
      </c>
      <c r="E410" s="522" t="str">
        <f t="shared" ca="1" si="6"/>
        <v>=IFERROR(Ratios!$L$31,"NA")</v>
      </c>
    </row>
    <row r="411" spans="1:5" x14ac:dyDescent="0.25">
      <c r="A411" s="533" t="s">
        <v>1449</v>
      </c>
      <c r="B411" s="534">
        <f>IFERROR(Ratios!$M$31,"NA")</f>
        <v>-0.37403133176180425</v>
      </c>
      <c r="E411" s="522" t="str">
        <f t="shared" ca="1" si="6"/>
        <v>=IFERROR(Ratios!$M$31,"NA")</v>
      </c>
    </row>
    <row r="412" spans="1:5" x14ac:dyDescent="0.25">
      <c r="A412" s="533" t="s">
        <v>1507</v>
      </c>
      <c r="B412" s="534">
        <f>IFERROR(Ratios!$N$31,"NA")</f>
        <v>3.586748352987601</v>
      </c>
      <c r="E412" s="522" t="str">
        <f t="shared" ca="1" si="6"/>
        <v>=IFERROR(Ratios!$N$31,"NA")</v>
      </c>
    </row>
    <row r="413" spans="1:5" x14ac:dyDescent="0.25">
      <c r="A413" s="533" t="s">
        <v>1565</v>
      </c>
      <c r="B413" s="534">
        <f>IFERROR(Ratios!$O$31,"NA")</f>
        <v>36.710102284347776</v>
      </c>
      <c r="E413" s="522" t="str">
        <f t="shared" ca="1" si="6"/>
        <v>=IFERROR(Ratios!$O$31,"NA")</v>
      </c>
    </row>
    <row r="414" spans="1:5" x14ac:dyDescent="0.25">
      <c r="A414" s="533" t="s">
        <v>870</v>
      </c>
      <c r="B414" s="534">
        <f>IFERROR(Ratios!$C$35,"NA")</f>
        <v>0.60185603894130335</v>
      </c>
      <c r="E414" s="522" t="str">
        <f t="shared" ca="1" si="6"/>
        <v>=IFERROR(Ratios!$C$35,"NA")</v>
      </c>
    </row>
    <row r="415" spans="1:5" x14ac:dyDescent="0.25">
      <c r="A415" s="533" t="s">
        <v>928</v>
      </c>
      <c r="B415" s="534">
        <f>IFERROR(Ratios!$D$35,"NA")</f>
        <v>0.59746850252970585</v>
      </c>
      <c r="E415" s="522" t="str">
        <f t="shared" ca="1" si="6"/>
        <v>=IFERROR(Ratios!$D$35,"NA")</v>
      </c>
    </row>
    <row r="416" spans="1:5" x14ac:dyDescent="0.25">
      <c r="A416" s="533" t="s">
        <v>986</v>
      </c>
      <c r="B416" s="534">
        <f>IFERROR(Ratios!$E$35,"NA")</f>
        <v>0.59659066485699808</v>
      </c>
      <c r="E416" s="522" t="str">
        <f t="shared" ca="1" si="6"/>
        <v>=IFERROR(Ratios!$E$35,"NA")</v>
      </c>
    </row>
    <row r="417" spans="1:5" x14ac:dyDescent="0.25">
      <c r="A417" s="533" t="s">
        <v>1044</v>
      </c>
      <c r="B417" s="534">
        <f>IFERROR(Ratios!$F$35,"NA")</f>
        <v>0.4133</v>
      </c>
      <c r="E417" s="522" t="str">
        <f t="shared" ca="1" si="6"/>
        <v>=IFERROR(Ratios!$F$35,"NA")</v>
      </c>
    </row>
    <row r="418" spans="1:5" x14ac:dyDescent="0.25">
      <c r="A418" s="533" t="s">
        <v>1102</v>
      </c>
      <c r="B418" s="534">
        <f>IFERROR(Ratios!$G$35,"NA")</f>
        <v>0.42479999999999996</v>
      </c>
      <c r="E418" s="522" t="str">
        <f t="shared" ca="1" si="6"/>
        <v>=IFERROR(Ratios!$G$35,"NA")</v>
      </c>
    </row>
    <row r="419" spans="1:5" x14ac:dyDescent="0.25">
      <c r="A419" s="533" t="s">
        <v>1160</v>
      </c>
      <c r="B419" s="534">
        <f>IFERROR(Ratios!$H$35,"NA")</f>
        <v>0.45939999999999998</v>
      </c>
      <c r="E419" s="522" t="str">
        <f t="shared" ca="1" si="6"/>
        <v>=IFERROR(Ratios!$H$35,"NA")</v>
      </c>
    </row>
    <row r="420" spans="1:5" x14ac:dyDescent="0.25">
      <c r="A420" s="533" t="s">
        <v>1218</v>
      </c>
      <c r="B420" s="534">
        <f>IFERROR(Ratios!$I$35,"NA")</f>
        <v>0.31969999999999998</v>
      </c>
      <c r="E420" s="522" t="str">
        <f t="shared" ca="1" si="6"/>
        <v>=IFERROR(Ratios!$I$35,"NA")</v>
      </c>
    </row>
    <row r="421" spans="1:5" x14ac:dyDescent="0.25">
      <c r="A421" s="533" t="s">
        <v>1276</v>
      </c>
      <c r="B421" s="534">
        <f>IFERROR(Ratios!$J$35,"NA")</f>
        <v>0.30059999999999998</v>
      </c>
      <c r="E421" s="522" t="str">
        <f t="shared" ca="1" si="6"/>
        <v>=IFERROR(Ratios!$J$35,"NA")</v>
      </c>
    </row>
    <row r="422" spans="1:5" x14ac:dyDescent="0.25">
      <c r="A422" s="533" t="s">
        <v>1334</v>
      </c>
      <c r="B422" s="534">
        <f>IFERROR(Ratios!$K$35,"NA")</f>
        <v>0.31719999999999998</v>
      </c>
      <c r="E422" s="522" t="str">
        <f t="shared" ca="1" si="6"/>
        <v>=IFERROR(Ratios!$K$35,"NA")</v>
      </c>
    </row>
    <row r="423" spans="1:5" x14ac:dyDescent="0.25">
      <c r="A423" s="533" t="s">
        <v>1392</v>
      </c>
      <c r="B423" s="534">
        <f>IFERROR(Ratios!$L$35,"NA")</f>
        <v>0.24530000000000002</v>
      </c>
      <c r="E423" s="522" t="str">
        <f t="shared" ca="1" si="6"/>
        <v>=IFERROR(Ratios!$L$35,"NA")</v>
      </c>
    </row>
    <row r="424" spans="1:5" x14ac:dyDescent="0.25">
      <c r="A424" s="533" t="s">
        <v>1450</v>
      </c>
      <c r="B424" s="534">
        <f>IFERROR(Ratios!$M$35,"NA")</f>
        <v>0.26340000000000002</v>
      </c>
      <c r="E424" s="522" t="str">
        <f t="shared" ca="1" si="6"/>
        <v>=IFERROR(Ratios!$M$35,"NA")</v>
      </c>
    </row>
    <row r="425" spans="1:5" x14ac:dyDescent="0.25">
      <c r="A425" s="533" t="s">
        <v>1508</v>
      </c>
      <c r="B425" s="534">
        <f>IFERROR(Ratios!$N$35,"NA")</f>
        <v>0.25019999999999998</v>
      </c>
      <c r="E425" s="522" t="str">
        <f t="shared" ca="1" si="6"/>
        <v>=IFERROR(Ratios!$N$35,"NA")</v>
      </c>
    </row>
    <row r="426" spans="1:5" x14ac:dyDescent="0.25">
      <c r="A426" s="533" t="s">
        <v>1566</v>
      </c>
      <c r="B426" s="534">
        <f>IFERROR(Ratios!$O$35,"NA")</f>
        <v>0.27500000000000002</v>
      </c>
      <c r="E426" s="522" t="str">
        <f t="shared" ca="1" si="6"/>
        <v>=IFERROR(Ratios!$O$35,"NA")</v>
      </c>
    </row>
    <row r="427" spans="1:5" x14ac:dyDescent="0.25">
      <c r="A427" s="533" t="s">
        <v>1621</v>
      </c>
      <c r="B427" s="534">
        <f>IFERROR(Ratios!$P$35,"NA")</f>
        <v>0.66459999999999997</v>
      </c>
      <c r="E427" s="522" t="str">
        <f t="shared" ca="1" si="6"/>
        <v>=IFERROR(Ratios!$P$35,"NA")</v>
      </c>
    </row>
    <row r="428" spans="1:5" x14ac:dyDescent="0.25">
      <c r="A428" s="533" t="s">
        <v>871</v>
      </c>
      <c r="B428" s="534">
        <f>IFERROR(Ratios!$C$36,"NA")</f>
        <v>1.0073435442923275</v>
      </c>
      <c r="E428" s="522" t="str">
        <f t="shared" ca="1" si="6"/>
        <v>=IFERROR(Ratios!$C$36,"NA")</v>
      </c>
    </row>
    <row r="429" spans="1:5" x14ac:dyDescent="0.25">
      <c r="A429" s="533" t="s">
        <v>929</v>
      </c>
      <c r="B429" s="534">
        <f>IFERROR(Ratios!$D$36,"NA")</f>
        <v>1.0014714237490092</v>
      </c>
      <c r="E429" s="522" t="str">
        <f t="shared" ca="1" si="6"/>
        <v>=IFERROR(Ratios!$D$36,"NA")</v>
      </c>
    </row>
    <row r="430" spans="1:5" x14ac:dyDescent="0.25">
      <c r="A430" s="533" t="s">
        <v>987</v>
      </c>
      <c r="B430" s="534">
        <f>IFERROR(Ratios!$E$36,"NA")</f>
        <v>1.4434809215025359</v>
      </c>
      <c r="E430" s="522" t="str">
        <f t="shared" ca="1" si="6"/>
        <v>=IFERROR(Ratios!$E$36,"NA")</v>
      </c>
    </row>
    <row r="431" spans="1:5" x14ac:dyDescent="0.25">
      <c r="A431" s="533" t="s">
        <v>1045</v>
      </c>
      <c r="B431" s="534">
        <f>IFERROR(Ratios!$F$36,"NA")</f>
        <v>0.97292843691148789</v>
      </c>
      <c r="E431" s="522" t="str">
        <f t="shared" ca="1" si="6"/>
        <v>=IFERROR(Ratios!$F$36,"NA")</v>
      </c>
    </row>
    <row r="432" spans="1:5" x14ac:dyDescent="0.25">
      <c r="A432" s="533" t="s">
        <v>1103</v>
      </c>
      <c r="B432" s="534">
        <f>IFERROR(Ratios!$G$36,"NA")</f>
        <v>0.92468437091858946</v>
      </c>
      <c r="E432" s="522" t="str">
        <f t="shared" ca="1" si="6"/>
        <v>=IFERROR(Ratios!$G$36,"NA")</v>
      </c>
    </row>
    <row r="433" spans="1:5" x14ac:dyDescent="0.25">
      <c r="A433" s="533" t="s">
        <v>1161</v>
      </c>
      <c r="B433" s="534">
        <f>IFERROR(Ratios!$H$36,"NA")</f>
        <v>1.4369721614013138</v>
      </c>
      <c r="E433" s="522" t="str">
        <f t="shared" ca="1" si="6"/>
        <v>=IFERROR(Ratios!$H$36,"NA")</v>
      </c>
    </row>
    <row r="434" spans="1:5" x14ac:dyDescent="0.25">
      <c r="A434" s="533" t="s">
        <v>1219</v>
      </c>
      <c r="B434" s="534">
        <f>IFERROR(Ratios!$I$36,"NA")</f>
        <v>1.0635395874916833</v>
      </c>
      <c r="E434" s="522" t="str">
        <f t="shared" ca="1" si="6"/>
        <v>=IFERROR(Ratios!$I$36,"NA")</v>
      </c>
    </row>
    <row r="435" spans="1:5" x14ac:dyDescent="0.25">
      <c r="A435" s="533" t="s">
        <v>1277</v>
      </c>
      <c r="B435" s="534">
        <f>IFERROR(Ratios!$J$36,"NA")</f>
        <v>0.94766708701134927</v>
      </c>
      <c r="E435" s="522" t="str">
        <f t="shared" ca="1" si="6"/>
        <v>=IFERROR(Ratios!$J$36,"NA")</v>
      </c>
    </row>
    <row r="436" spans="1:5" x14ac:dyDescent="0.25">
      <c r="A436" s="533" t="s">
        <v>1335</v>
      </c>
      <c r="B436" s="534">
        <f>IFERROR(Ratios!$K$36,"NA")</f>
        <v>1.293110476966979</v>
      </c>
      <c r="E436" s="522" t="str">
        <f t="shared" ca="1" si="6"/>
        <v>=IFERROR(Ratios!$K$36,"NA")</v>
      </c>
    </row>
    <row r="437" spans="1:5" x14ac:dyDescent="0.25">
      <c r="A437" s="533" t="s">
        <v>1393</v>
      </c>
      <c r="B437" s="534">
        <f>IFERROR(Ratios!$L$36,"NA")</f>
        <v>0.93128321943811687</v>
      </c>
      <c r="E437" s="522" t="str">
        <f t="shared" ca="1" si="6"/>
        <v>=IFERROR(Ratios!$L$36,"NA")</v>
      </c>
    </row>
    <row r="438" spans="1:5" x14ac:dyDescent="0.25">
      <c r="A438" s="533" t="s">
        <v>1451</v>
      </c>
      <c r="B438" s="534">
        <f>IFERROR(Ratios!$M$36,"NA")</f>
        <v>1.0527577937649881</v>
      </c>
      <c r="E438" s="522" t="str">
        <f t="shared" ca="1" si="6"/>
        <v>=IFERROR(Ratios!$M$36,"NA")</v>
      </c>
    </row>
    <row r="439" spans="1:5" x14ac:dyDescent="0.25">
      <c r="A439" s="533" t="s">
        <v>1509</v>
      </c>
      <c r="B439" s="534">
        <f>IFERROR(Ratios!$N$36,"NA")</f>
        <v>0.90981818181818164</v>
      </c>
      <c r="E439" s="522" t="str">
        <f t="shared" ca="1" si="6"/>
        <v>=IFERROR(Ratios!$N$36,"NA")</v>
      </c>
    </row>
    <row r="440" spans="1:5" x14ac:dyDescent="0.25">
      <c r="A440" s="533" t="s">
        <v>1567</v>
      </c>
      <c r="B440" s="534">
        <f>IFERROR(Ratios!$O$36,"NA")</f>
        <v>0.41378272645200126</v>
      </c>
      <c r="E440" s="522" t="str">
        <f t="shared" ca="1" si="6"/>
        <v>=IFERROR(Ratios!$O$36,"NA")</v>
      </c>
    </row>
    <row r="441" spans="1:5" x14ac:dyDescent="0.25">
      <c r="A441" s="533" t="s">
        <v>872</v>
      </c>
      <c r="B441" s="534">
        <f>IFERROR(Ratios!$C$37,"NA")</f>
        <v>0.36092963105476178</v>
      </c>
      <c r="E441" s="522" t="str">
        <f t="shared" ca="1" si="6"/>
        <v>=IFERROR(Ratios!$C$37,"NA")</v>
      </c>
    </row>
    <row r="442" spans="1:5" x14ac:dyDescent="0.25">
      <c r="A442" s="533" t="s">
        <v>930</v>
      </c>
      <c r="B442" s="534">
        <f>IFERROR(Ratios!$D$37,"NA")</f>
        <v>0.37444639939758845</v>
      </c>
      <c r="E442" s="522" t="str">
        <f t="shared" ca="1" si="6"/>
        <v>=IFERROR(Ratios!$D$37,"NA")</v>
      </c>
    </row>
    <row r="443" spans="1:5" x14ac:dyDescent="0.25">
      <c r="A443" s="533" t="s">
        <v>988</v>
      </c>
      <c r="B443" s="534">
        <f>IFERROR(Ratios!$E$37,"NA")</f>
        <v>0.38918757101261892</v>
      </c>
      <c r="E443" s="522" t="str">
        <f t="shared" ca="1" si="6"/>
        <v>=IFERROR(Ratios!$E$37,"NA")</v>
      </c>
    </row>
    <row r="444" spans="1:5" x14ac:dyDescent="0.25">
      <c r="A444" s="533" t="s">
        <v>1046</v>
      </c>
      <c r="B444" s="534">
        <f>IFERROR(Ratios!$F$37,"NA")</f>
        <v>0.44508406432748537</v>
      </c>
      <c r="E444" s="522" t="str">
        <f t="shared" ca="1" si="6"/>
        <v>=IFERROR(Ratios!$F$37,"NA")</v>
      </c>
    </row>
    <row r="445" spans="1:5" x14ac:dyDescent="0.25">
      <c r="A445" s="533" t="s">
        <v>1104</v>
      </c>
      <c r="B445" s="534">
        <f>IFERROR(Ratios!$G$37,"NA")</f>
        <v>0.50344697327415244</v>
      </c>
      <c r="E445" s="522" t="str">
        <f t="shared" ca="1" si="6"/>
        <v>=IFERROR(Ratios!$G$37,"NA")</v>
      </c>
    </row>
    <row r="446" spans="1:5" x14ac:dyDescent="0.25">
      <c r="A446" s="533" t="s">
        <v>1162</v>
      </c>
      <c r="B446" s="534">
        <f>IFERROR(Ratios!$H$37,"NA")</f>
        <v>0.65547504847433413</v>
      </c>
      <c r="E446" s="522" t="str">
        <f t="shared" ca="1" si="6"/>
        <v>=IFERROR(Ratios!$H$37,"NA")</v>
      </c>
    </row>
    <row r="447" spans="1:5" x14ac:dyDescent="0.25">
      <c r="A447" s="533" t="s">
        <v>1220</v>
      </c>
      <c r="B447" s="534">
        <f>IFERROR(Ratios!$I$37,"NA")</f>
        <v>0.49711773326819736</v>
      </c>
      <c r="E447" s="522" t="str">
        <f t="shared" ca="1" si="6"/>
        <v>=IFERROR(Ratios!$I$37,"NA")</v>
      </c>
    </row>
    <row r="448" spans="1:5" x14ac:dyDescent="0.25">
      <c r="A448" s="533" t="s">
        <v>1278</v>
      </c>
      <c r="B448" s="534">
        <f>IFERROR(Ratios!$J$37,"NA")</f>
        <v>0.45866538646183391</v>
      </c>
      <c r="E448" s="522" t="str">
        <f t="shared" ca="1" si="6"/>
        <v>=IFERROR(Ratios!$J$37,"NA")</v>
      </c>
    </row>
    <row r="449" spans="1:5" x14ac:dyDescent="0.25">
      <c r="A449" s="533" t="s">
        <v>1336</v>
      </c>
      <c r="B449" s="534">
        <f>IFERROR(Ratios!$K$37,"NA")</f>
        <v>0.68088467614533965</v>
      </c>
      <c r="E449" s="522" t="str">
        <f t="shared" ca="1" si="6"/>
        <v>=IFERROR(Ratios!$K$37,"NA")</v>
      </c>
    </row>
    <row r="450" spans="1:5" x14ac:dyDescent="0.25">
      <c r="A450" s="533" t="s">
        <v>1394</v>
      </c>
      <c r="B450" s="534">
        <f>IFERROR(Ratios!$L$37,"NA")</f>
        <v>0.40079944653701283</v>
      </c>
      <c r="E450" s="522" t="str">
        <f t="shared" ca="1" si="6"/>
        <v>=IFERROR(Ratios!$L$37,"NA")</v>
      </c>
    </row>
    <row r="451" spans="1:5" x14ac:dyDescent="0.25">
      <c r="A451" s="533" t="s">
        <v>1452</v>
      </c>
      <c r="B451" s="534">
        <f>IFERROR(Ratios!$M$37,"NA")</f>
        <v>0.30971220502765912</v>
      </c>
      <c r="E451" s="522" t="str">
        <f t="shared" ref="E451:E514" ca="1" si="7">_xlfn.FORMULATEXT(B451)</f>
        <v>=IFERROR(Ratios!$M$37,"NA")</v>
      </c>
    </row>
    <row r="452" spans="1:5" x14ac:dyDescent="0.25">
      <c r="A452" s="533" t="s">
        <v>1510</v>
      </c>
      <c r="B452" s="534">
        <f>IFERROR(Ratios!$N$37,"NA")</f>
        <v>0.34061781137035818</v>
      </c>
      <c r="E452" s="522" t="str">
        <f t="shared" ca="1" si="7"/>
        <v>=IFERROR(Ratios!$N$37,"NA")</v>
      </c>
    </row>
    <row r="453" spans="1:5" x14ac:dyDescent="0.25">
      <c r="A453" s="533" t="s">
        <v>1568</v>
      </c>
      <c r="B453" s="534">
        <f>IFERROR(Ratios!$O$37,"NA")</f>
        <v>0.41574651944311092</v>
      </c>
      <c r="E453" s="522" t="str">
        <f t="shared" ca="1" si="7"/>
        <v>=IFERROR(Ratios!$O$37,"NA")</v>
      </c>
    </row>
    <row r="454" spans="1:5" x14ac:dyDescent="0.25">
      <c r="A454" s="533" t="s">
        <v>1622</v>
      </c>
      <c r="B454" s="534">
        <f>IFERROR(Ratios!$P$37,"NA")</f>
        <v>-24.521568627450982</v>
      </c>
      <c r="E454" s="522" t="str">
        <f t="shared" ca="1" si="7"/>
        <v>=IFERROR(Ratios!$P$37,"NA")</v>
      </c>
    </row>
    <row r="455" spans="1:5" x14ac:dyDescent="0.25">
      <c r="A455" s="533" t="s">
        <v>1830</v>
      </c>
      <c r="B455" s="534">
        <f>IFERROR(Ratios!$C$38,"NA")</f>
        <v>0.77414003868599857</v>
      </c>
      <c r="E455" s="522" t="str">
        <f t="shared" ca="1" si="7"/>
        <v>=IFERROR(Ratios!$C$38,"NA")</v>
      </c>
    </row>
    <row r="456" spans="1:5" x14ac:dyDescent="0.25">
      <c r="A456" s="533" t="s">
        <v>1831</v>
      </c>
      <c r="B456" s="534">
        <f>IFERROR(Ratios!$D$38,"NA")</f>
        <v>0.78592744955603566</v>
      </c>
      <c r="E456" s="522" t="str">
        <f t="shared" ca="1" si="7"/>
        <v>=IFERROR(Ratios!$D$38,"NA")</v>
      </c>
    </row>
    <row r="457" spans="1:5" x14ac:dyDescent="0.25">
      <c r="A457" s="533" t="s">
        <v>1832</v>
      </c>
      <c r="B457" s="534">
        <f>IFERROR(Ratios!$E$38,"NA")</f>
        <v>0.79905877050727525</v>
      </c>
      <c r="E457" s="522" t="str">
        <f t="shared" ca="1" si="7"/>
        <v>=IFERROR(Ratios!$E$38,"NA")</v>
      </c>
    </row>
    <row r="458" spans="1:5" x14ac:dyDescent="0.25">
      <c r="A458" s="533" t="s">
        <v>1833</v>
      </c>
      <c r="B458" s="534">
        <f>IFERROR(Ratios!$F$38,"NA")</f>
        <v>0.85517178362573099</v>
      </c>
      <c r="E458" s="522" t="str">
        <f t="shared" ca="1" si="7"/>
        <v>=IFERROR(Ratios!$F$38,"NA")</v>
      </c>
    </row>
    <row r="459" spans="1:5" x14ac:dyDescent="0.25">
      <c r="A459" s="533" t="s">
        <v>1834</v>
      </c>
      <c r="B459" s="534">
        <f>IFERROR(Ratios!$G$38,"NA")</f>
        <v>0.89026348097081875</v>
      </c>
      <c r="E459" s="522" t="str">
        <f t="shared" ca="1" si="7"/>
        <v>=IFERROR(Ratios!$G$38,"NA")</v>
      </c>
    </row>
    <row r="460" spans="1:5" x14ac:dyDescent="0.25">
      <c r="A460" s="533" t="s">
        <v>1835</v>
      </c>
      <c r="B460" s="534">
        <f>IFERROR(Ratios!$H$38,"NA")</f>
        <v>1.0682722726808858</v>
      </c>
      <c r="E460" s="522" t="str">
        <f t="shared" ca="1" si="7"/>
        <v>=IFERROR(Ratios!$H$38,"NA")</v>
      </c>
    </row>
    <row r="461" spans="1:5" x14ac:dyDescent="0.25">
      <c r="A461" s="533" t="s">
        <v>1836</v>
      </c>
      <c r="B461" s="534">
        <f>IFERROR(Ratios!$I$38,"NA")</f>
        <v>0.49965803615046411</v>
      </c>
      <c r="E461" s="522" t="str">
        <f t="shared" ca="1" si="7"/>
        <v>=IFERROR(Ratios!$I$38,"NA")</v>
      </c>
    </row>
    <row r="462" spans="1:5" x14ac:dyDescent="0.25">
      <c r="A462" s="533" t="s">
        <v>1837</v>
      </c>
      <c r="B462" s="534">
        <f>IFERROR(Ratios!$J$38,"NA")</f>
        <v>0.46135381661065772</v>
      </c>
      <c r="E462" s="522" t="str">
        <f t="shared" ca="1" si="7"/>
        <v>=IFERROR(Ratios!$J$38,"NA")</v>
      </c>
    </row>
    <row r="463" spans="1:5" x14ac:dyDescent="0.25">
      <c r="A463" s="533" t="s">
        <v>1838</v>
      </c>
      <c r="B463" s="534">
        <f>IFERROR(Ratios!$K$38,"NA")</f>
        <v>0.72049198826450012</v>
      </c>
      <c r="E463" s="522" t="str">
        <f t="shared" ca="1" si="7"/>
        <v>=IFERROR(Ratios!$K$38,"NA")</v>
      </c>
    </row>
    <row r="464" spans="1:5" x14ac:dyDescent="0.25">
      <c r="A464" s="533" t="s">
        <v>1839</v>
      </c>
      <c r="B464" s="534">
        <f>IFERROR(Ratios!$L$38,"NA")</f>
        <v>0.42601276039664848</v>
      </c>
      <c r="E464" s="522" t="str">
        <f t="shared" ca="1" si="7"/>
        <v>=IFERROR(Ratios!$L$38,"NA")</v>
      </c>
    </row>
    <row r="465" spans="1:5" x14ac:dyDescent="0.25">
      <c r="A465" s="533" t="s">
        <v>1840</v>
      </c>
      <c r="B465" s="534">
        <f>IFERROR(Ratios!$M$38,"NA")</f>
        <v>0.33330999229745817</v>
      </c>
      <c r="E465" s="522" t="str">
        <f t="shared" ca="1" si="7"/>
        <v>=IFERROR(Ratios!$M$38,"NA")</v>
      </c>
    </row>
    <row r="466" spans="1:5" x14ac:dyDescent="0.25">
      <c r="A466" s="533" t="s">
        <v>1841</v>
      </c>
      <c r="B466" s="534">
        <f>IFERROR(Ratios!$N$38,"NA")</f>
        <v>0.36649687808084125</v>
      </c>
      <c r="E466" s="522" t="str">
        <f t="shared" ca="1" si="7"/>
        <v>=IFERROR(Ratios!$N$38,"NA")</v>
      </c>
    </row>
    <row r="467" spans="1:5" x14ac:dyDescent="0.25">
      <c r="A467" s="533" t="s">
        <v>1842</v>
      </c>
      <c r="B467" s="534">
        <f>IFERROR(Ratios!$O$38,"NA")</f>
        <v>0.43658185309649544</v>
      </c>
      <c r="E467" s="522" t="str">
        <f t="shared" ca="1" si="7"/>
        <v>=IFERROR(Ratios!$O$38,"NA")</v>
      </c>
    </row>
    <row r="468" spans="1:5" x14ac:dyDescent="0.25">
      <c r="A468" s="533" t="s">
        <v>1843</v>
      </c>
      <c r="B468" s="534">
        <f>IFERROR(Ratios!$P$38,"NA")</f>
        <v>-24.754901960784313</v>
      </c>
      <c r="E468" s="522" t="str">
        <f t="shared" ca="1" si="7"/>
        <v>=IFERROR(Ratios!$P$38,"NA")</v>
      </c>
    </row>
    <row r="469" spans="1:5" x14ac:dyDescent="0.25">
      <c r="A469" s="533" t="s">
        <v>873</v>
      </c>
      <c r="B469" s="534">
        <f>IFERROR(Ratios!$C$39,"NA")</f>
        <v>0.839450112593079</v>
      </c>
      <c r="E469" s="522" t="str">
        <f t="shared" ca="1" si="7"/>
        <v>=IFERROR(Ratios!$C$39,"NA")</v>
      </c>
    </row>
    <row r="470" spans="1:5" x14ac:dyDescent="0.25">
      <c r="A470" s="533" t="s">
        <v>931</v>
      </c>
      <c r="B470" s="534">
        <f>IFERROR(Ratios!$D$39,"NA")</f>
        <v>0.91307937710200826</v>
      </c>
      <c r="E470" s="522" t="str">
        <f t="shared" ca="1" si="7"/>
        <v>=IFERROR(Ratios!$D$39,"NA")</v>
      </c>
    </row>
    <row r="471" spans="1:5" x14ac:dyDescent="0.25">
      <c r="A471" s="533" t="s">
        <v>989</v>
      </c>
      <c r="B471" s="534">
        <f>IFERROR(Ratios!$E$39,"NA")</f>
        <v>1.0405202551954336</v>
      </c>
      <c r="E471" s="522" t="str">
        <f t="shared" ca="1" si="7"/>
        <v>=IFERROR(Ratios!$E$39,"NA")</v>
      </c>
    </row>
    <row r="472" spans="1:5" x14ac:dyDescent="0.25">
      <c r="A472" s="533" t="s">
        <v>1047</v>
      </c>
      <c r="B472" s="534">
        <f>IFERROR(Ratios!$F$39,"NA")</f>
        <v>1.3977044476327116</v>
      </c>
      <c r="E472" s="522" t="str">
        <f t="shared" ca="1" si="7"/>
        <v>=IFERROR(Ratios!$F$39,"NA")</v>
      </c>
    </row>
    <row r="473" spans="1:5" x14ac:dyDescent="0.25">
      <c r="A473" s="533" t="s">
        <v>1105</v>
      </c>
      <c r="B473" s="534">
        <f>IFERROR(Ratios!$G$39,"NA")</f>
        <v>1.6433415536374847</v>
      </c>
      <c r="E473" s="522" t="str">
        <f t="shared" ca="1" si="7"/>
        <v>=IFERROR(Ratios!$G$39,"NA")</v>
      </c>
    </row>
    <row r="474" spans="1:5" x14ac:dyDescent="0.25">
      <c r="A474" s="533" t="s">
        <v>1163</v>
      </c>
      <c r="B474" s="534">
        <f>IFERROR(Ratios!$H$39,"NA")</f>
        <v>2.3510248901903368</v>
      </c>
      <c r="E474" s="522" t="str">
        <f t="shared" ca="1" si="7"/>
        <v>=IFERROR(Ratios!$H$39,"NA")</v>
      </c>
    </row>
    <row r="475" spans="1:5" x14ac:dyDescent="0.25">
      <c r="A475" s="533" t="s">
        <v>1221</v>
      </c>
      <c r="B475" s="534">
        <f>IFERROR(Ratios!$I$39,"NA")</f>
        <v>1.1595259799453055</v>
      </c>
      <c r="E475" s="522" t="str">
        <f t="shared" ca="1" si="7"/>
        <v>=IFERROR(Ratios!$I$39,"NA")</v>
      </c>
    </row>
    <row r="476" spans="1:5" x14ac:dyDescent="0.25">
      <c r="A476" s="533" t="s">
        <v>1279</v>
      </c>
      <c r="B476" s="534">
        <f>IFERROR(Ratios!$J$39,"NA")</f>
        <v>1.6449724517906337</v>
      </c>
      <c r="E476" s="522" t="str">
        <f t="shared" ca="1" si="7"/>
        <v>=IFERROR(Ratios!$J$39,"NA")</v>
      </c>
    </row>
    <row r="477" spans="1:5" x14ac:dyDescent="0.25">
      <c r="A477" s="533" t="s">
        <v>1337</v>
      </c>
      <c r="B477" s="534">
        <f>IFERROR(Ratios!$K$39,"NA")</f>
        <v>1.2484998965445893</v>
      </c>
      <c r="E477" s="522" t="str">
        <f t="shared" ca="1" si="7"/>
        <v>=IFERROR(Ratios!$K$39,"NA")</v>
      </c>
    </row>
    <row r="478" spans="1:5" x14ac:dyDescent="0.25">
      <c r="A478" s="533" t="s">
        <v>1395</v>
      </c>
      <c r="B478" s="534">
        <f>IFERROR(Ratios!$L$39,"NA")</f>
        <v>0.94132514894385266</v>
      </c>
      <c r="E478" s="522" t="str">
        <f t="shared" ca="1" si="7"/>
        <v>=IFERROR(Ratios!$L$39,"NA")</v>
      </c>
    </row>
    <row r="479" spans="1:5" x14ac:dyDescent="0.25">
      <c r="A479" s="533" t="s">
        <v>1453</v>
      </c>
      <c r="B479" s="534">
        <f>IFERROR(Ratios!$M$39,"NA")</f>
        <v>0.88797430234892594</v>
      </c>
      <c r="E479" s="522" t="str">
        <f t="shared" ca="1" si="7"/>
        <v>=IFERROR(Ratios!$M$39,"NA")</v>
      </c>
    </row>
    <row r="480" spans="1:5" x14ac:dyDescent="0.25">
      <c r="A480" s="533" t="s">
        <v>1511</v>
      </c>
      <c r="B480" s="534">
        <f>IFERROR(Ratios!$N$39,"NA")</f>
        <v>0.94141689373296999</v>
      </c>
      <c r="E480" s="522" t="str">
        <f t="shared" ca="1" si="7"/>
        <v>=IFERROR(Ratios!$N$39,"NA")</v>
      </c>
    </row>
    <row r="481" spans="1:5" x14ac:dyDescent="0.25">
      <c r="A481" s="533" t="s">
        <v>1569</v>
      </c>
      <c r="B481" s="534">
        <f>IFERROR(Ratios!$O$39,"NA")</f>
        <v>0.58967724363339236</v>
      </c>
      <c r="E481" s="522" t="str">
        <f t="shared" ca="1" si="7"/>
        <v>=IFERROR(Ratios!$O$39,"NA")</v>
      </c>
    </row>
    <row r="482" spans="1:5" x14ac:dyDescent="0.25">
      <c r="A482" s="533" t="s">
        <v>1623</v>
      </c>
      <c r="B482" s="534">
        <f>IFERROR(Ratios!$P$39,"NA")</f>
        <v>-4.4544968833481748</v>
      </c>
      <c r="E482" s="522" t="str">
        <f t="shared" ca="1" si="7"/>
        <v>=IFERROR(Ratios!$P$39,"NA")</v>
      </c>
    </row>
    <row r="483" spans="1:5" x14ac:dyDescent="0.25">
      <c r="A483" s="533" t="s">
        <v>1844</v>
      </c>
      <c r="B483" s="534">
        <f>IFERROR(Ratios!$C$40,"NA")</f>
        <v>1.8004948519706705</v>
      </c>
      <c r="E483" s="522" t="str">
        <f t="shared" ca="1" si="7"/>
        <v>=IFERROR(Ratios!$C$40,"NA")</v>
      </c>
    </row>
    <row r="484" spans="1:5" x14ac:dyDescent="0.25">
      <c r="A484" s="533" t="s">
        <v>1845</v>
      </c>
      <c r="B484" s="534">
        <f>IFERROR(Ratios!$D$40,"NA")</f>
        <v>1.9164669422445959</v>
      </c>
      <c r="E484" s="522" t="str">
        <f t="shared" ca="1" si="7"/>
        <v>=IFERROR(Ratios!$D$40,"NA")</v>
      </c>
    </row>
    <row r="485" spans="1:5" x14ac:dyDescent="0.25">
      <c r="A485" s="533" t="s">
        <v>1846</v>
      </c>
      <c r="B485" s="534">
        <f>IFERROR(Ratios!$E$40,"NA")</f>
        <v>2.1363396411686053</v>
      </c>
      <c r="E485" s="522" t="str">
        <f t="shared" ca="1" si="7"/>
        <v>=IFERROR(Ratios!$E$40,"NA")</v>
      </c>
    </row>
    <row r="486" spans="1:5" x14ac:dyDescent="0.25">
      <c r="A486" s="533" t="s">
        <v>1847</v>
      </c>
      <c r="B486" s="534">
        <f>IFERROR(Ratios!$F$40,"NA")</f>
        <v>2.6855093256814921</v>
      </c>
      <c r="E486" s="522" t="str">
        <f t="shared" ca="1" si="7"/>
        <v>=IFERROR(Ratios!$F$40,"NA")</v>
      </c>
    </row>
    <row r="487" spans="1:5" x14ac:dyDescent="0.25">
      <c r="A487" s="533" t="s">
        <v>1848</v>
      </c>
      <c r="B487" s="534">
        <f>IFERROR(Ratios!$G$40,"NA")</f>
        <v>2.9059802712700371</v>
      </c>
      <c r="E487" s="522" t="str">
        <f t="shared" ca="1" si="7"/>
        <v>=IFERROR(Ratios!$G$40,"NA")</v>
      </c>
    </row>
    <row r="488" spans="1:5" x14ac:dyDescent="0.25">
      <c r="A488" s="533" t="s">
        <v>1849</v>
      </c>
      <c r="B488" s="534">
        <f>IFERROR(Ratios!$H$40,"NA")</f>
        <v>3.8316251830161052</v>
      </c>
      <c r="E488" s="522" t="str">
        <f t="shared" ca="1" si="7"/>
        <v>=IFERROR(Ratios!$H$40,"NA")</v>
      </c>
    </row>
    <row r="489" spans="1:5" x14ac:dyDescent="0.25">
      <c r="A489" s="533" t="s">
        <v>1850</v>
      </c>
      <c r="B489" s="534">
        <f>IFERROR(Ratios!$I$40,"NA")</f>
        <v>1.1654512306289881</v>
      </c>
      <c r="E489" s="522" t="str">
        <f t="shared" ca="1" si="7"/>
        <v>=IFERROR(Ratios!$I$40,"NA")</v>
      </c>
    </row>
    <row r="490" spans="1:5" x14ac:dyDescent="0.25">
      <c r="A490" s="533" t="s">
        <v>1851</v>
      </c>
      <c r="B490" s="534">
        <f>IFERROR(Ratios!$J$40,"NA")</f>
        <v>1.6546143250688705</v>
      </c>
      <c r="E490" s="522" t="str">
        <f t="shared" ca="1" si="7"/>
        <v>=IFERROR(Ratios!$J$40,"NA")</v>
      </c>
    </row>
    <row r="491" spans="1:5" x14ac:dyDescent="0.25">
      <c r="A491" s="533" t="s">
        <v>1852</v>
      </c>
      <c r="B491" s="534">
        <f>IFERROR(Ratios!$K$40,"NA")</f>
        <v>1.3211255948686116</v>
      </c>
      <c r="E491" s="522" t="str">
        <f t="shared" ca="1" si="7"/>
        <v>=IFERROR(Ratios!$K$40,"NA")</v>
      </c>
    </row>
    <row r="492" spans="1:5" x14ac:dyDescent="0.25">
      <c r="A492" s="533" t="s">
        <v>1853</v>
      </c>
      <c r="B492" s="534">
        <f>IFERROR(Ratios!$L$40,"NA")</f>
        <v>1.0005416140097489</v>
      </c>
      <c r="E492" s="522" t="str">
        <f t="shared" ca="1" si="7"/>
        <v>=IFERROR(Ratios!$L$40,"NA")</v>
      </c>
    </row>
    <row r="493" spans="1:5" x14ac:dyDescent="0.25">
      <c r="A493" s="533" t="s">
        <v>1854</v>
      </c>
      <c r="B493" s="534">
        <f>IFERROR(Ratios!$M$40,"NA")</f>
        <v>0.95563139931740615</v>
      </c>
      <c r="E493" s="522" t="str">
        <f t="shared" ca="1" si="7"/>
        <v>=IFERROR(Ratios!$M$40,"NA")</v>
      </c>
    </row>
    <row r="494" spans="1:5" x14ac:dyDescent="0.25">
      <c r="A494" s="533" t="s">
        <v>1855</v>
      </c>
      <c r="B494" s="534">
        <f>IFERROR(Ratios!$N$40,"NA")</f>
        <v>1.0129427792915531</v>
      </c>
      <c r="E494" s="522" t="str">
        <f t="shared" ca="1" si="7"/>
        <v>=IFERROR(Ratios!$N$40,"NA")</v>
      </c>
    </row>
    <row r="495" spans="1:5" x14ac:dyDescent="0.25">
      <c r="A495" s="533" t="s">
        <v>1856</v>
      </c>
      <c r="B495" s="534">
        <f>IFERROR(Ratios!$O$40,"NA")</f>
        <v>0.61922919787552766</v>
      </c>
      <c r="E495" s="522" t="str">
        <f t="shared" ca="1" si="7"/>
        <v>=IFERROR(Ratios!$O$40,"NA")</v>
      </c>
    </row>
    <row r="496" spans="1:5" x14ac:dyDescent="0.25">
      <c r="A496" s="533" t="s">
        <v>1857</v>
      </c>
      <c r="B496" s="534">
        <f>IFERROR(Ratios!$P$40,"NA")</f>
        <v>-4.4968833481745323</v>
      </c>
      <c r="E496" s="522" t="str">
        <f t="shared" ca="1" si="7"/>
        <v>=IFERROR(Ratios!$P$40,"NA")</v>
      </c>
    </row>
    <row r="497" spans="1:5" x14ac:dyDescent="0.25">
      <c r="A497" s="533" t="s">
        <v>874</v>
      </c>
      <c r="B497" s="534">
        <f>IFERROR(Ratios!$C$41,"NA")</f>
        <v>1.0574495107839703</v>
      </c>
      <c r="E497" s="522" t="str">
        <f t="shared" ca="1" si="7"/>
        <v>=IFERROR(Ratios!$C$41,"NA")</v>
      </c>
    </row>
    <row r="498" spans="1:5" x14ac:dyDescent="0.25">
      <c r="A498" s="533" t="s">
        <v>932</v>
      </c>
      <c r="B498" s="534">
        <f>IFERROR(Ratios!$D$41,"NA")</f>
        <v>1.0473945914716187</v>
      </c>
      <c r="E498" s="522" t="str">
        <f t="shared" ca="1" si="7"/>
        <v>=IFERROR(Ratios!$D$41,"NA")</v>
      </c>
    </row>
    <row r="499" spans="1:5" x14ac:dyDescent="0.25">
      <c r="A499" s="533" t="s">
        <v>990</v>
      </c>
      <c r="B499" s="534">
        <f>IFERROR(Ratios!$E$41,"NA")</f>
        <v>1.0331855556135807</v>
      </c>
      <c r="E499" s="522" t="str">
        <f t="shared" ca="1" si="7"/>
        <v>=IFERROR(Ratios!$E$41,"NA")</v>
      </c>
    </row>
    <row r="500" spans="1:5" x14ac:dyDescent="0.25">
      <c r="A500" s="533" t="s">
        <v>1048</v>
      </c>
      <c r="B500" s="534">
        <f>IFERROR(Ratios!$F$41,"NA")</f>
        <v>1.03</v>
      </c>
      <c r="E500" s="522" t="str">
        <f t="shared" ca="1" si="7"/>
        <v>=IFERROR(Ratios!$F$41,"NA")</v>
      </c>
    </row>
    <row r="501" spans="1:5" x14ac:dyDescent="0.25">
      <c r="A501" s="533" t="s">
        <v>1106</v>
      </c>
      <c r="B501" s="534">
        <f>IFERROR(Ratios!$G$41,"NA")</f>
        <v>1</v>
      </c>
      <c r="E501" s="522" t="str">
        <f t="shared" ca="1" si="7"/>
        <v>=IFERROR(Ratios!$G$41,"NA")</v>
      </c>
    </row>
    <row r="502" spans="1:5" x14ac:dyDescent="0.25">
      <c r="A502" s="533" t="s">
        <v>1164</v>
      </c>
      <c r="B502" s="534">
        <f>IFERROR(Ratios!$H$41,"NA")</f>
        <v>1.21</v>
      </c>
      <c r="E502" s="522" t="str">
        <f t="shared" ca="1" si="7"/>
        <v>=IFERROR(Ratios!$H$41,"NA")</v>
      </c>
    </row>
    <row r="503" spans="1:5" x14ac:dyDescent="0.25">
      <c r="A503" s="533" t="s">
        <v>1222</v>
      </c>
      <c r="B503" s="534">
        <f>IFERROR(Ratios!$I$41,"NA")</f>
        <v>1.04</v>
      </c>
      <c r="E503" s="522" t="str">
        <f t="shared" ca="1" si="7"/>
        <v>=IFERROR(Ratios!$I$41,"NA")</v>
      </c>
    </row>
    <row r="504" spans="1:5" x14ac:dyDescent="0.25">
      <c r="A504" s="533" t="s">
        <v>1280</v>
      </c>
      <c r="B504" s="534">
        <f>IFERROR(Ratios!$J$41,"NA")</f>
        <v>1.25</v>
      </c>
      <c r="E504" s="522" t="str">
        <f t="shared" ca="1" si="7"/>
        <v>=IFERROR(Ratios!$J$41,"NA")</v>
      </c>
    </row>
    <row r="505" spans="1:5" x14ac:dyDescent="0.25">
      <c r="A505" s="533" t="s">
        <v>1338</v>
      </c>
      <c r="B505" s="534">
        <f>IFERROR(Ratios!$K$41,"NA")</f>
        <v>1.06</v>
      </c>
      <c r="E505" s="522" t="str">
        <f t="shared" ca="1" si="7"/>
        <v>=IFERROR(Ratios!$K$41,"NA")</v>
      </c>
    </row>
    <row r="506" spans="1:5" x14ac:dyDescent="0.25">
      <c r="A506" s="533" t="s">
        <v>1396</v>
      </c>
      <c r="B506" s="534">
        <f>IFERROR(Ratios!$L$41,"NA")</f>
        <v>1.07</v>
      </c>
      <c r="E506" s="522" t="str">
        <f t="shared" ca="1" si="7"/>
        <v>=IFERROR(Ratios!$L$41,"NA")</v>
      </c>
    </row>
    <row r="507" spans="1:5" x14ac:dyDescent="0.25">
      <c r="A507" s="533" t="s">
        <v>1454</v>
      </c>
      <c r="B507" s="534">
        <f>IFERROR(Ratios!$M$41,"NA")</f>
        <v>1.02</v>
      </c>
      <c r="E507" s="522" t="str">
        <f t="shared" ca="1" si="7"/>
        <v>=IFERROR(Ratios!$M$41,"NA")</v>
      </c>
    </row>
    <row r="508" spans="1:5" x14ac:dyDescent="0.25">
      <c r="A508" s="533" t="s">
        <v>1512</v>
      </c>
      <c r="B508" s="534">
        <f>IFERROR(Ratios!$N$41,"NA")</f>
        <v>0.97</v>
      </c>
      <c r="E508" s="522" t="str">
        <f t="shared" ca="1" si="7"/>
        <v>=IFERROR(Ratios!$N$41,"NA")</v>
      </c>
    </row>
    <row r="509" spans="1:5" x14ac:dyDescent="0.25">
      <c r="A509" s="533" t="s">
        <v>1570</v>
      </c>
      <c r="B509" s="534">
        <f>IFERROR(Ratios!$O$41,"NA")</f>
        <v>1.01</v>
      </c>
      <c r="E509" s="522" t="str">
        <f t="shared" ca="1" si="7"/>
        <v>=IFERROR(Ratios!$O$41,"NA")</v>
      </c>
    </row>
    <row r="510" spans="1:5" x14ac:dyDescent="0.25">
      <c r="A510" s="533" t="s">
        <v>1624</v>
      </c>
      <c r="B510" s="534">
        <f>IFERROR(Ratios!$P$41,"NA")</f>
        <v>1.05</v>
      </c>
      <c r="E510" s="522" t="str">
        <f t="shared" ca="1" si="7"/>
        <v>=IFERROR(Ratios!$P$41,"NA")</v>
      </c>
    </row>
    <row r="511" spans="1:5" x14ac:dyDescent="0.25">
      <c r="A511" s="533" t="s">
        <v>875</v>
      </c>
      <c r="B511" s="534">
        <f>IFERROR(Ratios!$C$42,"NA")</f>
        <v>0.12505714394589412</v>
      </c>
      <c r="E511" s="522" t="str">
        <f t="shared" ca="1" si="7"/>
        <v>=IFERROR(Ratios!$C$42,"NA")</v>
      </c>
    </row>
    <row r="512" spans="1:5" x14ac:dyDescent="0.25">
      <c r="A512" s="533" t="s">
        <v>933</v>
      </c>
      <c r="B512" s="534">
        <f>IFERROR(Ratios!$D$42,"NA")</f>
        <v>0.11901032231588705</v>
      </c>
      <c r="E512" s="522" t="str">
        <f t="shared" ca="1" si="7"/>
        <v>=IFERROR(Ratios!$D$42,"NA")</v>
      </c>
    </row>
    <row r="513" spans="1:5" x14ac:dyDescent="0.25">
      <c r="A513" s="533" t="s">
        <v>991</v>
      </c>
      <c r="B513" s="534">
        <f>IFERROR(Ratios!$E$42,"NA")</f>
        <v>0.12546319005564485</v>
      </c>
      <c r="E513" s="522" t="str">
        <f t="shared" ca="1" si="7"/>
        <v>=IFERROR(Ratios!$E$42,"NA")</v>
      </c>
    </row>
    <row r="514" spans="1:5" x14ac:dyDescent="0.25">
      <c r="A514" s="533" t="s">
        <v>1049</v>
      </c>
      <c r="B514" s="534">
        <f>IFERROR(Ratios!$F$42,"NA")</f>
        <v>0.83</v>
      </c>
      <c r="E514" s="522" t="str">
        <f t="shared" ca="1" si="7"/>
        <v>=IFERROR(Ratios!$F$42,"NA")</v>
      </c>
    </row>
    <row r="515" spans="1:5" x14ac:dyDescent="0.25">
      <c r="A515" s="533" t="s">
        <v>1107</v>
      </c>
      <c r="B515" s="534">
        <f>IFERROR(Ratios!$G$42,"NA")</f>
        <v>0.82</v>
      </c>
      <c r="E515" s="522" t="str">
        <f t="shared" ref="E515:E578" ca="1" si="8">_xlfn.FORMULATEXT(B515)</f>
        <v>=IFERROR(Ratios!$G$42,"NA")</v>
      </c>
    </row>
    <row r="516" spans="1:5" x14ac:dyDescent="0.25">
      <c r="A516" s="533" t="s">
        <v>1165</v>
      </c>
      <c r="B516" s="534">
        <f>IFERROR(Ratios!$H$42,"NA")</f>
        <v>0.8</v>
      </c>
      <c r="E516" s="522" t="str">
        <f t="shared" ca="1" si="8"/>
        <v>=IFERROR(Ratios!$H$42,"NA")</v>
      </c>
    </row>
    <row r="517" spans="1:5" x14ac:dyDescent="0.25">
      <c r="A517" s="533" t="s">
        <v>1223</v>
      </c>
      <c r="B517" s="534">
        <f>IFERROR(Ratios!$I$42,"NA")</f>
        <v>1.03</v>
      </c>
      <c r="E517" s="522" t="str">
        <f t="shared" ca="1" si="8"/>
        <v>=IFERROR(Ratios!$I$42,"NA")</v>
      </c>
    </row>
    <row r="518" spans="1:5" x14ac:dyDescent="0.25">
      <c r="A518" s="533" t="s">
        <v>1281</v>
      </c>
      <c r="B518" s="534">
        <f>IFERROR(Ratios!$J$42,"NA")</f>
        <v>0.85</v>
      </c>
      <c r="E518" s="522" t="str">
        <f t="shared" ca="1" si="8"/>
        <v>=IFERROR(Ratios!$J$42,"NA")</v>
      </c>
    </row>
    <row r="519" spans="1:5" x14ac:dyDescent="0.25">
      <c r="A519" s="533" t="s">
        <v>1339</v>
      </c>
      <c r="B519" s="534">
        <f>IFERROR(Ratios!$K$42,"NA")</f>
        <v>0.65</v>
      </c>
      <c r="E519" s="522" t="str">
        <f t="shared" ca="1" si="8"/>
        <v>=IFERROR(Ratios!$K$42,"NA")</v>
      </c>
    </row>
    <row r="520" spans="1:5" x14ac:dyDescent="0.25">
      <c r="A520" s="533" t="s">
        <v>1397</v>
      </c>
      <c r="B520" s="534">
        <f>IFERROR(Ratios!$L$42,"NA")</f>
        <v>1.21</v>
      </c>
      <c r="E520" s="522" t="str">
        <f t="shared" ca="1" si="8"/>
        <v>=IFERROR(Ratios!$L$42,"NA")</v>
      </c>
    </row>
    <row r="521" spans="1:5" x14ac:dyDescent="0.25">
      <c r="A521" s="533" t="s">
        <v>1455</v>
      </c>
      <c r="B521" s="534">
        <f>IFERROR(Ratios!$M$42,"NA")</f>
        <v>1.1499999999999999</v>
      </c>
      <c r="E521" s="522" t="str">
        <f t="shared" ca="1" si="8"/>
        <v>=IFERROR(Ratios!$M$42,"NA")</v>
      </c>
    </row>
    <row r="522" spans="1:5" x14ac:dyDescent="0.25">
      <c r="A522" s="533" t="s">
        <v>1513</v>
      </c>
      <c r="B522" s="534">
        <f>IFERROR(Ratios!$N$42,"NA")</f>
        <v>1.26</v>
      </c>
      <c r="E522" s="522" t="str">
        <f t="shared" ca="1" si="8"/>
        <v>=IFERROR(Ratios!$N$42,"NA")</v>
      </c>
    </row>
    <row r="523" spans="1:5" x14ac:dyDescent="0.25">
      <c r="A523" s="533" t="s">
        <v>1571</v>
      </c>
      <c r="B523" s="534">
        <f>IFERROR(Ratios!$O$42,"NA")</f>
        <v>0.8</v>
      </c>
      <c r="E523" s="522" t="str">
        <f t="shared" ca="1" si="8"/>
        <v>=IFERROR(Ratios!$O$42,"NA")</v>
      </c>
    </row>
    <row r="524" spans="1:5" x14ac:dyDescent="0.25">
      <c r="A524" s="533" t="s">
        <v>1625</v>
      </c>
      <c r="B524" s="534">
        <f>IFERROR(Ratios!$P$42,"NA")</f>
        <v>0.53</v>
      </c>
      <c r="E524" s="522" t="str">
        <f t="shared" ca="1" si="8"/>
        <v>=IFERROR(Ratios!$P$42,"NA")</v>
      </c>
    </row>
    <row r="525" spans="1:5" x14ac:dyDescent="0.25">
      <c r="A525" s="533" t="s">
        <v>876</v>
      </c>
      <c r="B525" s="534">
        <f>IFERROR(Ratios!$C$43,"NA")</f>
        <v>1.0299667861181363</v>
      </c>
      <c r="E525" s="522" t="str">
        <f t="shared" ca="1" si="8"/>
        <v>=IFERROR(Ratios!$C$43,"NA")</v>
      </c>
    </row>
    <row r="526" spans="1:5" x14ac:dyDescent="0.25">
      <c r="A526" s="533" t="s">
        <v>934</v>
      </c>
      <c r="B526" s="534">
        <f>IFERROR(Ratios!$D$43,"NA")</f>
        <v>1.0735039292129513</v>
      </c>
      <c r="E526" s="522" t="str">
        <f t="shared" ca="1" si="8"/>
        <v>=IFERROR(Ratios!$D$43,"NA")</v>
      </c>
    </row>
    <row r="527" spans="1:5" x14ac:dyDescent="0.25">
      <c r="A527" s="533" t="s">
        <v>992</v>
      </c>
      <c r="B527" s="534">
        <f>IFERROR(Ratios!$E$43,"NA")</f>
        <v>1.13286129750125</v>
      </c>
      <c r="E527" s="522" t="str">
        <f t="shared" ca="1" si="8"/>
        <v>=IFERROR(Ratios!$E$43,"NA")</v>
      </c>
    </row>
    <row r="528" spans="1:5" x14ac:dyDescent="0.25">
      <c r="A528" s="533" t="s">
        <v>1050</v>
      </c>
      <c r="B528" s="534">
        <f>IFERROR(Ratios!$F$43,"NA")</f>
        <v>1.2141800702532817</v>
      </c>
      <c r="E528" s="522" t="str">
        <f t="shared" ca="1" si="8"/>
        <v>=IFERROR(Ratios!$F$43,"NA")</v>
      </c>
    </row>
    <row r="529" spans="1:5" x14ac:dyDescent="0.25">
      <c r="A529" s="533" t="s">
        <v>1108</v>
      </c>
      <c r="B529" s="534">
        <f>IFERROR(Ratios!$G$43,"NA")</f>
        <v>1.2085377358490565</v>
      </c>
      <c r="E529" s="522" t="str">
        <f t="shared" ca="1" si="8"/>
        <v>=IFERROR(Ratios!$G$43,"NA")</v>
      </c>
    </row>
    <row r="530" spans="1:5" x14ac:dyDescent="0.25">
      <c r="A530" s="533" t="s">
        <v>1166</v>
      </c>
      <c r="B530" s="534">
        <f>IFERROR(Ratios!$H$43,"NA")</f>
        <v>1.3768508199331317</v>
      </c>
      <c r="E530" s="522" t="str">
        <f t="shared" ca="1" si="8"/>
        <v>=IFERROR(Ratios!$H$43,"NA")</v>
      </c>
    </row>
    <row r="531" spans="1:5" x14ac:dyDescent="0.25">
      <c r="A531" s="533" t="s">
        <v>1224</v>
      </c>
      <c r="B531" s="534">
        <f>IFERROR(Ratios!$I$43,"NA")</f>
        <v>0.99194033998795683</v>
      </c>
      <c r="E531" s="522" t="str">
        <f t="shared" ca="1" si="8"/>
        <v>=IFERROR(Ratios!$I$43,"NA")</v>
      </c>
    </row>
    <row r="532" spans="1:5" x14ac:dyDescent="0.25">
      <c r="A532" s="533" t="s">
        <v>1282</v>
      </c>
      <c r="B532" s="534">
        <f>IFERROR(Ratios!$J$43,"NA")</f>
        <v>0.99184244823092149</v>
      </c>
      <c r="E532" s="522" t="str">
        <f t="shared" ca="1" si="8"/>
        <v>=IFERROR(Ratios!$J$43,"NA")</v>
      </c>
    </row>
    <row r="533" spans="1:5" x14ac:dyDescent="0.25">
      <c r="A533" s="533" t="s">
        <v>1340</v>
      </c>
      <c r="B533" s="534">
        <f>IFERROR(Ratios!$K$43,"NA")</f>
        <v>1.4707544208433609</v>
      </c>
      <c r="E533" s="522" t="str">
        <f t="shared" ca="1" si="8"/>
        <v>=IFERROR(Ratios!$K$43,"NA")</v>
      </c>
    </row>
    <row r="534" spans="1:5" x14ac:dyDescent="0.25">
      <c r="A534" s="533" t="s">
        <v>1398</v>
      </c>
      <c r="B534" s="534">
        <f>IFERROR(Ratios!$L$43,"NA")</f>
        <v>0.81117049423219389</v>
      </c>
      <c r="E534" s="522" t="str">
        <f t="shared" ca="1" si="8"/>
        <v>=IFERROR(Ratios!$L$43,"NA")</v>
      </c>
    </row>
    <row r="535" spans="1:5" x14ac:dyDescent="0.25">
      <c r="A535" s="533" t="s">
        <v>1456</v>
      </c>
      <c r="B535" s="534">
        <f>IFERROR(Ratios!$M$43,"NA")</f>
        <v>0.93927798048114863</v>
      </c>
      <c r="E535" s="522" t="str">
        <f t="shared" ca="1" si="8"/>
        <v>=IFERROR(Ratios!$M$43,"NA")</v>
      </c>
    </row>
    <row r="536" spans="1:5" x14ac:dyDescent="0.25">
      <c r="A536" s="533" t="s">
        <v>1514</v>
      </c>
      <c r="B536" s="534">
        <f>IFERROR(Ratios!$N$43,"NA")</f>
        <v>0.84060661359846456</v>
      </c>
      <c r="E536" s="522" t="str">
        <f t="shared" ca="1" si="8"/>
        <v>=IFERROR(Ratios!$N$43,"NA")</v>
      </c>
    </row>
    <row r="537" spans="1:5" x14ac:dyDescent="0.25">
      <c r="A537" s="533" t="s">
        <v>1572</v>
      </c>
      <c r="B537" s="534">
        <f>IFERROR(Ratios!$O$43,"NA")</f>
        <v>0.86947629829815209</v>
      </c>
      <c r="E537" s="522" t="str">
        <f t="shared" ca="1" si="8"/>
        <v>=IFERROR(Ratios!$O$43,"NA")</v>
      </c>
    </row>
    <row r="538" spans="1:5" x14ac:dyDescent="0.25">
      <c r="A538" s="533" t="s">
        <v>1626</v>
      </c>
      <c r="B538" s="534">
        <f>IFERROR(Ratios!$P$43,"NA")</f>
        <v>1.7566536903154049</v>
      </c>
      <c r="E538" s="522" t="str">
        <f t="shared" ca="1" si="8"/>
        <v>=IFERROR(Ratios!$P$43,"NA")</v>
      </c>
    </row>
    <row r="539" spans="1:5" x14ac:dyDescent="0.25">
      <c r="A539" s="533" t="s">
        <v>877</v>
      </c>
      <c r="B539" s="534">
        <f>IFERROR(Ratios!$C$44,"NA")</f>
        <v>-6.1911295598772759E-2</v>
      </c>
      <c r="E539" s="522" t="str">
        <f t="shared" ca="1" si="8"/>
        <v>=IFERROR(Ratios!$C$44,"NA")</v>
      </c>
    </row>
    <row r="540" spans="1:5" x14ac:dyDescent="0.25">
      <c r="A540" s="533" t="s">
        <v>935</v>
      </c>
      <c r="B540" s="534">
        <f>IFERROR(Ratios!$D$44,"NA")</f>
        <v>-5.9531633871282214E-2</v>
      </c>
      <c r="E540" s="522" t="str">
        <f t="shared" ca="1" si="8"/>
        <v>=IFERROR(Ratios!$D$44,"NA")</v>
      </c>
    </row>
    <row r="541" spans="1:5" x14ac:dyDescent="0.25">
      <c r="A541" s="533" t="s">
        <v>993</v>
      </c>
      <c r="B541" s="534">
        <f>IFERROR(Ratios!$E$44,"NA")</f>
        <v>-7.2436815811706995E-2</v>
      </c>
      <c r="E541" s="522" t="str">
        <f t="shared" ca="1" si="8"/>
        <v>=IFERROR(Ratios!$E$44,"NA")</v>
      </c>
    </row>
    <row r="542" spans="1:5" x14ac:dyDescent="0.25">
      <c r="A542" s="533" t="s">
        <v>1051</v>
      </c>
      <c r="B542" s="534">
        <f>IFERROR(Ratios!$F$44,"NA")</f>
        <v>-3.8256566425580507E-2</v>
      </c>
      <c r="E542" s="522" t="str">
        <f t="shared" ca="1" si="8"/>
        <v>=IFERROR(Ratios!$F$44,"NA")</v>
      </c>
    </row>
    <row r="543" spans="1:5" x14ac:dyDescent="0.25">
      <c r="A543" s="533" t="s">
        <v>1109</v>
      </c>
      <c r="B543" s="534">
        <f>IFERROR(Ratios!$G$44,"NA")</f>
        <v>-7.0371960501151395E-2</v>
      </c>
      <c r="E543" s="522" t="str">
        <f t="shared" ca="1" si="8"/>
        <v>=IFERROR(Ratios!$G$44,"NA")</v>
      </c>
    </row>
    <row r="544" spans="1:5" x14ac:dyDescent="0.25">
      <c r="A544" s="533" t="s">
        <v>1167</v>
      </c>
      <c r="B544" s="534">
        <f>IFERROR(Ratios!$H$44,"NA")</f>
        <v>9.9059512796793089E-3</v>
      </c>
      <c r="E544" s="522" t="str">
        <f t="shared" ca="1" si="8"/>
        <v>=IFERROR(Ratios!$H$44,"NA")</v>
      </c>
    </row>
    <row r="545" spans="1:5" x14ac:dyDescent="0.25">
      <c r="A545" s="533" t="s">
        <v>1225</v>
      </c>
      <c r="B545" s="534">
        <f>IFERROR(Ratios!$I$44,"NA")</f>
        <v>-4.9124445482138686E-2</v>
      </c>
      <c r="E545" s="522" t="str">
        <f t="shared" ca="1" si="8"/>
        <v>=IFERROR(Ratios!$I$44,"NA")</v>
      </c>
    </row>
    <row r="546" spans="1:5" x14ac:dyDescent="0.25">
      <c r="A546" s="533" t="s">
        <v>1283</v>
      </c>
      <c r="B546" s="534">
        <f>IFERROR(Ratios!$J$44,"NA")</f>
        <v>0.10511971968074751</v>
      </c>
      <c r="E546" s="522" t="str">
        <f t="shared" ca="1" si="8"/>
        <v>=IFERROR(Ratios!$J$44,"NA")</v>
      </c>
    </row>
    <row r="547" spans="1:5" x14ac:dyDescent="0.25">
      <c r="A547" s="533" t="s">
        <v>1341</v>
      </c>
      <c r="B547" s="534">
        <f>IFERROR(Ratios!$K$44,"NA")</f>
        <v>-0.11817017643710871</v>
      </c>
      <c r="E547" s="522" t="str">
        <f t="shared" ca="1" si="8"/>
        <v>=IFERROR(Ratios!$K$44,"NA")</v>
      </c>
    </row>
    <row r="548" spans="1:5" x14ac:dyDescent="0.25">
      <c r="A548" s="533" t="s">
        <v>1399</v>
      </c>
      <c r="B548" s="534">
        <f>IFERROR(Ratios!$L$44,"NA")</f>
        <v>-6.9473890211683362E-2</v>
      </c>
      <c r="E548" s="522" t="str">
        <f t="shared" ca="1" si="8"/>
        <v>=IFERROR(Ratios!$L$44,"NA")</v>
      </c>
    </row>
    <row r="549" spans="1:5" x14ac:dyDescent="0.25">
      <c r="A549" s="533" t="s">
        <v>1457</v>
      </c>
      <c r="B549" s="534">
        <f>IFERROR(Ratios!$M$44,"NA")</f>
        <v>-3.0160434562910562E-2</v>
      </c>
      <c r="E549" s="522" t="str">
        <f t="shared" ca="1" si="8"/>
        <v>=IFERROR(Ratios!$M$44,"NA")</v>
      </c>
    </row>
    <row r="550" spans="1:5" x14ac:dyDescent="0.25">
      <c r="A550" s="533" t="s">
        <v>1515</v>
      </c>
      <c r="B550" s="534">
        <f>IFERROR(Ratios!$N$44,"NA")</f>
        <v>-3.6531047647565221E-2</v>
      </c>
      <c r="E550" s="522" t="str">
        <f t="shared" ca="1" si="8"/>
        <v>=IFERROR(Ratios!$N$44,"NA")</v>
      </c>
    </row>
    <row r="551" spans="1:5" x14ac:dyDescent="0.25">
      <c r="A551" s="533" t="s">
        <v>1573</v>
      </c>
      <c r="B551" s="534">
        <f>IFERROR(Ratios!$O$44,"NA")</f>
        <v>0.10794690860215053</v>
      </c>
      <c r="E551" s="522" t="str">
        <f t="shared" ca="1" si="8"/>
        <v>=IFERROR(Ratios!$O$44,"NA")</v>
      </c>
    </row>
    <row r="552" spans="1:5" x14ac:dyDescent="0.25">
      <c r="A552" s="533" t="s">
        <v>1627</v>
      </c>
      <c r="B552" s="534">
        <f>IFERROR(Ratios!$P$44,"NA")</f>
        <v>-0.15440278594364795</v>
      </c>
      <c r="E552" s="522" t="str">
        <f t="shared" ca="1" si="8"/>
        <v>=IFERROR(Ratios!$P$44,"NA")</v>
      </c>
    </row>
    <row r="553" spans="1:5" x14ac:dyDescent="0.25">
      <c r="A553" s="533" t="s">
        <v>878</v>
      </c>
      <c r="B553" s="534">
        <f>IFERROR(Ratios!$C$45,"NA")</f>
        <v>0.13107218778268021</v>
      </c>
      <c r="E553" s="522" t="str">
        <f t="shared" ca="1" si="8"/>
        <v>=IFERROR(Ratios!$C$45,"NA")</v>
      </c>
    </row>
    <row r="554" spans="1:5" x14ac:dyDescent="0.25">
      <c r="A554" s="533" t="s">
        <v>936</v>
      </c>
      <c r="B554" s="534">
        <f>IFERROR(Ratios!$D$45,"NA")</f>
        <v>0.1257564097589996</v>
      </c>
      <c r="E554" s="522" t="str">
        <f t="shared" ca="1" si="8"/>
        <v>=IFERROR(Ratios!$D$45,"NA")</v>
      </c>
    </row>
    <row r="555" spans="1:5" x14ac:dyDescent="0.25">
      <c r="A555" s="533" t="s">
        <v>994</v>
      </c>
      <c r="B555" s="534">
        <f>IFERROR(Ratios!$E$45,"NA")</f>
        <v>0.11916728049388679</v>
      </c>
      <c r="E555" s="522" t="str">
        <f t="shared" ca="1" si="8"/>
        <v>=IFERROR(Ratios!$E$45,"NA")</v>
      </c>
    </row>
    <row r="556" spans="1:5" x14ac:dyDescent="0.25">
      <c r="A556" s="533" t="s">
        <v>1052</v>
      </c>
      <c r="B556" s="534">
        <f>IFERROR(Ratios!$F$45,"NA")</f>
        <v>0.11187666539779216</v>
      </c>
      <c r="E556" s="522" t="str">
        <f t="shared" ca="1" si="8"/>
        <v>=IFERROR(Ratios!$F$45,"NA")</v>
      </c>
    </row>
    <row r="557" spans="1:5" x14ac:dyDescent="0.25">
      <c r="A557" s="533" t="s">
        <v>1110</v>
      </c>
      <c r="B557" s="534">
        <f>IFERROR(Ratios!$G$45,"NA")</f>
        <v>0.11502283283244213</v>
      </c>
      <c r="E557" s="522" t="str">
        <f t="shared" ca="1" si="8"/>
        <v>=IFERROR(Ratios!$G$45,"NA")</v>
      </c>
    </row>
    <row r="558" spans="1:5" x14ac:dyDescent="0.25">
      <c r="A558" s="533" t="s">
        <v>1168</v>
      </c>
      <c r="B558" s="534">
        <f>IFERROR(Ratios!$H$45,"NA")</f>
        <v>0.10403176071538699</v>
      </c>
      <c r="E558" s="522" t="str">
        <f t="shared" ca="1" si="8"/>
        <v>=IFERROR(Ratios!$H$45,"NA")</v>
      </c>
    </row>
    <row r="559" spans="1:5" x14ac:dyDescent="0.25">
      <c r="A559" s="533" t="s">
        <v>1226</v>
      </c>
      <c r="B559" s="534">
        <f>IFERROR(Ratios!$I$45,"NA")</f>
        <v>0.115479803875788</v>
      </c>
      <c r="E559" s="522" t="str">
        <f t="shared" ca="1" si="8"/>
        <v>=IFERROR(Ratios!$I$45,"NA")</v>
      </c>
    </row>
    <row r="560" spans="1:5" x14ac:dyDescent="0.25">
      <c r="A560" s="533" t="s">
        <v>1284</v>
      </c>
      <c r="B560" s="534">
        <f>IFERROR(Ratios!$J$45,"NA")</f>
        <v>0.11475569398481604</v>
      </c>
      <c r="E560" s="522" t="str">
        <f t="shared" ca="1" si="8"/>
        <v>=IFERROR(Ratios!$J$45,"NA")</v>
      </c>
    </row>
    <row r="561" spans="1:5" x14ac:dyDescent="0.25">
      <c r="A561" s="533" t="s">
        <v>1342</v>
      </c>
      <c r="B561" s="534">
        <f>IFERROR(Ratios!$K$45,"NA")</f>
        <v>0.12443084803642572</v>
      </c>
      <c r="E561" s="522" t="str">
        <f t="shared" ca="1" si="8"/>
        <v>=IFERROR(Ratios!$K$45,"NA")</v>
      </c>
    </row>
    <row r="562" spans="1:5" x14ac:dyDescent="0.25">
      <c r="A562" s="533" t="s">
        <v>1400</v>
      </c>
      <c r="B562" s="534">
        <f>IFERROR(Ratios!$L$45,"NA")</f>
        <v>0.12185655109429532</v>
      </c>
      <c r="E562" s="522" t="str">
        <f t="shared" ca="1" si="8"/>
        <v>=IFERROR(Ratios!$L$45,"NA")</v>
      </c>
    </row>
    <row r="563" spans="1:5" x14ac:dyDescent="0.25">
      <c r="A563" s="533" t="s">
        <v>1458</v>
      </c>
      <c r="B563" s="534">
        <f>IFERROR(Ratios!$M$45,"NA")</f>
        <v>0.12556846892369883</v>
      </c>
      <c r="E563" s="522" t="str">
        <f t="shared" ca="1" si="8"/>
        <v>=IFERROR(Ratios!$M$45,"NA")</v>
      </c>
    </row>
    <row r="564" spans="1:5" x14ac:dyDescent="0.25">
      <c r="A564" s="533" t="s">
        <v>1516</v>
      </c>
      <c r="B564" s="534">
        <f>IFERROR(Ratios!$N$45,"NA")</f>
        <v>0.13351049893326347</v>
      </c>
      <c r="E564" s="522" t="str">
        <f t="shared" ca="1" si="8"/>
        <v>=IFERROR(Ratios!$N$45,"NA")</v>
      </c>
    </row>
    <row r="565" spans="1:5" x14ac:dyDescent="0.25">
      <c r="A565" s="533" t="s">
        <v>1574</v>
      </c>
      <c r="B565" s="534">
        <f>IFERROR(Ratios!$O$45,"NA")</f>
        <v>0.13264448924731181</v>
      </c>
      <c r="E565" s="522" t="str">
        <f t="shared" ca="1" si="8"/>
        <v>=IFERROR(Ratios!$O$45,"NA")</v>
      </c>
    </row>
    <row r="566" spans="1:5" x14ac:dyDescent="0.25">
      <c r="A566" s="533" t="s">
        <v>1628</v>
      </c>
      <c r="B566" s="534">
        <f>IFERROR(Ratios!$P$45,"NA")</f>
        <v>6.4085749174618969E-2</v>
      </c>
      <c r="E566" s="522" t="str">
        <f t="shared" ca="1" si="8"/>
        <v>=IFERROR(Ratios!$P$45,"NA")</v>
      </c>
    </row>
    <row r="567" spans="1:5" x14ac:dyDescent="0.25">
      <c r="A567" s="533" t="s">
        <v>879</v>
      </c>
      <c r="B567" s="534">
        <f>IFERROR(Ratios!$C$46,"NA")</f>
        <v>1.4419827206776538E-2</v>
      </c>
      <c r="E567" s="522" t="str">
        <f t="shared" ca="1" si="8"/>
        <v>=IFERROR(Ratios!$C$46,"NA")</v>
      </c>
    </row>
    <row r="568" spans="1:5" x14ac:dyDescent="0.25">
      <c r="A568" s="533" t="s">
        <v>937</v>
      </c>
      <c r="B568" s="534">
        <f>IFERROR(Ratios!$D$46,"NA")</f>
        <v>1.1896042459376305E-2</v>
      </c>
      <c r="E568" s="522" t="str">
        <f t="shared" ca="1" si="8"/>
        <v>=IFERROR(Ratios!$D$46,"NA")</v>
      </c>
    </row>
    <row r="569" spans="1:5" x14ac:dyDescent="0.25">
      <c r="A569" s="533" t="s">
        <v>995</v>
      </c>
      <c r="B569" s="534">
        <f>IFERROR(Ratios!$E$46,"NA")</f>
        <v>8.6614300151445552E-3</v>
      </c>
      <c r="E569" s="522" t="str">
        <f t="shared" ca="1" si="8"/>
        <v>=IFERROR(Ratios!$E$46,"NA")</v>
      </c>
    </row>
    <row r="570" spans="1:5" x14ac:dyDescent="0.25">
      <c r="A570" s="533" t="s">
        <v>1053</v>
      </c>
      <c r="B570" s="534" t="str">
        <f>IFERROR(Ratios!$F$46,"NA")</f>
        <v>NA</v>
      </c>
      <c r="E570" s="522" t="str">
        <f t="shared" ca="1" si="8"/>
        <v>=IFERROR(Ratios!$F$46,"NA")</v>
      </c>
    </row>
    <row r="571" spans="1:5" x14ac:dyDescent="0.25">
      <c r="A571" s="533" t="s">
        <v>1111</v>
      </c>
      <c r="B571" s="534">
        <f>IFERROR(Ratios!$G$46,"NA")</f>
        <v>0.02</v>
      </c>
      <c r="E571" s="522" t="str">
        <f t="shared" ca="1" si="8"/>
        <v>=IFERROR(Ratios!$G$46,"NA")</v>
      </c>
    </row>
    <row r="572" spans="1:5" x14ac:dyDescent="0.25">
      <c r="A572" s="533" t="s">
        <v>1169</v>
      </c>
      <c r="B572" s="534">
        <f>IFERROR(Ratios!$H$46,"NA")</f>
        <v>0.03</v>
      </c>
      <c r="E572" s="522" t="str">
        <f t="shared" ca="1" si="8"/>
        <v>=IFERROR(Ratios!$H$46,"NA")</v>
      </c>
    </row>
    <row r="573" spans="1:5" x14ac:dyDescent="0.25">
      <c r="A573" s="533" t="s">
        <v>1227</v>
      </c>
      <c r="B573" s="534">
        <f>IFERROR(Ratios!$I$46,"NA")</f>
        <v>0.03</v>
      </c>
      <c r="E573" s="522" t="str">
        <f t="shared" ca="1" si="8"/>
        <v>=IFERROR(Ratios!$I$46,"NA")</v>
      </c>
    </row>
    <row r="574" spans="1:5" x14ac:dyDescent="0.25">
      <c r="A574" s="533" t="s">
        <v>1285</v>
      </c>
      <c r="B574" s="534">
        <f>IFERROR(Ratios!$J$46,"NA")</f>
        <v>0.04</v>
      </c>
      <c r="E574" s="522" t="str">
        <f t="shared" ca="1" si="8"/>
        <v>=IFERROR(Ratios!$J$46,"NA")</v>
      </c>
    </row>
    <row r="575" spans="1:5" x14ac:dyDescent="0.25">
      <c r="A575" s="533" t="s">
        <v>1343</v>
      </c>
      <c r="B575" s="534">
        <f>IFERROR(Ratios!$K$46,"NA")</f>
        <v>0.03</v>
      </c>
      <c r="E575" s="522" t="str">
        <f t="shared" ca="1" si="8"/>
        <v>=IFERROR(Ratios!$K$46,"NA")</v>
      </c>
    </row>
    <row r="576" spans="1:5" x14ac:dyDescent="0.25">
      <c r="A576" s="533" t="s">
        <v>1401</v>
      </c>
      <c r="B576" s="534">
        <f>IFERROR(Ratios!$L$46,"NA")</f>
        <v>0.01</v>
      </c>
      <c r="E576" s="522" t="str">
        <f t="shared" ca="1" si="8"/>
        <v>=IFERROR(Ratios!$L$46,"NA")</v>
      </c>
    </row>
    <row r="577" spans="1:5" x14ac:dyDescent="0.25">
      <c r="A577" s="533" t="s">
        <v>1459</v>
      </c>
      <c r="B577" s="534" t="str">
        <f>IFERROR(Ratios!$M$46,"NA")</f>
        <v>NA</v>
      </c>
      <c r="E577" s="522" t="str">
        <f t="shared" ca="1" si="8"/>
        <v>=IFERROR(Ratios!$M$46,"NA")</v>
      </c>
    </row>
    <row r="578" spans="1:5" x14ac:dyDescent="0.25">
      <c r="A578" s="533" t="s">
        <v>1517</v>
      </c>
      <c r="B578" s="534" t="str">
        <f>IFERROR(Ratios!$N$46,"NA")</f>
        <v>NA</v>
      </c>
      <c r="E578" s="522" t="str">
        <f t="shared" ca="1" si="8"/>
        <v>=IFERROR(Ratios!$N$46,"NA")</v>
      </c>
    </row>
    <row r="579" spans="1:5" x14ac:dyDescent="0.25">
      <c r="A579" s="533" t="s">
        <v>1575</v>
      </c>
      <c r="B579" s="534">
        <f>IFERROR(Ratios!$O$46,"NA")</f>
        <v>0.01</v>
      </c>
      <c r="E579" s="522" t="str">
        <f t="shared" ref="E579:E642" ca="1" si="9">_xlfn.FORMULATEXT(B579)</f>
        <v>=IFERROR(Ratios!$O$46,"NA")</v>
      </c>
    </row>
    <row r="580" spans="1:5" x14ac:dyDescent="0.25">
      <c r="A580" s="533" t="s">
        <v>1629</v>
      </c>
      <c r="B580" s="534">
        <f>IFERROR(Ratios!$P$46,"NA")</f>
        <v>-0.01</v>
      </c>
      <c r="E580" s="522" t="str">
        <f t="shared" ca="1" si="9"/>
        <v>=IFERROR(Ratios!$P$46,"NA")</v>
      </c>
    </row>
    <row r="581" spans="1:5" x14ac:dyDescent="0.25">
      <c r="A581" s="533" t="s">
        <v>880</v>
      </c>
      <c r="B581" s="534">
        <f>IFERROR(Ratios!$C$47,"NA")</f>
        <v>6.5398206633631925E-2</v>
      </c>
      <c r="E581" s="522" t="str">
        <f t="shared" ca="1" si="9"/>
        <v>=IFERROR(Ratios!$C$47,"NA")</v>
      </c>
    </row>
    <row r="582" spans="1:5" x14ac:dyDescent="0.25">
      <c r="A582" s="533" t="s">
        <v>938</v>
      </c>
      <c r="B582" s="534">
        <f>IFERROR(Ratios!$D$47,"NA")</f>
        <v>6.1682104032131153E-2</v>
      </c>
      <c r="E582" s="522" t="str">
        <f t="shared" ca="1" si="9"/>
        <v>=IFERROR(Ratios!$D$47,"NA")</v>
      </c>
    </row>
    <row r="583" spans="1:5" x14ac:dyDescent="0.25">
      <c r="A583" s="533" t="s">
        <v>996</v>
      </c>
      <c r="B583" s="534">
        <f>IFERROR(Ratios!$E$47,"NA")</f>
        <v>6.3716413859256416E-2</v>
      </c>
      <c r="E583" s="522" t="str">
        <f t="shared" ca="1" si="9"/>
        <v>=IFERROR(Ratios!$E$47,"NA")</v>
      </c>
    </row>
    <row r="584" spans="1:5" x14ac:dyDescent="0.25">
      <c r="A584" s="533" t="s">
        <v>1054</v>
      </c>
      <c r="B584" s="534">
        <f>IFERROR(Ratios!$F$47,"NA")</f>
        <v>6.6340245775729653E-2</v>
      </c>
      <c r="E584" s="522" t="str">
        <f t="shared" ca="1" si="9"/>
        <v>=IFERROR(Ratios!$F$47,"NA")</v>
      </c>
    </row>
    <row r="585" spans="1:5" x14ac:dyDescent="0.25">
      <c r="A585" s="533" t="s">
        <v>1112</v>
      </c>
      <c r="B585" s="534">
        <f>IFERROR(Ratios!$G$47,"NA")</f>
        <v>5.6526515529811243E-2</v>
      </c>
      <c r="E585" s="522" t="str">
        <f t="shared" ca="1" si="9"/>
        <v>=IFERROR(Ratios!$G$47,"NA")</v>
      </c>
    </row>
    <row r="586" spans="1:5" x14ac:dyDescent="0.25">
      <c r="A586" s="533" t="s">
        <v>1170</v>
      </c>
      <c r="B586" s="534">
        <f>IFERROR(Ratios!$H$47,"NA")</f>
        <v>4.8306021916155628E-2</v>
      </c>
      <c r="E586" s="522" t="str">
        <f t="shared" ca="1" si="9"/>
        <v>=IFERROR(Ratios!$H$47,"NA")</v>
      </c>
    </row>
    <row r="587" spans="1:5" x14ac:dyDescent="0.25">
      <c r="A587" s="533" t="s">
        <v>1228</v>
      </c>
      <c r="B587" s="534">
        <f>IFERROR(Ratios!$I$47,"NA")</f>
        <v>8.6715751054055754E-2</v>
      </c>
      <c r="E587" s="522" t="str">
        <f t="shared" ca="1" si="9"/>
        <v>=IFERROR(Ratios!$I$47,"NA")</v>
      </c>
    </row>
    <row r="588" spans="1:5" x14ac:dyDescent="0.25">
      <c r="A588" s="533" t="s">
        <v>1286</v>
      </c>
      <c r="B588" s="534">
        <f>IFERROR(Ratios!$J$47,"NA")</f>
        <v>9.8823529411764699E-2</v>
      </c>
      <c r="E588" s="522" t="str">
        <f t="shared" ca="1" si="9"/>
        <v>=IFERROR(Ratios!$J$47,"NA")</v>
      </c>
    </row>
    <row r="589" spans="1:5" x14ac:dyDescent="0.25">
      <c r="A589" s="533" t="s">
        <v>1344</v>
      </c>
      <c r="B589" s="534">
        <f>IFERROR(Ratios!$K$47,"NA")</f>
        <v>0.1212349020197464</v>
      </c>
      <c r="E589" s="522" t="str">
        <f t="shared" ca="1" si="9"/>
        <v>=IFERROR(Ratios!$K$47,"NA")</v>
      </c>
    </row>
    <row r="590" spans="1:5" x14ac:dyDescent="0.25">
      <c r="A590" s="533" t="s">
        <v>1402</v>
      </c>
      <c r="B590" s="534">
        <f>IFERROR(Ratios!$L$47,"NA")</f>
        <v>0.12333068010966658</v>
      </c>
      <c r="E590" s="522" t="str">
        <f t="shared" ca="1" si="9"/>
        <v>=IFERROR(Ratios!$L$47,"NA")</v>
      </c>
    </row>
    <row r="591" spans="1:5" x14ac:dyDescent="0.25">
      <c r="A591" s="533" t="s">
        <v>1460</v>
      </c>
      <c r="B591" s="534">
        <f>IFERROR(Ratios!$M$47,"NA")</f>
        <v>0.11626166578622997</v>
      </c>
      <c r="E591" s="522" t="str">
        <f t="shared" ca="1" si="9"/>
        <v>=IFERROR(Ratios!$M$47,"NA")</v>
      </c>
    </row>
    <row r="592" spans="1:5" x14ac:dyDescent="0.25">
      <c r="A592" s="533" t="s">
        <v>1518</v>
      </c>
      <c r="B592" s="534">
        <f>IFERROR(Ratios!$N$47,"NA")</f>
        <v>9.8554329239856991E-2</v>
      </c>
      <c r="E592" s="522" t="str">
        <f t="shared" ca="1" si="9"/>
        <v>=IFERROR(Ratios!$N$47,"NA")</v>
      </c>
    </row>
    <row r="593" spans="1:5" x14ac:dyDescent="0.25">
      <c r="A593" s="533" t="s">
        <v>1576</v>
      </c>
      <c r="B593" s="534">
        <f>IFERROR(Ratios!$O$47,"NA")</f>
        <v>7.8524895300139605E-2</v>
      </c>
      <c r="E593" s="522" t="str">
        <f t="shared" ca="1" si="9"/>
        <v>=IFERROR(Ratios!$O$47,"NA")</v>
      </c>
    </row>
    <row r="594" spans="1:5" x14ac:dyDescent="0.25">
      <c r="A594" s="533" t="s">
        <v>1630</v>
      </c>
      <c r="B594" s="534">
        <f>IFERROR(Ratios!$P$47,"NA")</f>
        <v>3.6925823729913973E-2</v>
      </c>
      <c r="E594" s="522" t="str">
        <f t="shared" ca="1" si="9"/>
        <v>=IFERROR(Ratios!$P$47,"NA")</v>
      </c>
    </row>
    <row r="595" spans="1:5" x14ac:dyDescent="0.25">
      <c r="A595" s="533" t="s">
        <v>881</v>
      </c>
      <c r="B595" s="534">
        <f>IFERROR(Ratios!$C$48,"NA")</f>
        <v>5.000000000000001E-2</v>
      </c>
      <c r="E595" s="522" t="str">
        <f t="shared" ca="1" si="9"/>
        <v>=IFERROR(Ratios!$C$48,"NA")</v>
      </c>
    </row>
    <row r="596" spans="1:5" x14ac:dyDescent="0.25">
      <c r="A596" s="533" t="s">
        <v>939</v>
      </c>
      <c r="B596" s="534">
        <f>IFERROR(Ratios!$D$48,"NA")</f>
        <v>5.000000000000001E-2</v>
      </c>
      <c r="E596" s="522" t="str">
        <f t="shared" ca="1" si="9"/>
        <v>=IFERROR(Ratios!$D$48,"NA")</v>
      </c>
    </row>
    <row r="597" spans="1:5" x14ac:dyDescent="0.25">
      <c r="A597" s="533" t="s">
        <v>997</v>
      </c>
      <c r="B597" s="534">
        <f>IFERROR(Ratios!$E$48,"NA")</f>
        <v>5.5E-2</v>
      </c>
      <c r="E597" s="522" t="str">
        <f t="shared" ca="1" si="9"/>
        <v>=IFERROR(Ratios!$E$48,"NA")</v>
      </c>
    </row>
    <row r="598" spans="1:5" x14ac:dyDescent="0.25">
      <c r="A598" s="533" t="s">
        <v>1055</v>
      </c>
      <c r="B598" s="534">
        <f>IFERROR(Ratios!$F$48,"NA")</f>
        <v>6.3875023109632098E-2</v>
      </c>
      <c r="E598" s="522" t="str">
        <f t="shared" ca="1" si="9"/>
        <v>=IFERROR(Ratios!$F$48,"NA")</v>
      </c>
    </row>
    <row r="599" spans="1:5" x14ac:dyDescent="0.25">
      <c r="A599" s="533" t="s">
        <v>1113</v>
      </c>
      <c r="B599" s="534">
        <f>IFERROR(Ratios!$G$48,"NA")</f>
        <v>5.3396226415094339E-2</v>
      </c>
      <c r="E599" s="522" t="str">
        <f t="shared" ca="1" si="9"/>
        <v>=IFERROR(Ratios!$G$48,"NA")</v>
      </c>
    </row>
    <row r="600" spans="1:5" x14ac:dyDescent="0.25">
      <c r="A600" s="533" t="s">
        <v>1171</v>
      </c>
      <c r="B600" s="534">
        <f>IFERROR(Ratios!$H$48,"NA")</f>
        <v>5.1000371490739264E-2</v>
      </c>
      <c r="E600" s="522" t="str">
        <f t="shared" ca="1" si="9"/>
        <v>=IFERROR(Ratios!$H$48,"NA")</v>
      </c>
    </row>
    <row r="601" spans="1:5" x14ac:dyDescent="0.25">
      <c r="A601" s="533" t="s">
        <v>1229</v>
      </c>
      <c r="B601" s="534">
        <f>IFERROR(Ratios!$I$48,"NA")</f>
        <v>6.3828801704571766E-2</v>
      </c>
      <c r="E601" s="522" t="str">
        <f t="shared" ca="1" si="9"/>
        <v>=IFERROR(Ratios!$I$48,"NA")</v>
      </c>
    </row>
    <row r="602" spans="1:5" x14ac:dyDescent="0.25">
      <c r="A602" s="533" t="s">
        <v>1287</v>
      </c>
      <c r="B602" s="534">
        <f>IFERROR(Ratios!$J$48,"NA")</f>
        <v>7.298354008785056E-2</v>
      </c>
      <c r="E602" s="522" t="str">
        <f t="shared" ca="1" si="9"/>
        <v>=IFERROR(Ratios!$J$48,"NA")</v>
      </c>
    </row>
    <row r="603" spans="1:5" x14ac:dyDescent="0.25">
      <c r="A603" s="533" t="s">
        <v>1345</v>
      </c>
      <c r="B603" s="534">
        <f>IFERROR(Ratios!$K$48,"NA")</f>
        <v>0.12655645076906979</v>
      </c>
      <c r="E603" s="522" t="str">
        <f t="shared" ca="1" si="9"/>
        <v>=IFERROR(Ratios!$K$48,"NA")</v>
      </c>
    </row>
    <row r="604" spans="1:5" x14ac:dyDescent="0.25">
      <c r="A604" s="533" t="s">
        <v>1403</v>
      </c>
      <c r="B604" s="534">
        <f>IFERROR(Ratios!$L$48,"NA")</f>
        <v>7.3790877341517624E-2</v>
      </c>
      <c r="E604" s="522" t="str">
        <f t="shared" ca="1" si="9"/>
        <v>=IFERROR(Ratios!$L$48,"NA")</v>
      </c>
    </row>
    <row r="605" spans="1:5" x14ac:dyDescent="0.25">
      <c r="A605" s="533" t="s">
        <v>1461</v>
      </c>
      <c r="B605" s="534">
        <f>IFERROR(Ratios!$M$48,"NA")</f>
        <v>7.8342380825249913E-2</v>
      </c>
      <c r="E605" s="522" t="str">
        <f t="shared" ca="1" si="9"/>
        <v>=IFERROR(Ratios!$M$48,"NA")</v>
      </c>
    </row>
    <row r="606" spans="1:5" x14ac:dyDescent="0.25">
      <c r="A606" s="533" t="s">
        <v>1519</v>
      </c>
      <c r="B606" s="534">
        <f>IFERROR(Ratios!$N$48,"NA")</f>
        <v>5.9843312462637258E-2</v>
      </c>
      <c r="E606" s="522" t="str">
        <f t="shared" ca="1" si="9"/>
        <v>=IFERROR(Ratios!$N$48,"NA")</v>
      </c>
    </row>
    <row r="607" spans="1:5" x14ac:dyDescent="0.25">
      <c r="A607" s="533" t="s">
        <v>1577</v>
      </c>
      <c r="B607" s="534">
        <f>IFERROR(Ratios!$O$48,"NA")</f>
        <v>4.9302461471039366E-2</v>
      </c>
      <c r="E607" s="522" t="str">
        <f t="shared" ca="1" si="9"/>
        <v>=IFERROR(Ratios!$O$48,"NA")</v>
      </c>
    </row>
    <row r="608" spans="1:5" x14ac:dyDescent="0.25">
      <c r="A608" s="533" t="s">
        <v>1631</v>
      </c>
      <c r="B608" s="534">
        <f>IFERROR(Ratios!$P$48,"NA")</f>
        <v>5.4222610630015093E-2</v>
      </c>
      <c r="E608" s="522" t="str">
        <f t="shared" ca="1" si="9"/>
        <v>=IFERROR(Ratios!$P$48,"NA")</v>
      </c>
    </row>
    <row r="609" spans="1:5" x14ac:dyDescent="0.25">
      <c r="A609" s="533" t="s">
        <v>882</v>
      </c>
      <c r="B609" s="534">
        <f>IFERROR(Ratios!$C$49,"NA")</f>
        <v>0.13500000000000001</v>
      </c>
      <c r="E609" s="522" t="str">
        <f t="shared" ca="1" si="9"/>
        <v>=IFERROR(Ratios!$C$49,"NA")</v>
      </c>
    </row>
    <row r="610" spans="1:5" x14ac:dyDescent="0.25">
      <c r="A610" s="533" t="s">
        <v>940</v>
      </c>
      <c r="B610" s="534">
        <f>IFERROR(Ratios!$D$49,"NA")</f>
        <v>0.13500000000000001</v>
      </c>
      <c r="E610" s="522" t="str">
        <f t="shared" ca="1" si="9"/>
        <v>=IFERROR(Ratios!$D$49,"NA")</v>
      </c>
    </row>
    <row r="611" spans="1:5" x14ac:dyDescent="0.25">
      <c r="A611" s="533" t="s">
        <v>998</v>
      </c>
      <c r="B611" s="534">
        <f>IFERROR(Ratios!$E$49,"NA")</f>
        <v>0.13500000000000001</v>
      </c>
      <c r="E611" s="522" t="str">
        <f t="shared" ca="1" si="9"/>
        <v>=IFERROR(Ratios!$E$49,"NA")</v>
      </c>
    </row>
    <row r="612" spans="1:5" x14ac:dyDescent="0.25">
      <c r="A612" s="533" t="s">
        <v>1056</v>
      </c>
      <c r="B612" s="534">
        <f>IFERROR(Ratios!$F$49,"NA")</f>
        <v>0.13583841745239417</v>
      </c>
      <c r="E612" s="522" t="str">
        <f t="shared" ca="1" si="9"/>
        <v>=IFERROR(Ratios!$F$49,"NA")</v>
      </c>
    </row>
    <row r="613" spans="1:5" x14ac:dyDescent="0.25">
      <c r="A613" s="533" t="s">
        <v>1114</v>
      </c>
      <c r="B613" s="534">
        <f>IFERROR(Ratios!$G$49,"NA")</f>
        <v>0.13900943396226415</v>
      </c>
      <c r="E613" s="522" t="str">
        <f t="shared" ca="1" si="9"/>
        <v>=IFERROR(Ratios!$G$49,"NA")</v>
      </c>
    </row>
    <row r="614" spans="1:5" x14ac:dyDescent="0.25">
      <c r="A614" s="533" t="s">
        <v>1172</v>
      </c>
      <c r="B614" s="534">
        <f>IFERROR(Ratios!$H$49,"NA")</f>
        <v>0.14323621504006792</v>
      </c>
      <c r="E614" s="522" t="str">
        <f t="shared" ca="1" si="9"/>
        <v>=IFERROR(Ratios!$H$49,"NA")</v>
      </c>
    </row>
    <row r="615" spans="1:5" x14ac:dyDescent="0.25">
      <c r="A615" s="533" t="s">
        <v>1230</v>
      </c>
      <c r="B615" s="534">
        <f>IFERROR(Ratios!$I$49,"NA")</f>
        <v>0.11454907591829172</v>
      </c>
      <c r="E615" s="522" t="str">
        <f t="shared" ca="1" si="9"/>
        <v>=IFERROR(Ratios!$I$49,"NA")</v>
      </c>
    </row>
    <row r="616" spans="1:5" x14ac:dyDescent="0.25">
      <c r="A616" s="533" t="s">
        <v>1288</v>
      </c>
      <c r="B616" s="534">
        <f>IFERROR(Ratios!$J$49,"NA")</f>
        <v>0.11381956847033838</v>
      </c>
      <c r="E616" s="522" t="str">
        <f t="shared" ca="1" si="9"/>
        <v>=IFERROR(Ratios!$J$49,"NA")</v>
      </c>
    </row>
    <row r="617" spans="1:5" x14ac:dyDescent="0.25">
      <c r="A617" s="533" t="s">
        <v>1346</v>
      </c>
      <c r="B617" s="534">
        <f>IFERROR(Ratios!$K$49,"NA")</f>
        <v>0.18300721983886156</v>
      </c>
      <c r="E617" s="522" t="str">
        <f t="shared" ca="1" si="9"/>
        <v>=IFERROR(Ratios!$K$49,"NA")</v>
      </c>
    </row>
    <row r="618" spans="1:5" x14ac:dyDescent="0.25">
      <c r="A618" s="533" t="s">
        <v>1404</v>
      </c>
      <c r="B618" s="534">
        <f>IFERROR(Ratios!$L$49,"NA")</f>
        <v>9.884643877659012E-2</v>
      </c>
      <c r="E618" s="522" t="str">
        <f t="shared" ca="1" si="9"/>
        <v>=IFERROR(Ratios!$L$49,"NA")</v>
      </c>
    </row>
    <row r="619" spans="1:5" x14ac:dyDescent="0.25">
      <c r="A619" s="533" t="s">
        <v>1462</v>
      </c>
      <c r="B619" s="534">
        <f>IFERROR(Ratios!$M$49,"NA")</f>
        <v>0.11794369790276171</v>
      </c>
      <c r="E619" s="522" t="str">
        <f t="shared" ca="1" si="9"/>
        <v>=IFERROR(Ratios!$M$49,"NA")</v>
      </c>
    </row>
    <row r="620" spans="1:5" x14ac:dyDescent="0.25">
      <c r="A620" s="533" t="s">
        <v>1520</v>
      </c>
      <c r="B620" s="534">
        <f>IFERROR(Ratios!$N$49,"NA")</f>
        <v>0.11222980838813203</v>
      </c>
      <c r="E620" s="522" t="str">
        <f t="shared" ca="1" si="9"/>
        <v>=IFERROR(Ratios!$N$49,"NA")</v>
      </c>
    </row>
    <row r="621" spans="1:5" x14ac:dyDescent="0.25">
      <c r="A621" s="533" t="s">
        <v>1578</v>
      </c>
      <c r="B621" s="534">
        <f>IFERROR(Ratios!$O$49,"NA")</f>
        <v>0.11533123950040172</v>
      </c>
      <c r="E621" s="522" t="str">
        <f t="shared" ca="1" si="9"/>
        <v>=IFERROR(Ratios!$O$49,"NA")</v>
      </c>
    </row>
    <row r="622" spans="1:5" x14ac:dyDescent="0.25">
      <c r="A622" s="533" t="s">
        <v>1632</v>
      </c>
      <c r="B622" s="534">
        <f>IFERROR(Ratios!$P$49,"NA")</f>
        <v>0.11257646778422181</v>
      </c>
      <c r="E622" s="522" t="str">
        <f t="shared" ca="1" si="9"/>
        <v>=IFERROR(Ratios!$P$49,"NA")</v>
      </c>
    </row>
    <row r="623" spans="1:5" x14ac:dyDescent="0.25">
      <c r="A623" s="533" t="s">
        <v>883</v>
      </c>
      <c r="B623" s="534">
        <f>IFERROR(Ratios!$C$50,"NA")</f>
        <v>6.2196341756737116E-3</v>
      </c>
      <c r="E623" s="522" t="str">
        <f t="shared" ca="1" si="9"/>
        <v>=IFERROR(Ratios!$C$50,"NA")</v>
      </c>
    </row>
    <row r="624" spans="1:5" x14ac:dyDescent="0.25">
      <c r="A624" s="533" t="s">
        <v>941</v>
      </c>
      <c r="B624" s="534">
        <f>IFERROR(Ratios!$D$50,"NA")</f>
        <v>-7.4110128035326734E-3</v>
      </c>
      <c r="E624" s="522" t="str">
        <f t="shared" ca="1" si="9"/>
        <v>=IFERROR(Ratios!$D$50,"NA")</v>
      </c>
    </row>
    <row r="625" spans="1:5" x14ac:dyDescent="0.25">
      <c r="A625" s="533" t="s">
        <v>999</v>
      </c>
      <c r="B625" s="534">
        <f>IFERROR(Ratios!$E$50,"NA")</f>
        <v>-0.27005368504659338</v>
      </c>
      <c r="E625" s="522" t="str">
        <f t="shared" ca="1" si="9"/>
        <v>=IFERROR(Ratios!$E$50,"NA")</v>
      </c>
    </row>
    <row r="626" spans="1:5" x14ac:dyDescent="0.25">
      <c r="A626" s="533" t="s">
        <v>1057</v>
      </c>
      <c r="B626" s="534">
        <f>IFERROR(Ratios!$F$50,"NA")</f>
        <v>0.10827724449384925</v>
      </c>
      <c r="E626" s="522" t="str">
        <f t="shared" ca="1" si="9"/>
        <v>=IFERROR(Ratios!$F$50,"NA")</v>
      </c>
    </row>
    <row r="627" spans="1:5" x14ac:dyDescent="0.25">
      <c r="A627" s="533" t="s">
        <v>1115</v>
      </c>
      <c r="B627" s="534">
        <f>IFERROR(Ratios!$G$50,"NA")</f>
        <v>3.6305684902512514E-2</v>
      </c>
      <c r="E627" s="522" t="str">
        <f t="shared" ca="1" si="9"/>
        <v>=IFERROR(Ratios!$G$50,"NA")</v>
      </c>
    </row>
    <row r="628" spans="1:5" x14ac:dyDescent="0.25">
      <c r="A628" s="533" t="s">
        <v>1173</v>
      </c>
      <c r="B628" s="534" t="str">
        <f>IFERROR(Ratios!$H$50,"NA")</f>
        <v>NA</v>
      </c>
      <c r="E628" s="522" t="str">
        <f t="shared" ca="1" si="9"/>
        <v>=IFERROR(Ratios!$H$50,"NA")</v>
      </c>
    </row>
    <row r="629" spans="1:5" x14ac:dyDescent="0.25">
      <c r="A629" s="533" t="s">
        <v>1231</v>
      </c>
      <c r="B629" s="534" t="str">
        <f>IFERROR(Ratios!$I$50,"NA")</f>
        <v>NA</v>
      </c>
      <c r="E629" s="522" t="str">
        <f t="shared" ca="1" si="9"/>
        <v>=IFERROR(Ratios!$I$50,"NA")</v>
      </c>
    </row>
    <row r="630" spans="1:5" x14ac:dyDescent="0.25">
      <c r="A630" s="533" t="s">
        <v>1289</v>
      </c>
      <c r="B630" s="534" t="str">
        <f>IFERROR(Ratios!$J$50,"NA")</f>
        <v>NA</v>
      </c>
      <c r="E630" s="522" t="str">
        <f t="shared" ca="1" si="9"/>
        <v>=IFERROR(Ratios!$J$50,"NA")</v>
      </c>
    </row>
    <row r="631" spans="1:5" x14ac:dyDescent="0.25">
      <c r="A631" s="533" t="s">
        <v>1347</v>
      </c>
      <c r="B631" s="534" t="str">
        <f>IFERROR(Ratios!$K$50,"NA")</f>
        <v>NA</v>
      </c>
      <c r="E631" s="522" t="str">
        <f t="shared" ca="1" si="9"/>
        <v>=IFERROR(Ratios!$K$50,"NA")</v>
      </c>
    </row>
    <row r="632" spans="1:5" x14ac:dyDescent="0.25">
      <c r="A632" s="533" t="s">
        <v>1405</v>
      </c>
      <c r="B632" s="534" t="str">
        <f>IFERROR(Ratios!$L$50,"NA")</f>
        <v>NA</v>
      </c>
      <c r="E632" s="522" t="str">
        <f t="shared" ca="1" si="9"/>
        <v>=IFERROR(Ratios!$L$50,"NA")</v>
      </c>
    </row>
    <row r="633" spans="1:5" x14ac:dyDescent="0.25">
      <c r="A633" s="533" t="s">
        <v>1463</v>
      </c>
      <c r="B633" s="534" t="str">
        <f>IFERROR(Ratios!$M$50,"NA")</f>
        <v>NA</v>
      </c>
      <c r="E633" s="522" t="str">
        <f t="shared" ca="1" si="9"/>
        <v>=IFERROR(Ratios!$M$50,"NA")</v>
      </c>
    </row>
    <row r="634" spans="1:5" x14ac:dyDescent="0.25">
      <c r="A634" s="533" t="s">
        <v>1521</v>
      </c>
      <c r="B634" s="534" t="str">
        <f>IFERROR(Ratios!$N$50,"NA")</f>
        <v>NA</v>
      </c>
      <c r="E634" s="522" t="str">
        <f t="shared" ca="1" si="9"/>
        <v>=IFERROR(Ratios!$N$50,"NA")</v>
      </c>
    </row>
    <row r="635" spans="1:5" x14ac:dyDescent="0.25">
      <c r="A635" s="533" t="s">
        <v>1579</v>
      </c>
      <c r="B635" s="534" t="str">
        <f>IFERROR(Ratios!$O$50,"NA")</f>
        <v>NA</v>
      </c>
      <c r="E635" s="522" t="str">
        <f t="shared" ca="1" si="9"/>
        <v>=IFERROR(Ratios!$O$50,"NA")</v>
      </c>
    </row>
    <row r="636" spans="1:5" x14ac:dyDescent="0.25">
      <c r="A636" s="533" t="s">
        <v>1633</v>
      </c>
      <c r="B636" s="534" t="str">
        <f>IFERROR(Ratios!$P$50,"NA")</f>
        <v>NA</v>
      </c>
      <c r="E636" s="522" t="str">
        <f t="shared" ca="1" si="9"/>
        <v>=IFERROR(Ratios!$P$50,"NA")</v>
      </c>
    </row>
    <row r="637" spans="1:5" x14ac:dyDescent="0.25">
      <c r="A637" s="533" t="s">
        <v>884</v>
      </c>
      <c r="B637" s="534">
        <f>IFERROR(Ratios!$C$51,"NA")</f>
        <v>0.13141930088223272</v>
      </c>
      <c r="E637" s="522" t="str">
        <f t="shared" ca="1" si="9"/>
        <v>=IFERROR(Ratios!$C$51,"NA")</v>
      </c>
    </row>
    <row r="638" spans="1:5" x14ac:dyDescent="0.25">
      <c r="A638" s="533" t="s">
        <v>942</v>
      </c>
      <c r="B638" s="534">
        <f>IFERROR(Ratios!$D$51,"NA")</f>
        <v>0.13195682829320715</v>
      </c>
      <c r="E638" s="522" t="str">
        <f t="shared" ca="1" si="9"/>
        <v>=IFERROR(Ratios!$D$51,"NA")</v>
      </c>
    </row>
    <row r="639" spans="1:5" x14ac:dyDescent="0.25">
      <c r="A639" s="533" t="s">
        <v>1000</v>
      </c>
      <c r="B639" s="534">
        <f>IFERROR(Ratios!$E$51,"NA")</f>
        <v>0.13036110535666179</v>
      </c>
      <c r="E639" s="522" t="str">
        <f t="shared" ca="1" si="9"/>
        <v>=IFERROR(Ratios!$E$51,"NA")</v>
      </c>
    </row>
    <row r="640" spans="1:5" x14ac:dyDescent="0.25">
      <c r="A640" s="533" t="s">
        <v>1058</v>
      </c>
      <c r="B640" s="534">
        <f>IFERROR(Ratios!$F$51,"NA")</f>
        <v>7.6077457338668872E-2</v>
      </c>
      <c r="E640" s="522" t="str">
        <f t="shared" ca="1" si="9"/>
        <v>=IFERROR(Ratios!$F$51,"NA")</v>
      </c>
    </row>
    <row r="641" spans="1:5" x14ac:dyDescent="0.25">
      <c r="A641" s="533" t="s">
        <v>1116</v>
      </c>
      <c r="B641" s="534">
        <f>IFERROR(Ratios!$G$51,"NA")</f>
        <v>7.4031840708740845E-2</v>
      </c>
      <c r="E641" s="522" t="str">
        <f t="shared" ca="1" si="9"/>
        <v>=IFERROR(Ratios!$G$51,"NA")</v>
      </c>
    </row>
    <row r="642" spans="1:5" x14ac:dyDescent="0.25">
      <c r="A642" s="533" t="s">
        <v>1174</v>
      </c>
      <c r="B642" s="534">
        <f>IFERROR(Ratios!$H$51,"NA")</f>
        <v>0.10434875293114475</v>
      </c>
      <c r="E642" s="522" t="str">
        <f t="shared" ca="1" si="9"/>
        <v>=IFERROR(Ratios!$H$51,"NA")</v>
      </c>
    </row>
    <row r="643" spans="1:5" x14ac:dyDescent="0.25">
      <c r="A643" s="533" t="s">
        <v>1232</v>
      </c>
      <c r="B643" s="534">
        <f>IFERROR(Ratios!$I$51,"NA")</f>
        <v>9.2458915681154968E-2</v>
      </c>
      <c r="E643" s="522" t="str">
        <f t="shared" ref="E643:E706" ca="1" si="10">_xlfn.FORMULATEXT(B643)</f>
        <v>=IFERROR(Ratios!$I$51,"NA")</v>
      </c>
    </row>
    <row r="644" spans="1:5" x14ac:dyDescent="0.25">
      <c r="A644" s="533" t="s">
        <v>1290</v>
      </c>
      <c r="B644" s="534">
        <f>IFERROR(Ratios!$J$51,"NA")</f>
        <v>7.2621256294725683E-2</v>
      </c>
      <c r="E644" s="522" t="str">
        <f t="shared" ca="1" si="10"/>
        <v>=IFERROR(Ratios!$J$51,"NA")</v>
      </c>
    </row>
    <row r="645" spans="1:5" x14ac:dyDescent="0.25">
      <c r="A645" s="533" t="s">
        <v>1348</v>
      </c>
      <c r="B645" s="534">
        <f>IFERROR(Ratios!$K$51,"NA")</f>
        <v>5.4751186275702642E-2</v>
      </c>
      <c r="E645" s="522" t="str">
        <f t="shared" ca="1" si="10"/>
        <v>=IFERROR(Ratios!$K$51,"NA")</v>
      </c>
    </row>
    <row r="646" spans="1:5" x14ac:dyDescent="0.25">
      <c r="A646" s="533" t="s">
        <v>1406</v>
      </c>
      <c r="B646" s="534">
        <f>IFERROR(Ratios!$L$51,"NA")</f>
        <v>8.548193910357435E-2</v>
      </c>
      <c r="E646" s="522" t="str">
        <f t="shared" ca="1" si="10"/>
        <v>=IFERROR(Ratios!$L$51,"NA")</v>
      </c>
    </row>
    <row r="647" spans="1:5" x14ac:dyDescent="0.25">
      <c r="A647" s="533" t="s">
        <v>1464</v>
      </c>
      <c r="B647" s="534">
        <f>IFERROR(Ratios!$M$51,"NA")</f>
        <v>7.9733777038269546E-2</v>
      </c>
      <c r="E647" s="522" t="str">
        <f t="shared" ca="1" si="10"/>
        <v>=IFERROR(Ratios!$M$51,"NA")</v>
      </c>
    </row>
    <row r="648" spans="1:5" x14ac:dyDescent="0.25">
      <c r="A648" s="533" t="s">
        <v>1522</v>
      </c>
      <c r="B648" s="534">
        <f>IFERROR(Ratios!$N$51,"NA")</f>
        <v>8.5254326959413498E-2</v>
      </c>
      <c r="E648" s="522" t="str">
        <f t="shared" ca="1" si="10"/>
        <v>=IFERROR(Ratios!$N$51,"NA")</v>
      </c>
    </row>
    <row r="649" spans="1:5" x14ac:dyDescent="0.25">
      <c r="A649" s="533" t="s">
        <v>1580</v>
      </c>
      <c r="B649" s="534">
        <f>IFERROR(Ratios!$O$51,"NA")</f>
        <v>4.1962322954058488E-2</v>
      </c>
      <c r="E649" s="522" t="str">
        <f t="shared" ca="1" si="10"/>
        <v>=IFERROR(Ratios!$O$51,"NA")</v>
      </c>
    </row>
    <row r="650" spans="1:5" x14ac:dyDescent="0.25">
      <c r="A650" s="533" t="s">
        <v>1634</v>
      </c>
      <c r="B650" s="534">
        <f>IFERROR(Ratios!$P$51,"NA")</f>
        <v>0.13562436202790065</v>
      </c>
      <c r="E650" s="522" t="str">
        <f t="shared" ca="1" si="10"/>
        <v>=IFERROR(Ratios!$P$51,"NA")</v>
      </c>
    </row>
    <row r="651" spans="1:5" x14ac:dyDescent="0.25">
      <c r="A651" s="533" t="s">
        <v>885</v>
      </c>
      <c r="B651" s="534">
        <f>IFERROR(Ratios!$C$52,"NA")</f>
        <v>2</v>
      </c>
      <c r="E651" s="522" t="str">
        <f t="shared" ca="1" si="10"/>
        <v>=IFERROR(Ratios!$C$52,"NA")</v>
      </c>
    </row>
    <row r="652" spans="1:5" x14ac:dyDescent="0.25">
      <c r="A652" s="533" t="s">
        <v>943</v>
      </c>
      <c r="B652" s="534">
        <f>IFERROR(Ratios!$D$52,"NA")</f>
        <v>2</v>
      </c>
      <c r="E652" s="522" t="str">
        <f t="shared" ca="1" si="10"/>
        <v>=IFERROR(Ratios!$D$52,"NA")</v>
      </c>
    </row>
    <row r="653" spans="1:5" x14ac:dyDescent="0.25">
      <c r="A653" s="533" t="s">
        <v>1001</v>
      </c>
      <c r="B653" s="534">
        <f>IFERROR(Ratios!$E$52,"NA")</f>
        <v>2.2000000000000002</v>
      </c>
      <c r="E653" s="522" t="str">
        <f t="shared" ca="1" si="10"/>
        <v>=IFERROR(Ratios!$E$52,"NA")</v>
      </c>
    </row>
    <row r="654" spans="1:5" x14ac:dyDescent="0.25">
      <c r="A654" s="533" t="s">
        <v>1059</v>
      </c>
      <c r="B654" s="534">
        <f>IFERROR(Ratios!$F$52,"NA")</f>
        <v>2.4590747330960854</v>
      </c>
      <c r="E654" s="522" t="str">
        <f t="shared" ca="1" si="10"/>
        <v>=IFERROR(Ratios!$F$52,"NA")</v>
      </c>
    </row>
    <row r="655" spans="1:5" x14ac:dyDescent="0.25">
      <c r="A655" s="533" t="s">
        <v>1117</v>
      </c>
      <c r="B655" s="534">
        <f>IFERROR(Ratios!$G$52,"NA")</f>
        <v>1.76875</v>
      </c>
      <c r="E655" s="522" t="str">
        <f t="shared" ca="1" si="10"/>
        <v>=IFERROR(Ratios!$G$52,"NA")</v>
      </c>
    </row>
    <row r="656" spans="1:5" x14ac:dyDescent="0.25">
      <c r="A656" s="533" t="s">
        <v>1175</v>
      </c>
      <c r="B656" s="534">
        <f>IFERROR(Ratios!$H$52,"NA")</f>
        <v>0.79684908789386399</v>
      </c>
      <c r="E656" s="522" t="str">
        <f t="shared" ca="1" si="10"/>
        <v>=IFERROR(Ratios!$H$52,"NA")</v>
      </c>
    </row>
    <row r="657" spans="1:5" x14ac:dyDescent="0.25">
      <c r="A657" s="533" t="s">
        <v>1233</v>
      </c>
      <c r="B657" s="534">
        <f>IFERROR(Ratios!$I$52,"NA")</f>
        <v>2.4432624113475176</v>
      </c>
      <c r="E657" s="522" t="str">
        <f t="shared" ca="1" si="10"/>
        <v>=IFERROR(Ratios!$I$52,"NA")</v>
      </c>
    </row>
    <row r="658" spans="1:5" x14ac:dyDescent="0.25">
      <c r="A658" s="533" t="s">
        <v>1291</v>
      </c>
      <c r="B658" s="534">
        <f>IFERROR(Ratios!$J$52,"NA")</f>
        <v>2.5670628183361628</v>
      </c>
      <c r="E658" s="522" t="str">
        <f t="shared" ca="1" si="10"/>
        <v>=IFERROR(Ratios!$J$52,"NA")</v>
      </c>
    </row>
    <row r="659" spans="1:5" x14ac:dyDescent="0.25">
      <c r="A659" s="533" t="s">
        <v>1349</v>
      </c>
      <c r="B659" s="534">
        <f>IFERROR(Ratios!$K$52,"NA")</f>
        <v>2.4583333333333335</v>
      </c>
      <c r="E659" s="522" t="str">
        <f t="shared" ca="1" si="10"/>
        <v>=IFERROR(Ratios!$K$52,"NA")</v>
      </c>
    </row>
    <row r="660" spans="1:5" x14ac:dyDescent="0.25">
      <c r="A660" s="533" t="s">
        <v>1407</v>
      </c>
      <c r="B660" s="534">
        <f>IFERROR(Ratios!$L$52,"NA")</f>
        <v>2.7369970559371932</v>
      </c>
      <c r="E660" s="522" t="str">
        <f t="shared" ca="1" si="10"/>
        <v>=IFERROR(Ratios!$L$52,"NA")</v>
      </c>
    </row>
    <row r="661" spans="1:5" x14ac:dyDescent="0.25">
      <c r="A661" s="533" t="s">
        <v>1465</v>
      </c>
      <c r="B661" s="534">
        <f>IFERROR(Ratios!$M$52,"NA")</f>
        <v>2.3857271906052393</v>
      </c>
      <c r="E661" s="522" t="str">
        <f t="shared" ca="1" si="10"/>
        <v>=IFERROR(Ratios!$M$52,"NA")</v>
      </c>
    </row>
    <row r="662" spans="1:5" x14ac:dyDescent="0.25">
      <c r="A662" s="533" t="s">
        <v>1523</v>
      </c>
      <c r="B662" s="534">
        <f>IFERROR(Ratios!$N$52,"NA")</f>
        <v>1.9270516717325228</v>
      </c>
      <c r="E662" s="522" t="str">
        <f t="shared" ca="1" si="10"/>
        <v>=IFERROR(Ratios!$N$52,"NA")</v>
      </c>
    </row>
    <row r="663" spans="1:5" x14ac:dyDescent="0.25">
      <c r="A663" s="533" t="s">
        <v>1581</v>
      </c>
      <c r="B663" s="534">
        <f>IFERROR(Ratios!$O$52,"NA")</f>
        <v>1.4802631578947369</v>
      </c>
      <c r="E663" s="522" t="str">
        <f t="shared" ca="1" si="10"/>
        <v>=IFERROR(Ratios!$O$52,"NA")</v>
      </c>
    </row>
    <row r="664" spans="1:5" x14ac:dyDescent="0.25">
      <c r="A664" s="533" t="s">
        <v>1635</v>
      </c>
      <c r="B664" s="534">
        <f>IFERROR(Ratios!$P$52,"NA")</f>
        <v>1.6707466340269277</v>
      </c>
      <c r="E664" s="522" t="str">
        <f t="shared" ca="1" si="10"/>
        <v>=IFERROR(Ratios!$P$52,"NA")</v>
      </c>
    </row>
    <row r="665" spans="1:5" x14ac:dyDescent="0.25">
      <c r="A665" s="533" t="s">
        <v>886</v>
      </c>
      <c r="B665" s="534">
        <f>IFERROR(Ratios!$C$56,"NA")</f>
        <v>1.9953446710368536</v>
      </c>
      <c r="E665" s="522" t="str">
        <f t="shared" ca="1" si="10"/>
        <v>=IFERROR(Ratios!$C$56,"NA")</v>
      </c>
    </row>
    <row r="666" spans="1:5" x14ac:dyDescent="0.25">
      <c r="A666" s="533" t="s">
        <v>944</v>
      </c>
      <c r="B666" s="534">
        <f>IFERROR(Ratios!$D$56,"NA")</f>
        <v>2.0079002804551802</v>
      </c>
      <c r="E666" s="522" t="str">
        <f t="shared" ca="1" si="10"/>
        <v>=IFERROR(Ratios!$D$56,"NA")</v>
      </c>
    </row>
    <row r="667" spans="1:5" x14ac:dyDescent="0.25">
      <c r="A667" s="533" t="s">
        <v>1002</v>
      </c>
      <c r="B667" s="534">
        <f>IFERROR(Ratios!$E$56,"NA")</f>
        <v>2.4380149390533798</v>
      </c>
      <c r="E667" s="522" t="str">
        <f t="shared" ca="1" si="10"/>
        <v>=IFERROR(Ratios!$E$56,"NA")</v>
      </c>
    </row>
    <row r="668" spans="1:5" x14ac:dyDescent="0.25">
      <c r="A668" s="533" t="s">
        <v>1060</v>
      </c>
      <c r="B668" s="534">
        <f>IFERROR(Ratios!$F$56,"NA")</f>
        <v>1.99</v>
      </c>
      <c r="E668" s="522" t="str">
        <f t="shared" ca="1" si="10"/>
        <v>=IFERROR(Ratios!$F$56,"NA")</v>
      </c>
    </row>
    <row r="669" spans="1:5" x14ac:dyDescent="0.25">
      <c r="A669" s="533" t="s">
        <v>1118</v>
      </c>
      <c r="B669" s="534">
        <f>IFERROR(Ratios!$G$56,"NA")</f>
        <v>3.34</v>
      </c>
      <c r="E669" s="522" t="str">
        <f t="shared" ca="1" si="10"/>
        <v>=IFERROR(Ratios!$G$56,"NA")</v>
      </c>
    </row>
    <row r="670" spans="1:5" x14ac:dyDescent="0.25">
      <c r="A670" s="533" t="s">
        <v>1176</v>
      </c>
      <c r="B670" s="534">
        <f>IFERROR(Ratios!$H$56,"NA")</f>
        <v>0.42</v>
      </c>
      <c r="E670" s="522" t="str">
        <f t="shared" ca="1" si="10"/>
        <v>=IFERROR(Ratios!$H$56,"NA")</v>
      </c>
    </row>
    <row r="671" spans="1:5" x14ac:dyDescent="0.25">
      <c r="A671" s="533" t="s">
        <v>1234</v>
      </c>
      <c r="B671" s="534">
        <f>IFERROR(Ratios!$I$56,"NA")</f>
        <v>1.43</v>
      </c>
      <c r="E671" s="522" t="str">
        <f t="shared" ca="1" si="10"/>
        <v>=IFERROR(Ratios!$I$56,"NA")</v>
      </c>
    </row>
    <row r="672" spans="1:5" x14ac:dyDescent="0.25">
      <c r="A672" s="533" t="s">
        <v>1292</v>
      </c>
      <c r="B672" s="534">
        <f>IFERROR(Ratios!$J$56,"NA")</f>
        <v>0.56000000000000005</v>
      </c>
      <c r="E672" s="522" t="str">
        <f t="shared" ca="1" si="10"/>
        <v>=IFERROR(Ratios!$J$56,"NA")</v>
      </c>
    </row>
    <row r="673" spans="1:5" x14ac:dyDescent="0.25">
      <c r="A673" s="533" t="s">
        <v>1350</v>
      </c>
      <c r="B673" s="534" t="str">
        <f>IFERROR(Ratios!$K$56,"NA")</f>
        <v>NA</v>
      </c>
      <c r="E673" s="522" t="str">
        <f t="shared" ca="1" si="10"/>
        <v>=IFERROR(Ratios!$K$56,"NA")</v>
      </c>
    </row>
    <row r="674" spans="1:5" x14ac:dyDescent="0.25">
      <c r="A674" s="533" t="s">
        <v>1408</v>
      </c>
      <c r="B674" s="534">
        <f>IFERROR(Ratios!$L$56,"NA")</f>
        <v>2.2400000000000002</v>
      </c>
      <c r="E674" s="522" t="str">
        <f t="shared" ca="1" si="10"/>
        <v>=IFERROR(Ratios!$L$56,"NA")</v>
      </c>
    </row>
    <row r="675" spans="1:5" x14ac:dyDescent="0.25">
      <c r="A675" s="533" t="s">
        <v>1466</v>
      </c>
      <c r="B675" s="534">
        <f>IFERROR(Ratios!$M$56,"NA")</f>
        <v>1.39</v>
      </c>
      <c r="E675" s="522" t="str">
        <f t="shared" ca="1" si="10"/>
        <v>=IFERROR(Ratios!$M$56,"NA")</v>
      </c>
    </row>
    <row r="676" spans="1:5" x14ac:dyDescent="0.25">
      <c r="A676" s="533" t="s">
        <v>1524</v>
      </c>
      <c r="B676" s="534">
        <f>IFERROR(Ratios!$N$56,"NA")</f>
        <v>1.45</v>
      </c>
      <c r="E676" s="522" t="str">
        <f t="shared" ca="1" si="10"/>
        <v>=IFERROR(Ratios!$N$56,"NA")</v>
      </c>
    </row>
    <row r="677" spans="1:5" x14ac:dyDescent="0.25">
      <c r="A677" s="533" t="s">
        <v>1582</v>
      </c>
      <c r="B677" s="534">
        <f>IFERROR(Ratios!$O$56,"NA")</f>
        <v>0.5</v>
      </c>
      <c r="E677" s="522" t="str">
        <f t="shared" ca="1" si="10"/>
        <v>=IFERROR(Ratios!$O$56,"NA")</v>
      </c>
    </row>
    <row r="678" spans="1:5" x14ac:dyDescent="0.25">
      <c r="A678" s="533" t="s">
        <v>1636</v>
      </c>
      <c r="B678" s="534" t="str">
        <f>IFERROR(Ratios!$P$56,"NA")</f>
        <v>NA</v>
      </c>
      <c r="E678" s="522" t="str">
        <f t="shared" ca="1" si="10"/>
        <v>=IFERROR(Ratios!$P$56,"NA")</v>
      </c>
    </row>
    <row r="679" spans="1:5" x14ac:dyDescent="0.25">
      <c r="A679" s="533" t="s">
        <v>887</v>
      </c>
      <c r="B679" s="534">
        <f>IFERROR(Ratios!$C$57,"NA")</f>
        <v>0.90345079995802446</v>
      </c>
      <c r="E679" s="522" t="str">
        <f t="shared" ca="1" si="10"/>
        <v>=IFERROR(Ratios!$C$57,"NA")</v>
      </c>
    </row>
    <row r="680" spans="1:5" x14ac:dyDescent="0.25">
      <c r="A680" s="533" t="s">
        <v>945</v>
      </c>
      <c r="B680" s="534">
        <f>IFERROR(Ratios!$D$57,"NA")</f>
        <v>-0.15237455084516666</v>
      </c>
      <c r="E680" s="522" t="str">
        <f t="shared" ca="1" si="10"/>
        <v>=IFERROR(Ratios!$D$57,"NA")</v>
      </c>
    </row>
    <row r="681" spans="1:5" x14ac:dyDescent="0.25">
      <c r="A681" s="533" t="s">
        <v>1003</v>
      </c>
      <c r="B681" s="534">
        <f>IFERROR(Ratios!$E$57,"NA")</f>
        <v>1.8387689492170292</v>
      </c>
      <c r="E681" s="522" t="str">
        <f t="shared" ca="1" si="10"/>
        <v>=IFERROR(Ratios!$E$57,"NA")</v>
      </c>
    </row>
    <row r="682" spans="1:5" x14ac:dyDescent="0.25">
      <c r="A682" s="533" t="s">
        <v>1061</v>
      </c>
      <c r="B682" s="534">
        <f>IFERROR(Ratios!$F$57,"NA")</f>
        <v>-0.678852331540168</v>
      </c>
      <c r="E682" s="522" t="str">
        <f t="shared" ca="1" si="10"/>
        <v>=IFERROR(Ratios!$F$57,"NA")</v>
      </c>
    </row>
    <row r="683" spans="1:5" x14ac:dyDescent="0.25">
      <c r="A683" s="533" t="s">
        <v>1119</v>
      </c>
      <c r="B683" s="534">
        <f>IFERROR(Ratios!$G$57,"NA")</f>
        <v>17.409831768964896</v>
      </c>
      <c r="E683" s="522" t="str">
        <f t="shared" ca="1" si="10"/>
        <v>=IFERROR(Ratios!$G$57,"NA")</v>
      </c>
    </row>
    <row r="684" spans="1:5" x14ac:dyDescent="0.25">
      <c r="A684" s="533" t="s">
        <v>1177</v>
      </c>
      <c r="B684" s="534">
        <f>IFERROR(Ratios!$H$57,"NA")</f>
        <v>1.1568337008974792</v>
      </c>
      <c r="E684" s="522" t="str">
        <f t="shared" ca="1" si="10"/>
        <v>=IFERROR(Ratios!$H$57,"NA")</v>
      </c>
    </row>
    <row r="685" spans="1:5" x14ac:dyDescent="0.25">
      <c r="A685" s="533" t="s">
        <v>1235</v>
      </c>
      <c r="B685" s="534">
        <f>IFERROR(Ratios!$I$57,"NA")</f>
        <v>-0.51249397593838308</v>
      </c>
      <c r="E685" s="522" t="str">
        <f t="shared" ca="1" si="10"/>
        <v>=IFERROR(Ratios!$I$57,"NA")</v>
      </c>
    </row>
    <row r="686" spans="1:5" x14ac:dyDescent="0.25">
      <c r="A686" s="533" t="s">
        <v>1293</v>
      </c>
      <c r="B686" s="534">
        <f>IFERROR(Ratios!$J$57,"NA")</f>
        <v>1.5717025102932982E-3</v>
      </c>
      <c r="E686" s="522" t="str">
        <f t="shared" ca="1" si="10"/>
        <v>=IFERROR(Ratios!$J$57,"NA")</v>
      </c>
    </row>
    <row r="687" spans="1:5" x14ac:dyDescent="0.25">
      <c r="A687" s="533" t="s">
        <v>1351</v>
      </c>
      <c r="B687" s="534">
        <f>IFERROR(Ratios!$K$57,"NA")</f>
        <v>0.20594109364495228</v>
      </c>
      <c r="E687" s="522" t="str">
        <f t="shared" ca="1" si="10"/>
        <v>=IFERROR(Ratios!$K$57,"NA")</v>
      </c>
    </row>
    <row r="688" spans="1:5" x14ac:dyDescent="0.25">
      <c r="A688" s="533" t="s">
        <v>1409</v>
      </c>
      <c r="B688" s="534">
        <f>IFERROR(Ratios!$L$57,"NA")</f>
        <v>-0.42041455462481914</v>
      </c>
      <c r="E688" s="522" t="str">
        <f t="shared" ca="1" si="10"/>
        <v>=IFERROR(Ratios!$L$57,"NA")</v>
      </c>
    </row>
    <row r="689" spans="1:5" x14ac:dyDescent="0.25">
      <c r="A689" s="533" t="s">
        <v>1467</v>
      </c>
      <c r="B689" s="534">
        <f>IFERROR(Ratios!$M$57,"NA")</f>
        <v>0.64116476364798591</v>
      </c>
      <c r="E689" s="522" t="str">
        <f t="shared" ca="1" si="10"/>
        <v>=IFERROR(Ratios!$M$57,"NA")</v>
      </c>
    </row>
    <row r="690" spans="1:5" x14ac:dyDescent="0.25">
      <c r="A690" s="533" t="s">
        <v>1525</v>
      </c>
      <c r="B690" s="534">
        <f>IFERROR(Ratios!$N$57,"NA")</f>
        <v>-0.41790930317396485</v>
      </c>
      <c r="E690" s="522" t="str">
        <f t="shared" ca="1" si="10"/>
        <v>=IFERROR(Ratios!$N$57,"NA")</v>
      </c>
    </row>
    <row r="691" spans="1:5" x14ac:dyDescent="0.25">
      <c r="A691" s="533" t="s">
        <v>1583</v>
      </c>
      <c r="B691" s="534">
        <f>IFERROR(Ratios!$O$57,"NA")</f>
        <v>2.0183896068259943E-2</v>
      </c>
      <c r="E691" s="522" t="str">
        <f t="shared" ca="1" si="10"/>
        <v>=IFERROR(Ratios!$O$57,"NA")</v>
      </c>
    </row>
    <row r="692" spans="1:5" x14ac:dyDescent="0.25">
      <c r="A692" s="533" t="s">
        <v>888</v>
      </c>
      <c r="B692" s="534">
        <f>IFERROR(Ratios!$C$58,"NA")</f>
        <v>0.97215670578452662</v>
      </c>
      <c r="E692" s="522" t="str">
        <f t="shared" ca="1" si="10"/>
        <v>=IFERROR(Ratios!$C$58,"NA")</v>
      </c>
    </row>
    <row r="693" spans="1:5" x14ac:dyDescent="0.25">
      <c r="A693" s="533" t="s">
        <v>946</v>
      </c>
      <c r="B693" s="534">
        <f>IFERROR(Ratios!$D$58,"NA")</f>
        <v>0.96754505238044253</v>
      </c>
      <c r="E693" s="522" t="str">
        <f t="shared" ca="1" si="10"/>
        <v>=IFERROR(Ratios!$D$58,"NA")</v>
      </c>
    </row>
    <row r="694" spans="1:5" x14ac:dyDescent="0.25">
      <c r="A694" s="533" t="s">
        <v>1004</v>
      </c>
      <c r="B694" s="534">
        <f>IFERROR(Ratios!$E$58,"NA")</f>
        <v>1.0545816061729714</v>
      </c>
      <c r="E694" s="522" t="str">
        <f t="shared" ca="1" si="10"/>
        <v>=IFERROR(Ratios!$E$58,"NA")</v>
      </c>
    </row>
    <row r="695" spans="1:5" x14ac:dyDescent="0.25">
      <c r="A695" s="533" t="s">
        <v>1062</v>
      </c>
      <c r="B695" s="534">
        <f>IFERROR(Ratios!$F$58,"NA")</f>
        <v>1.1487946799667499</v>
      </c>
      <c r="E695" s="522" t="str">
        <f t="shared" ca="1" si="10"/>
        <v>=IFERROR(Ratios!$F$58,"NA")</v>
      </c>
    </row>
    <row r="696" spans="1:5" x14ac:dyDescent="0.25">
      <c r="A696" s="533" t="s">
        <v>1120</v>
      </c>
      <c r="B696" s="534">
        <f>IFERROR(Ratios!$G$58,"NA")</f>
        <v>0.96917808219178081</v>
      </c>
      <c r="E696" s="522" t="str">
        <f t="shared" ca="1" si="10"/>
        <v>=IFERROR(Ratios!$G$58,"NA")</v>
      </c>
    </row>
    <row r="697" spans="1:5" x14ac:dyDescent="0.25">
      <c r="A697" s="533" t="s">
        <v>1178</v>
      </c>
      <c r="B697" s="534">
        <f>IFERROR(Ratios!$H$58,"NA")</f>
        <v>0.82489270386266089</v>
      </c>
      <c r="E697" s="522" t="str">
        <f t="shared" ca="1" si="10"/>
        <v>=IFERROR(Ratios!$H$58,"NA")</v>
      </c>
    </row>
    <row r="698" spans="1:5" x14ac:dyDescent="0.25">
      <c r="A698" s="533" t="s">
        <v>1236</v>
      </c>
      <c r="B698" s="534">
        <f>IFERROR(Ratios!$I$58,"NA")</f>
        <v>1.8422459893048129</v>
      </c>
      <c r="E698" s="522" t="str">
        <f t="shared" ca="1" si="10"/>
        <v>=IFERROR(Ratios!$I$58,"NA")</v>
      </c>
    </row>
    <row r="699" spans="1:5" x14ac:dyDescent="0.25">
      <c r="A699" s="533" t="s">
        <v>1294</v>
      </c>
      <c r="B699" s="534">
        <f>IFERROR(Ratios!$J$58,"NA")</f>
        <v>1.5717255717255718</v>
      </c>
      <c r="E699" s="522" t="str">
        <f t="shared" ca="1" si="10"/>
        <v>=IFERROR(Ratios!$J$58,"NA")</v>
      </c>
    </row>
    <row r="700" spans="1:5" x14ac:dyDescent="0.25">
      <c r="A700" s="533" t="s">
        <v>1352</v>
      </c>
      <c r="B700" s="534">
        <f>IFERROR(Ratios!$K$58,"NA")</f>
        <v>1.8622016936104695</v>
      </c>
      <c r="E700" s="522" t="str">
        <f t="shared" ca="1" si="10"/>
        <v>=IFERROR(Ratios!$K$58,"NA")</v>
      </c>
    </row>
    <row r="701" spans="1:5" x14ac:dyDescent="0.25">
      <c r="A701" s="533" t="s">
        <v>1410</v>
      </c>
      <c r="B701" s="534">
        <f>IFERROR(Ratios!$L$58,"NA")</f>
        <v>2.0050323508267431</v>
      </c>
      <c r="E701" s="522" t="str">
        <f t="shared" ca="1" si="10"/>
        <v>=IFERROR(Ratios!$L$58,"NA")</v>
      </c>
    </row>
    <row r="702" spans="1:5" x14ac:dyDescent="0.25">
      <c r="A702" s="533" t="s">
        <v>1468</v>
      </c>
      <c r="B702" s="534">
        <f>IFERROR(Ratios!$M$58,"NA")</f>
        <v>2.1077414205905827</v>
      </c>
      <c r="E702" s="522" t="str">
        <f t="shared" ca="1" si="10"/>
        <v>=IFERROR(Ratios!$M$58,"NA")</v>
      </c>
    </row>
    <row r="703" spans="1:5" x14ac:dyDescent="0.25">
      <c r="A703" s="533" t="s">
        <v>1526</v>
      </c>
      <c r="B703" s="534">
        <f>IFERROR(Ratios!$N$58,"NA")</f>
        <v>1.6524761077324066</v>
      </c>
      <c r="E703" s="522" t="str">
        <f t="shared" ca="1" si="10"/>
        <v>=IFERROR(Ratios!$N$58,"NA")</v>
      </c>
    </row>
    <row r="704" spans="1:5" x14ac:dyDescent="0.25">
      <c r="A704" s="533" t="s">
        <v>1584</v>
      </c>
      <c r="B704" s="534">
        <f>IFERROR(Ratios!$O$58,"NA")</f>
        <v>1.2396694214876034</v>
      </c>
      <c r="E704" s="522" t="str">
        <f t="shared" ca="1" si="10"/>
        <v>=IFERROR(Ratios!$O$58,"NA")</v>
      </c>
    </row>
    <row r="705" spans="1:5" x14ac:dyDescent="0.25">
      <c r="A705" s="533" t="s">
        <v>1637</v>
      </c>
      <c r="B705" s="534">
        <f>IFERROR(Ratios!$P$58,"NA")</f>
        <v>1.0141158989598811</v>
      </c>
      <c r="E705" s="522" t="str">
        <f t="shared" ca="1" si="10"/>
        <v>=IFERROR(Ratios!$P$58,"NA")</v>
      </c>
    </row>
    <row r="706" spans="1:5" x14ac:dyDescent="0.25">
      <c r="A706" s="533" t="s">
        <v>889</v>
      </c>
      <c r="B706" s="534">
        <f>IFERROR(Ratios!$C$59,"NA")</f>
        <v>2.5566279824226172</v>
      </c>
      <c r="E706" s="522" t="str">
        <f t="shared" ca="1" si="10"/>
        <v>=IFERROR(Ratios!$C$59,"NA")</v>
      </c>
    </row>
    <row r="707" spans="1:5" x14ac:dyDescent="0.25">
      <c r="A707" s="533" t="s">
        <v>947</v>
      </c>
      <c r="B707" s="534">
        <f>IFERROR(Ratios!$D$59,"NA")</f>
        <v>2.5462791301238279</v>
      </c>
      <c r="E707" s="522" t="str">
        <f t="shared" ref="E707:E770" ca="1" si="11">_xlfn.FORMULATEXT(B707)</f>
        <v>=IFERROR(Ratios!$D$59,"NA")</v>
      </c>
    </row>
    <row r="708" spans="1:5" x14ac:dyDescent="0.25">
      <c r="A708" s="533" t="s">
        <v>1005</v>
      </c>
      <c r="B708" s="534">
        <f>IFERROR(Ratios!$E$59,"NA")</f>
        <v>2.5295680455989622</v>
      </c>
      <c r="E708" s="522" t="str">
        <f t="shared" ca="1" si="11"/>
        <v>=IFERROR(Ratios!$E$59,"NA")</v>
      </c>
    </row>
    <row r="709" spans="1:5" x14ac:dyDescent="0.25">
      <c r="A709" s="533" t="s">
        <v>1063</v>
      </c>
      <c r="B709" s="534">
        <f>IFERROR(Ratios!$F$59,"NA")</f>
        <v>1.4602026049204051</v>
      </c>
      <c r="E709" s="522" t="str">
        <f t="shared" ca="1" si="11"/>
        <v>=IFERROR(Ratios!$F$59,"NA")</v>
      </c>
    </row>
    <row r="710" spans="1:5" x14ac:dyDescent="0.25">
      <c r="A710" s="533" t="s">
        <v>1121</v>
      </c>
      <c r="B710" s="534">
        <f>IFERROR(Ratios!$G$59,"NA")</f>
        <v>2.2720848056537104</v>
      </c>
      <c r="E710" s="522" t="str">
        <f t="shared" ca="1" si="11"/>
        <v>=IFERROR(Ratios!$G$59,"NA")</v>
      </c>
    </row>
    <row r="711" spans="1:5" x14ac:dyDescent="0.25">
      <c r="A711" s="533" t="s">
        <v>1179</v>
      </c>
      <c r="B711" s="534">
        <f>IFERROR(Ratios!$H$59,"NA")</f>
        <v>0.19667013527575442</v>
      </c>
      <c r="E711" s="522" t="str">
        <f t="shared" ca="1" si="11"/>
        <v>=IFERROR(Ratios!$H$59,"NA")</v>
      </c>
    </row>
    <row r="712" spans="1:5" x14ac:dyDescent="0.25">
      <c r="A712" s="533" t="s">
        <v>1237</v>
      </c>
      <c r="B712" s="534">
        <f>IFERROR(Ratios!$I$59,"NA")</f>
        <v>2.5391872278664733</v>
      </c>
      <c r="E712" s="522" t="str">
        <f t="shared" ca="1" si="11"/>
        <v>=IFERROR(Ratios!$I$59,"NA")</v>
      </c>
    </row>
    <row r="713" spans="1:5" x14ac:dyDescent="0.25">
      <c r="A713" s="533" t="s">
        <v>1295</v>
      </c>
      <c r="B713" s="534">
        <f>IFERROR(Ratios!$J$59,"NA")</f>
        <v>1.8386243386243386</v>
      </c>
      <c r="E713" s="522" t="str">
        <f t="shared" ca="1" si="11"/>
        <v>=IFERROR(Ratios!$J$59,"NA")</v>
      </c>
    </row>
    <row r="714" spans="1:5" x14ac:dyDescent="0.25">
      <c r="A714" s="533" t="s">
        <v>1353</v>
      </c>
      <c r="B714" s="534">
        <f>IFERROR(Ratios!$K$59,"NA")</f>
        <v>1.1694915254237288</v>
      </c>
      <c r="E714" s="522" t="str">
        <f t="shared" ca="1" si="11"/>
        <v>=IFERROR(Ratios!$K$59,"NA")</v>
      </c>
    </row>
    <row r="715" spans="1:5" x14ac:dyDescent="0.25">
      <c r="A715" s="533" t="s">
        <v>1411</v>
      </c>
      <c r="B715" s="534">
        <f>IFERROR(Ratios!$L$59,"NA")</f>
        <v>1.3800645392613839</v>
      </c>
      <c r="E715" s="522" t="str">
        <f t="shared" ca="1" si="11"/>
        <v>=IFERROR(Ratios!$L$59,"NA")</v>
      </c>
    </row>
    <row r="716" spans="1:5" x14ac:dyDescent="0.25">
      <c r="A716" s="533" t="s">
        <v>1469</v>
      </c>
      <c r="B716" s="534">
        <f>IFERROR(Ratios!$M$59,"NA")</f>
        <v>1.2934494509655434</v>
      </c>
      <c r="E716" s="522" t="str">
        <f t="shared" ca="1" si="11"/>
        <v>=IFERROR(Ratios!$M$59,"NA")</v>
      </c>
    </row>
    <row r="717" spans="1:5" x14ac:dyDescent="0.25">
      <c r="A717" s="533" t="s">
        <v>1527</v>
      </c>
      <c r="B717" s="534">
        <f>IFERROR(Ratios!$N$59,"NA")</f>
        <v>1.6451104100946372</v>
      </c>
      <c r="E717" s="522" t="str">
        <f t="shared" ca="1" si="11"/>
        <v>=IFERROR(Ratios!$N$59,"NA")</v>
      </c>
    </row>
    <row r="718" spans="1:5" x14ac:dyDescent="0.25">
      <c r="A718" s="533" t="s">
        <v>1585</v>
      </c>
      <c r="B718" s="534">
        <f>IFERROR(Ratios!$O$59,"NA")</f>
        <v>1.8674074074074074</v>
      </c>
      <c r="E718" s="522" t="str">
        <f t="shared" ca="1" si="11"/>
        <v>=IFERROR(Ratios!$O$59,"NA")</v>
      </c>
    </row>
    <row r="719" spans="1:5" x14ac:dyDescent="0.25">
      <c r="A719" s="533" t="s">
        <v>1638</v>
      </c>
      <c r="B719" s="534">
        <f>IFERROR(Ratios!$P$59,"NA")</f>
        <v>1.9333333333333333</v>
      </c>
      <c r="E719" s="522" t="str">
        <f t="shared" ca="1" si="11"/>
        <v>=IFERROR(Ratios!$P$59,"NA")</v>
      </c>
    </row>
    <row r="720" spans="1:5" x14ac:dyDescent="0.25">
      <c r="A720" s="533" t="s">
        <v>890</v>
      </c>
      <c r="B720" s="534">
        <f>IFERROR(Ratios!$C$60,"NA")</f>
        <v>0.12505714394589412</v>
      </c>
      <c r="E720" s="522" t="str">
        <f t="shared" ca="1" si="11"/>
        <v>=IFERROR(Ratios!$C$60,"NA")</v>
      </c>
    </row>
    <row r="721" spans="1:5" x14ac:dyDescent="0.25">
      <c r="A721" s="533" t="s">
        <v>948</v>
      </c>
      <c r="B721" s="534">
        <f>IFERROR(Ratios!$D$60,"NA")</f>
        <v>0.11901032231588705</v>
      </c>
      <c r="E721" s="522" t="str">
        <f t="shared" ca="1" si="11"/>
        <v>=IFERROR(Ratios!$D$60,"NA")</v>
      </c>
    </row>
    <row r="722" spans="1:5" x14ac:dyDescent="0.25">
      <c r="A722" s="533" t="s">
        <v>1006</v>
      </c>
      <c r="B722" s="534">
        <f>IFERROR(Ratios!$E$60,"NA")</f>
        <v>0.12546319005564485</v>
      </c>
      <c r="E722" s="522" t="str">
        <f t="shared" ca="1" si="11"/>
        <v>=IFERROR(Ratios!$E$60,"NA")</v>
      </c>
    </row>
    <row r="723" spans="1:5" x14ac:dyDescent="0.25">
      <c r="A723" s="533" t="s">
        <v>1064</v>
      </c>
      <c r="B723" s="534">
        <f>IFERROR(Ratios!$F$60,"NA")</f>
        <v>7.7778420149929667E-2</v>
      </c>
      <c r="E723" s="522" t="str">
        <f t="shared" ca="1" si="11"/>
        <v>=IFERROR(Ratios!$F$60,"NA")</v>
      </c>
    </row>
    <row r="724" spans="1:5" x14ac:dyDescent="0.25">
      <c r="A724" s="533" t="s">
        <v>1122</v>
      </c>
      <c r="B724" s="534">
        <f>IFERROR(Ratios!$G$60,"NA")</f>
        <v>9.975758751090856E-2</v>
      </c>
      <c r="E724" s="522" t="str">
        <f t="shared" ca="1" si="11"/>
        <v>=IFERROR(Ratios!$G$60,"NA")</v>
      </c>
    </row>
    <row r="725" spans="1:5" x14ac:dyDescent="0.25">
      <c r="A725" s="533" t="s">
        <v>1180</v>
      </c>
      <c r="B725" s="534">
        <f>IFERROR(Ratios!$H$60,"NA")</f>
        <v>7.9815874490593124E-3</v>
      </c>
      <c r="E725" s="522" t="str">
        <f t="shared" ca="1" si="11"/>
        <v>=IFERROR(Ratios!$H$60,"NA")</v>
      </c>
    </row>
    <row r="726" spans="1:5" x14ac:dyDescent="0.25">
      <c r="A726" s="533" t="s">
        <v>1238</v>
      </c>
      <c r="B726" s="534">
        <f>IFERROR(Ratios!$I$60,"NA")</f>
        <v>0.16676596048900222</v>
      </c>
      <c r="E726" s="522" t="str">
        <f t="shared" ca="1" si="11"/>
        <v>=IFERROR(Ratios!$I$60,"NA")</v>
      </c>
    </row>
    <row r="727" spans="1:5" x14ac:dyDescent="0.25">
      <c r="A727" s="533" t="s">
        <v>1296</v>
      </c>
      <c r="B727" s="534">
        <f>IFERROR(Ratios!$J$60,"NA")</f>
        <v>0.11426222770242499</v>
      </c>
      <c r="E727" s="522" t="str">
        <f t="shared" ca="1" si="11"/>
        <v>=IFERROR(Ratios!$J$60,"NA")</v>
      </c>
    </row>
    <row r="728" spans="1:5" x14ac:dyDescent="0.25">
      <c r="A728" s="533" t="s">
        <v>1354</v>
      </c>
      <c r="B728" s="534">
        <f>IFERROR(Ratios!$K$60,"NA")</f>
        <v>9.62719708699869E-2</v>
      </c>
      <c r="E728" s="522" t="str">
        <f t="shared" ca="1" si="11"/>
        <v>=IFERROR(Ratios!$K$60,"NA")</v>
      </c>
    </row>
    <row r="729" spans="1:5" x14ac:dyDescent="0.25">
      <c r="A729" s="533" t="s">
        <v>1412</v>
      </c>
      <c r="B729" s="534">
        <f>IFERROR(Ratios!$L$60,"NA")</f>
        <v>0.12351780241644336</v>
      </c>
      <c r="E729" s="522" t="str">
        <f t="shared" ca="1" si="11"/>
        <v>=IFERROR(Ratios!$L$60,"NA")</v>
      </c>
    </row>
    <row r="730" spans="1:5" x14ac:dyDescent="0.25">
      <c r="A730" s="533" t="s">
        <v>1470</v>
      </c>
      <c r="B730" s="534">
        <f>IFERROR(Ratios!$M$60,"NA")</f>
        <v>0.11702437436837328</v>
      </c>
      <c r="E730" s="522" t="str">
        <f t="shared" ca="1" si="11"/>
        <v>=IFERROR(Ratios!$M$60,"NA")</v>
      </c>
    </row>
    <row r="731" spans="1:5" x14ac:dyDescent="0.25">
      <c r="A731" s="533" t="s">
        <v>1528</v>
      </c>
      <c r="B731" s="534">
        <f>IFERROR(Ratios!$N$60,"NA")</f>
        <v>0.12385947550717466</v>
      </c>
      <c r="E731" s="522" t="str">
        <f t="shared" ca="1" si="11"/>
        <v>=IFERROR(Ratios!$N$60,"NA")</v>
      </c>
    </row>
    <row r="732" spans="1:5" x14ac:dyDescent="0.25">
      <c r="A732" s="533" t="s">
        <v>1586</v>
      </c>
      <c r="B732" s="534">
        <f>IFERROR(Ratios!$O$60,"NA")</f>
        <v>7.4114361311186247E-2</v>
      </c>
      <c r="E732" s="522" t="str">
        <f t="shared" ca="1" si="11"/>
        <v>=IFERROR(Ratios!$O$60,"NA")</v>
      </c>
    </row>
    <row r="733" spans="1:5" x14ac:dyDescent="0.25">
      <c r="A733" s="533" t="s">
        <v>1639</v>
      </c>
      <c r="B733" s="534">
        <f>IFERROR(Ratios!$P$60,"NA")</f>
        <v>5.9676179277282804E-2</v>
      </c>
      <c r="E733" s="522" t="str">
        <f t="shared" ca="1" si="11"/>
        <v>=IFERROR(Ratios!$P$60,"NA")</v>
      </c>
    </row>
    <row r="734" spans="1:5" x14ac:dyDescent="0.25">
      <c r="A734" s="533" t="s">
        <v>891</v>
      </c>
      <c r="B734" s="534">
        <f>IFERROR(Ratios!$C$61,"NA")</f>
        <v>23.170887954480989</v>
      </c>
      <c r="E734" s="522" t="str">
        <f t="shared" ca="1" si="11"/>
        <v>=IFERROR(Ratios!$C$61,"NA")</v>
      </c>
    </row>
    <row r="735" spans="1:5" x14ac:dyDescent="0.25">
      <c r="A735" s="533" t="s">
        <v>949</v>
      </c>
      <c r="B735" s="534">
        <f>IFERROR(Ratios!$D$61,"NA")</f>
        <v>23.124095544733088</v>
      </c>
      <c r="E735" s="522" t="str">
        <f t="shared" ca="1" si="11"/>
        <v>=IFERROR(Ratios!$D$61,"NA")</v>
      </c>
    </row>
    <row r="736" spans="1:5" x14ac:dyDescent="0.25">
      <c r="A736" s="533" t="s">
        <v>1007</v>
      </c>
      <c r="B736" s="534">
        <f>IFERROR(Ratios!$E$61,"NA")</f>
        <v>22.72015810414203</v>
      </c>
      <c r="E736" s="522" t="str">
        <f t="shared" ca="1" si="11"/>
        <v>=IFERROR(Ratios!$E$61,"NA")</v>
      </c>
    </row>
    <row r="737" spans="1:5" x14ac:dyDescent="0.25">
      <c r="A737" s="533" t="s">
        <v>1065</v>
      </c>
      <c r="B737" s="534">
        <f>IFERROR(Ratios!$F$61,"NA")</f>
        <v>29.64</v>
      </c>
      <c r="E737" s="522" t="str">
        <f t="shared" ca="1" si="11"/>
        <v>=IFERROR(Ratios!$F$61,"NA")</v>
      </c>
    </row>
    <row r="738" spans="1:5" x14ac:dyDescent="0.25">
      <c r="A738" s="533" t="s">
        <v>1123</v>
      </c>
      <c r="B738" s="534">
        <f>IFERROR(Ratios!$G$61,"NA")</f>
        <v>41.84</v>
      </c>
      <c r="E738" s="522" t="str">
        <f t="shared" ca="1" si="11"/>
        <v>=IFERROR(Ratios!$G$61,"NA")</v>
      </c>
    </row>
    <row r="739" spans="1:5" x14ac:dyDescent="0.25">
      <c r="A739" s="533" t="s">
        <v>1181</v>
      </c>
      <c r="B739" s="534">
        <f>IFERROR(Ratios!$H$61,"NA")</f>
        <v>41.61</v>
      </c>
      <c r="E739" s="522" t="str">
        <f t="shared" ca="1" si="11"/>
        <v>=IFERROR(Ratios!$H$61,"NA")</v>
      </c>
    </row>
    <row r="740" spans="1:5" x14ac:dyDescent="0.25">
      <c r="A740" s="533" t="s">
        <v>1239</v>
      </c>
      <c r="B740" s="534">
        <f>IFERROR(Ratios!$I$61,"NA")</f>
        <v>17.34</v>
      </c>
      <c r="E740" s="522" t="str">
        <f t="shared" ca="1" si="11"/>
        <v>=IFERROR(Ratios!$I$61,"NA")</v>
      </c>
    </row>
    <row r="741" spans="1:5" x14ac:dyDescent="0.25">
      <c r="A741" s="533" t="s">
        <v>1297</v>
      </c>
      <c r="B741" s="534">
        <f>IFERROR(Ratios!$J$61,"NA")</f>
        <v>24.73</v>
      </c>
      <c r="E741" s="522" t="str">
        <f t="shared" ca="1" si="11"/>
        <v>=IFERROR(Ratios!$J$61,"NA")</v>
      </c>
    </row>
    <row r="742" spans="1:5" x14ac:dyDescent="0.25">
      <c r="A742" s="533" t="s">
        <v>1355</v>
      </c>
      <c r="B742" s="534">
        <f>IFERROR(Ratios!$K$61,"NA")</f>
        <v>27.47</v>
      </c>
      <c r="E742" s="522" t="str">
        <f t="shared" ca="1" si="11"/>
        <v>=IFERROR(Ratios!$K$61,"NA")</v>
      </c>
    </row>
    <row r="743" spans="1:5" x14ac:dyDescent="0.25">
      <c r="A743" s="533" t="s">
        <v>1413</v>
      </c>
      <c r="B743" s="534">
        <f>IFERROR(Ratios!$L$61,"NA")</f>
        <v>12.16</v>
      </c>
      <c r="E743" s="522" t="str">
        <f t="shared" ca="1" si="11"/>
        <v>=IFERROR(Ratios!$L$61,"NA")</v>
      </c>
    </row>
    <row r="744" spans="1:5" x14ac:dyDescent="0.25">
      <c r="A744" s="533" t="s">
        <v>1471</v>
      </c>
      <c r="B744" s="534">
        <f>IFERROR(Ratios!$M$61,"NA")</f>
        <v>14.28</v>
      </c>
      <c r="E744" s="522" t="str">
        <f t="shared" ca="1" si="11"/>
        <v>=IFERROR(Ratios!$M$61,"NA")</v>
      </c>
    </row>
    <row r="745" spans="1:5" x14ac:dyDescent="0.25">
      <c r="A745" s="533" t="s">
        <v>1529</v>
      </c>
      <c r="B745" s="534">
        <f>IFERROR(Ratios!$N$61,"NA")</f>
        <v>16.36</v>
      </c>
      <c r="E745" s="522" t="str">
        <f t="shared" ca="1" si="11"/>
        <v>=IFERROR(Ratios!$N$61,"NA")</v>
      </c>
    </row>
    <row r="746" spans="1:5" x14ac:dyDescent="0.25">
      <c r="A746" s="533" t="s">
        <v>1587</v>
      </c>
      <c r="B746" s="534">
        <f>IFERROR(Ratios!$O$61,"NA")</f>
        <v>16.27</v>
      </c>
      <c r="E746" s="522" t="str">
        <f t="shared" ca="1" si="11"/>
        <v>=IFERROR(Ratios!$O$61,"NA")</v>
      </c>
    </row>
    <row r="747" spans="1:5" x14ac:dyDescent="0.25">
      <c r="A747" s="533" t="s">
        <v>1640</v>
      </c>
      <c r="B747" s="534">
        <f>IFERROR(Ratios!$P$61,"NA")</f>
        <v>15.17</v>
      </c>
      <c r="E747" s="522" t="str">
        <f t="shared" ca="1" si="11"/>
        <v>=IFERROR(Ratios!$P$61,"NA")</v>
      </c>
    </row>
    <row r="748" spans="1:5" x14ac:dyDescent="0.25">
      <c r="A748" s="533" t="s">
        <v>892</v>
      </c>
      <c r="B748" s="534">
        <f>IFERROR(Ratios!$C$62,"NA")</f>
        <v>0.20621568720309227</v>
      </c>
      <c r="E748" s="522" t="str">
        <f t="shared" ca="1" si="11"/>
        <v>=IFERROR(Ratios!$C$62,"NA")</v>
      </c>
    </row>
    <row r="749" spans="1:5" x14ac:dyDescent="0.25">
      <c r="A749" s="533" t="s">
        <v>950</v>
      </c>
      <c r="B749" s="534">
        <f>IFERROR(Ratios!$D$62,"NA")</f>
        <v>0.19849856041866965</v>
      </c>
      <c r="E749" s="522" t="str">
        <f t="shared" ca="1" si="11"/>
        <v>=IFERROR(Ratios!$D$62,"NA")</v>
      </c>
    </row>
    <row r="750" spans="1:5" x14ac:dyDescent="0.25">
      <c r="A750" s="533" t="s">
        <v>1008</v>
      </c>
      <c r="B750" s="534">
        <f>IFERROR(Ratios!$E$62,"NA")</f>
        <v>0.20585236574261806</v>
      </c>
      <c r="E750" s="522" t="str">
        <f t="shared" ca="1" si="11"/>
        <v>=IFERROR(Ratios!$E$62,"NA")</v>
      </c>
    </row>
    <row r="751" spans="1:5" x14ac:dyDescent="0.25">
      <c r="A751" s="533" t="s">
        <v>1066</v>
      </c>
      <c r="B751" s="534">
        <f>IFERROR(Ratios!$F$62,"NA")</f>
        <v>0.13167166905911523</v>
      </c>
      <c r="E751" s="522" t="str">
        <f t="shared" ca="1" si="11"/>
        <v>=IFERROR(Ratios!$F$62,"NA")</v>
      </c>
    </row>
    <row r="752" spans="1:5" x14ac:dyDescent="0.25">
      <c r="A752" s="533" t="s">
        <v>1124</v>
      </c>
      <c r="B752" s="534">
        <f>IFERROR(Ratios!$G$62,"NA")</f>
        <v>0.17110164981373072</v>
      </c>
      <c r="E752" s="522" t="str">
        <f t="shared" ca="1" si="11"/>
        <v>=IFERROR(Ratios!$G$62,"NA")</v>
      </c>
    </row>
    <row r="753" spans="1:5" x14ac:dyDescent="0.25">
      <c r="A753" s="533" t="s">
        <v>1182</v>
      </c>
      <c r="B753" s="534">
        <f>IFERROR(Ratios!$H$62,"NA")</f>
        <v>1.1706410653453082E-2</v>
      </c>
      <c r="E753" s="522" t="str">
        <f t="shared" ca="1" si="11"/>
        <v>=IFERROR(Ratios!$H$62,"NA")</v>
      </c>
    </row>
    <row r="754" spans="1:5" x14ac:dyDescent="0.25">
      <c r="A754" s="533" t="s">
        <v>1240</v>
      </c>
      <c r="B754" s="534">
        <f>IFERROR(Ratios!$I$62,"NA")</f>
        <v>0.31296958855098389</v>
      </c>
      <c r="E754" s="522" t="str">
        <f t="shared" ca="1" si="11"/>
        <v>=IFERROR(Ratios!$I$62,"NA")</v>
      </c>
    </row>
    <row r="755" spans="1:5" x14ac:dyDescent="0.25">
      <c r="A755" s="533" t="s">
        <v>1298</v>
      </c>
      <c r="B755" s="534">
        <f>IFERROR(Ratios!$J$62,"NA")</f>
        <v>0.27435112997138061</v>
      </c>
      <c r="E755" s="522" t="str">
        <f t="shared" ca="1" si="11"/>
        <v>=IFERROR(Ratios!$J$62,"NA")</v>
      </c>
    </row>
    <row r="756" spans="1:5" x14ac:dyDescent="0.25">
      <c r="A756" s="533" t="s">
        <v>1356</v>
      </c>
      <c r="B756" s="534">
        <f>IFERROR(Ratios!$K$62,"NA")</f>
        <v>0.14696103896103896</v>
      </c>
      <c r="E756" s="522" t="str">
        <f t="shared" ca="1" si="11"/>
        <v>=IFERROR(Ratios!$K$62,"NA")</v>
      </c>
    </row>
    <row r="757" spans="1:5" x14ac:dyDescent="0.25">
      <c r="A757" s="533" t="s">
        <v>1414</v>
      </c>
      <c r="B757" s="534">
        <f>IFERROR(Ratios!$L$62,"NA")</f>
        <v>0.21807365439093485</v>
      </c>
      <c r="E757" s="522" t="str">
        <f t="shared" ca="1" si="11"/>
        <v>=IFERROR(Ratios!$L$62,"NA")</v>
      </c>
    </row>
    <row r="758" spans="1:5" x14ac:dyDescent="0.25">
      <c r="A758" s="533" t="s">
        <v>1472</v>
      </c>
      <c r="B758" s="534">
        <f>IFERROR(Ratios!$M$62,"NA")</f>
        <v>0.19651383535638267</v>
      </c>
      <c r="E758" s="522" t="str">
        <f t="shared" ca="1" si="11"/>
        <v>=IFERROR(Ratios!$M$62,"NA")</v>
      </c>
    </row>
    <row r="759" spans="1:5" x14ac:dyDescent="0.25">
      <c r="A759" s="533" t="s">
        <v>1530</v>
      </c>
      <c r="B759" s="534">
        <f>IFERROR(Ratios!$N$62,"NA")</f>
        <v>0.21512547267102097</v>
      </c>
      <c r="E759" s="522" t="str">
        <f t="shared" ca="1" si="11"/>
        <v>=IFERROR(Ratios!$N$62,"NA")</v>
      </c>
    </row>
    <row r="760" spans="1:5" x14ac:dyDescent="0.25">
      <c r="A760" s="533" t="s">
        <v>1588</v>
      </c>
      <c r="B760" s="534">
        <f>IFERROR(Ratios!$O$62,"NA")</f>
        <v>0.18823265885163892</v>
      </c>
      <c r="E760" s="522" t="str">
        <f t="shared" ca="1" si="11"/>
        <v>=IFERROR(Ratios!$O$62,"NA")</v>
      </c>
    </row>
    <row r="761" spans="1:5" x14ac:dyDescent="0.25">
      <c r="A761" s="533" t="s">
        <v>1641</v>
      </c>
      <c r="B761" s="534">
        <f>IFERROR(Ratios!$P$62,"NA")</f>
        <v>5.8330754608549577E-2</v>
      </c>
      <c r="E761" s="522" t="str">
        <f t="shared" ca="1" si="11"/>
        <v>=IFERROR(Ratios!$P$62,"NA")</v>
      </c>
    </row>
    <row r="762" spans="1:5" x14ac:dyDescent="0.25">
      <c r="A762" s="533" t="s">
        <v>893</v>
      </c>
      <c r="B762" s="534">
        <f>IFERROR(Ratios!$C$63,"NA")</f>
        <v>5.1683862238768095</v>
      </c>
      <c r="E762" s="522" t="str">
        <f t="shared" ca="1" si="11"/>
        <v>=IFERROR(Ratios!$C$63,"NA")</v>
      </c>
    </row>
    <row r="763" spans="1:5" x14ac:dyDescent="0.25">
      <c r="A763" s="533" t="s">
        <v>951</v>
      </c>
      <c r="B763" s="534">
        <f>IFERROR(Ratios!$D$63,"NA")</f>
        <v>4.9441901272106641</v>
      </c>
      <c r="E763" s="522" t="str">
        <f t="shared" ca="1" si="11"/>
        <v>=IFERROR(Ratios!$D$63,"NA")</v>
      </c>
    </row>
    <row r="764" spans="1:5" x14ac:dyDescent="0.25">
      <c r="A764" s="533" t="s">
        <v>1009</v>
      </c>
      <c r="B764" s="534">
        <f>IFERROR(Ratios!$E$63,"NA")</f>
        <v>4.9905318069731193</v>
      </c>
      <c r="E764" s="522" t="str">
        <f t="shared" ca="1" si="11"/>
        <v>=IFERROR(Ratios!$E$63,"NA")</v>
      </c>
    </row>
    <row r="765" spans="1:5" x14ac:dyDescent="0.25">
      <c r="A765" s="533" t="s">
        <v>1067</v>
      </c>
      <c r="B765" s="534">
        <f>IFERROR(Ratios!$F$63,"NA")</f>
        <v>3.0253929866989115</v>
      </c>
      <c r="E765" s="522" t="str">
        <f t="shared" ca="1" si="11"/>
        <v>=IFERROR(Ratios!$F$63,"NA")</v>
      </c>
    </row>
    <row r="766" spans="1:5" x14ac:dyDescent="0.25">
      <c r="A766" s="533" t="s">
        <v>1125</v>
      </c>
      <c r="B766" s="534">
        <f>IFERROR(Ratios!$G$63,"NA")</f>
        <v>3.5402843601895735</v>
      </c>
      <c r="E766" s="522" t="str">
        <f t="shared" ca="1" si="11"/>
        <v>=IFERROR(Ratios!$G$63,"NA")</v>
      </c>
    </row>
    <row r="767" spans="1:5" x14ac:dyDescent="0.25">
      <c r="A767" s="533" t="s">
        <v>1183</v>
      </c>
      <c r="B767" s="534">
        <f>IFERROR(Ratios!$H$63,"NA")</f>
        <v>0.49029622063329931</v>
      </c>
      <c r="E767" s="522" t="str">
        <f t="shared" ca="1" si="11"/>
        <v>=IFERROR(Ratios!$H$63,"NA")</v>
      </c>
    </row>
    <row r="768" spans="1:5" x14ac:dyDescent="0.25">
      <c r="A768" s="533" t="s">
        <v>1241</v>
      </c>
      <c r="B768" s="534">
        <f>IFERROR(Ratios!$I$63,"NA")</f>
        <v>7.2724252491694354</v>
      </c>
      <c r="E768" s="522" t="str">
        <f t="shared" ca="1" si="11"/>
        <v>=IFERROR(Ratios!$I$63,"NA")</v>
      </c>
    </row>
    <row r="769" spans="1:5" x14ac:dyDescent="0.25">
      <c r="A769" s="533" t="s">
        <v>1299</v>
      </c>
      <c r="B769" s="534">
        <f>IFERROR(Ratios!$J$63,"NA")</f>
        <v>6.3175182481751824</v>
      </c>
      <c r="E769" s="522" t="str">
        <f t="shared" ca="1" si="11"/>
        <v>=IFERROR(Ratios!$J$63,"NA")</v>
      </c>
    </row>
    <row r="770" spans="1:5" x14ac:dyDescent="0.25">
      <c r="A770" s="533" t="s">
        <v>1357</v>
      </c>
      <c r="B770" s="534">
        <f>IFERROR(Ratios!$K$63,"NA")</f>
        <v>8.3800000000000008</v>
      </c>
      <c r="E770" s="522" t="str">
        <f t="shared" ca="1" si="11"/>
        <v>=IFERROR(Ratios!$K$63,"NA")</v>
      </c>
    </row>
    <row r="771" spans="1:5" x14ac:dyDescent="0.25">
      <c r="A771" s="533" t="s">
        <v>1415</v>
      </c>
      <c r="B771" s="534">
        <f>IFERROR(Ratios!$L$63,"NA")</f>
        <v>6.9100294985250734</v>
      </c>
      <c r="E771" s="522" t="str">
        <f t="shared" ref="E771:E834" ca="1" si="12">_xlfn.FORMULATEXT(B771)</f>
        <v>=IFERROR(Ratios!$L$63,"NA")</v>
      </c>
    </row>
    <row r="772" spans="1:5" x14ac:dyDescent="0.25">
      <c r="A772" s="533" t="s">
        <v>1473</v>
      </c>
      <c r="B772" s="534">
        <f>IFERROR(Ratios!$M$63,"NA")</f>
        <v>7.2654424040066781</v>
      </c>
      <c r="E772" s="522" t="str">
        <f t="shared" ca="1" si="12"/>
        <v>=IFERROR(Ratios!$M$63,"NA")</v>
      </c>
    </row>
    <row r="773" spans="1:5" x14ac:dyDescent="0.25">
      <c r="A773" s="533" t="s">
        <v>1531</v>
      </c>
      <c r="B773" s="534">
        <f>IFERROR(Ratios!$N$63,"NA")</f>
        <v>6.9680851063829783</v>
      </c>
      <c r="E773" s="522" t="str">
        <f t="shared" ca="1" si="12"/>
        <v>=IFERROR(Ratios!$N$63,"NA")</v>
      </c>
    </row>
    <row r="774" spans="1:5" x14ac:dyDescent="0.25">
      <c r="A774" s="533" t="s">
        <v>1589</v>
      </c>
      <c r="B774" s="534">
        <f>IFERROR(Ratios!$O$63,"NA")</f>
        <v>4.1923076923076925</v>
      </c>
      <c r="E774" s="522" t="str">
        <f t="shared" ca="1" si="12"/>
        <v>=IFERROR(Ratios!$O$63,"NA")</v>
      </c>
    </row>
    <row r="775" spans="1:5" x14ac:dyDescent="0.25">
      <c r="A775" s="533" t="s">
        <v>1642</v>
      </c>
      <c r="B775" s="534">
        <f>IFERROR(Ratios!$P$63,"NA")</f>
        <v>0.31259407927747113</v>
      </c>
      <c r="E775" s="522" t="str">
        <f t="shared" ca="1" si="12"/>
        <v>=IFERROR(Ratios!$P$63,"NA")</v>
      </c>
    </row>
    <row r="776" spans="1:5" x14ac:dyDescent="0.25">
      <c r="A776" s="533" t="s">
        <v>894</v>
      </c>
      <c r="B776" s="534">
        <f>IFERROR(Ratios!$C$64,"NA")</f>
        <v>-3.3255744517280892</v>
      </c>
      <c r="E776" s="522" t="str">
        <f t="shared" ca="1" si="12"/>
        <v>=IFERROR(Ratios!$C$64,"NA")</v>
      </c>
    </row>
    <row r="777" spans="1:5" x14ac:dyDescent="0.25">
      <c r="A777" s="533" t="s">
        <v>952</v>
      </c>
      <c r="B777" s="534">
        <f>IFERROR(Ratios!$D$64,"NA")</f>
        <v>-3.3465004674253009</v>
      </c>
      <c r="E777" s="522" t="str">
        <f t="shared" ca="1" si="12"/>
        <v>=IFERROR(Ratios!$D$64,"NA")</v>
      </c>
    </row>
    <row r="778" spans="1:5" x14ac:dyDescent="0.25">
      <c r="A778" s="533" t="s">
        <v>1010</v>
      </c>
      <c r="B778" s="534">
        <f>IFERROR(Ratios!$E$64,"NA")</f>
        <v>-4.4327544346425078</v>
      </c>
      <c r="E778" s="522" t="str">
        <f t="shared" ca="1" si="12"/>
        <v>=IFERROR(Ratios!$E$64,"NA")</v>
      </c>
    </row>
    <row r="779" spans="1:5" x14ac:dyDescent="0.25">
      <c r="A779" s="533" t="s">
        <v>1068</v>
      </c>
      <c r="B779" s="534">
        <f>IFERROR(Ratios!$F$64,"NA")</f>
        <v>2.793002269833361</v>
      </c>
      <c r="E779" s="522" t="str">
        <f t="shared" ca="1" si="12"/>
        <v>=IFERROR(Ratios!$F$64,"NA")</v>
      </c>
    </row>
    <row r="780" spans="1:5" x14ac:dyDescent="0.25">
      <c r="A780" s="533" t="s">
        <v>1126</v>
      </c>
      <c r="B780" s="534" t="str">
        <f>IFERROR(Ratios!$G$64,"NA")</f>
        <v>NA</v>
      </c>
      <c r="E780" s="522" t="str">
        <f t="shared" ca="1" si="12"/>
        <v>=IFERROR(Ratios!$G$64,"NA")</v>
      </c>
    </row>
    <row r="781" spans="1:5" x14ac:dyDescent="0.25">
      <c r="A781" s="533" t="s">
        <v>1184</v>
      </c>
      <c r="B781" s="534" t="str">
        <f>IFERROR(Ratios!$H$64,"NA")</f>
        <v>NA</v>
      </c>
      <c r="E781" s="522" t="str">
        <f t="shared" ca="1" si="12"/>
        <v>=IFERROR(Ratios!$H$64,"NA")</v>
      </c>
    </row>
    <row r="782" spans="1:5" x14ac:dyDescent="0.25">
      <c r="A782" s="533" t="s">
        <v>1242</v>
      </c>
      <c r="B782" s="534">
        <f>IFERROR(Ratios!$I$64,"NA")</f>
        <v>2.3436819719347599</v>
      </c>
      <c r="E782" s="522" t="str">
        <f t="shared" ca="1" si="12"/>
        <v>=IFERROR(Ratios!$I$64,"NA")</v>
      </c>
    </row>
    <row r="783" spans="1:5" x14ac:dyDescent="0.25">
      <c r="A783" s="533" t="s">
        <v>1300</v>
      </c>
      <c r="B783" s="534">
        <f>IFERROR(Ratios!$J$64,"NA")</f>
        <v>1.4164017282139072</v>
      </c>
      <c r="E783" s="522" t="str">
        <f t="shared" ca="1" si="12"/>
        <v>=IFERROR(Ratios!$J$64,"NA")</v>
      </c>
    </row>
    <row r="784" spans="1:5" x14ac:dyDescent="0.25">
      <c r="A784" s="533" t="s">
        <v>1358</v>
      </c>
      <c r="B784" s="534">
        <f>IFERROR(Ratios!$K$64,"NA")</f>
        <v>2.1896284829721364</v>
      </c>
      <c r="E784" s="522" t="str">
        <f t="shared" ca="1" si="12"/>
        <v>=IFERROR(Ratios!$K$64,"NA")</v>
      </c>
    </row>
    <row r="785" spans="1:5" x14ac:dyDescent="0.25">
      <c r="A785" s="533" t="s">
        <v>1416</v>
      </c>
      <c r="B785" s="534">
        <f>IFERROR(Ratios!$L$64,"NA")</f>
        <v>2.9878900791802514</v>
      </c>
      <c r="E785" s="522" t="str">
        <f t="shared" ca="1" si="12"/>
        <v>=IFERROR(Ratios!$L$64,"NA")</v>
      </c>
    </row>
    <row r="786" spans="1:5" x14ac:dyDescent="0.25">
      <c r="A786" s="533" t="s">
        <v>1474</v>
      </c>
      <c r="B786" s="534">
        <f>IFERROR(Ratios!$M$64,"NA")</f>
        <v>2.7524414219873017</v>
      </c>
      <c r="E786" s="522" t="str">
        <f t="shared" ca="1" si="12"/>
        <v>=IFERROR(Ratios!$M$64,"NA")</v>
      </c>
    </row>
    <row r="787" spans="1:5" x14ac:dyDescent="0.25">
      <c r="A787" s="533" t="s">
        <v>1532</v>
      </c>
      <c r="B787" s="534">
        <f>IFERROR(Ratios!$N$64,"NA")</f>
        <v>2.9253926701570685</v>
      </c>
      <c r="E787" s="522" t="str">
        <f t="shared" ca="1" si="12"/>
        <v>=IFERROR(Ratios!$N$64,"NA")</v>
      </c>
    </row>
    <row r="788" spans="1:5" x14ac:dyDescent="0.25">
      <c r="A788" s="533" t="s">
        <v>1590</v>
      </c>
      <c r="B788" s="534">
        <f>IFERROR(Ratios!$O$64,"NA")</f>
        <v>2.8102287421411689</v>
      </c>
      <c r="E788" s="522" t="str">
        <f t="shared" ca="1" si="12"/>
        <v>=IFERROR(Ratios!$O$64,"NA")</v>
      </c>
    </row>
    <row r="789" spans="1:5" x14ac:dyDescent="0.25">
      <c r="A789" s="533" t="s">
        <v>1643</v>
      </c>
      <c r="B789" s="534">
        <f>IFERROR(Ratios!$P$64,"NA")</f>
        <v>3.5782080485952923</v>
      </c>
      <c r="E789" s="522" t="str">
        <f t="shared" ca="1" si="12"/>
        <v>=IFERROR(Ratios!$P$64,"NA")</v>
      </c>
    </row>
    <row r="790" spans="1:5" x14ac:dyDescent="0.25">
      <c r="A790" s="533" t="s">
        <v>895</v>
      </c>
      <c r="B790" s="534">
        <f>IFERROR(Ratios!$C$65,"NA")</f>
        <v>1.3307354947240888</v>
      </c>
      <c r="E790" s="522" t="str">
        <f t="shared" ca="1" si="12"/>
        <v>=IFERROR(Ratios!$C$65,"NA")</v>
      </c>
    </row>
    <row r="791" spans="1:5" x14ac:dyDescent="0.25">
      <c r="A791" s="533" t="s">
        <v>953</v>
      </c>
      <c r="B791" s="534">
        <f>IFERROR(Ratios!$D$65,"NA")</f>
        <v>1.3263725501545538</v>
      </c>
      <c r="E791" s="522" t="str">
        <f t="shared" ca="1" si="12"/>
        <v>=IFERROR(Ratios!$D$65,"NA")</v>
      </c>
    </row>
    <row r="792" spans="1:5" x14ac:dyDescent="0.25">
      <c r="A792" s="533" t="s">
        <v>1011</v>
      </c>
      <c r="B792" s="534">
        <f>IFERROR(Ratios!$E$65,"NA")</f>
        <v>1.4349712675570372</v>
      </c>
      <c r="E792" s="522" t="str">
        <f t="shared" ca="1" si="12"/>
        <v>=IFERROR(Ratios!$E$65,"NA")</v>
      </c>
    </row>
    <row r="793" spans="1:5" x14ac:dyDescent="0.25">
      <c r="A793" s="533" t="s">
        <v>1069</v>
      </c>
      <c r="B793" s="534">
        <f>IFERROR(Ratios!$F$65,"NA")</f>
        <v>0.9665754948773817</v>
      </c>
      <c r="E793" s="522" t="str">
        <f t="shared" ca="1" si="12"/>
        <v>=IFERROR(Ratios!$F$65,"NA")</v>
      </c>
    </row>
    <row r="794" spans="1:5" x14ac:dyDescent="0.25">
      <c r="A794" s="533" t="s">
        <v>1127</v>
      </c>
      <c r="B794" s="534" t="str">
        <f>IFERROR(Ratios!$G$65,"NA")</f>
        <v>NA</v>
      </c>
      <c r="E794" s="522" t="str">
        <f t="shared" ca="1" si="12"/>
        <v>=IFERROR(Ratios!$G$65,"NA")</v>
      </c>
    </row>
    <row r="795" spans="1:5" x14ac:dyDescent="0.25">
      <c r="A795" s="533" t="s">
        <v>1185</v>
      </c>
      <c r="B795" s="534" t="str">
        <f>IFERROR(Ratios!$H$65,"NA")</f>
        <v>NA</v>
      </c>
      <c r="E795" s="522" t="str">
        <f t="shared" ca="1" si="12"/>
        <v>=IFERROR(Ratios!$H$65,"NA")</v>
      </c>
    </row>
    <row r="796" spans="1:5" x14ac:dyDescent="0.25">
      <c r="A796" s="533" t="s">
        <v>1243</v>
      </c>
      <c r="B796" s="534">
        <f>IFERROR(Ratios!$I$65,"NA")</f>
        <v>1.1674822330964414</v>
      </c>
      <c r="E796" s="522" t="str">
        <f t="shared" ca="1" si="12"/>
        <v>=IFERROR(Ratios!$I$65,"NA")</v>
      </c>
    </row>
    <row r="797" spans="1:5" x14ac:dyDescent="0.25">
      <c r="A797" s="533" t="s">
        <v>1301</v>
      </c>
      <c r="B797" s="534">
        <f>IFERROR(Ratios!$J$65,"NA")</f>
        <v>0.83286822302199803</v>
      </c>
      <c r="E797" s="522" t="str">
        <f t="shared" ca="1" si="12"/>
        <v>=IFERROR(Ratios!$J$65,"NA")</v>
      </c>
    </row>
    <row r="798" spans="1:5" x14ac:dyDescent="0.25">
      <c r="A798" s="533" t="s">
        <v>1359</v>
      </c>
      <c r="B798" s="534">
        <f>IFERROR(Ratios!$K$65,"NA")</f>
        <v>0.8104448742746615</v>
      </c>
      <c r="E798" s="522" t="str">
        <f t="shared" ca="1" si="12"/>
        <v>=IFERROR(Ratios!$K$65,"NA")</v>
      </c>
    </row>
    <row r="799" spans="1:5" x14ac:dyDescent="0.25">
      <c r="A799" s="533" t="s">
        <v>1417</v>
      </c>
      <c r="B799" s="534">
        <f>IFERROR(Ratios!$L$65,"NA")</f>
        <v>0.95355369209476515</v>
      </c>
      <c r="E799" s="522" t="str">
        <f t="shared" ca="1" si="12"/>
        <v>=IFERROR(Ratios!$L$65,"NA")</v>
      </c>
    </row>
    <row r="800" spans="1:5" x14ac:dyDescent="0.25">
      <c r="A800" s="533" t="s">
        <v>1475</v>
      </c>
      <c r="B800" s="534">
        <f>IFERROR(Ratios!$M$65,"NA")</f>
        <v>0.903264370869724</v>
      </c>
      <c r="E800" s="522" t="str">
        <f t="shared" ca="1" si="12"/>
        <v>=IFERROR(Ratios!$M$65,"NA")</v>
      </c>
    </row>
    <row r="801" spans="1:5" x14ac:dyDescent="0.25">
      <c r="A801" s="533" t="s">
        <v>1533</v>
      </c>
      <c r="B801" s="534">
        <f>IFERROR(Ratios!$N$65,"NA")</f>
        <v>1.0417218894131368</v>
      </c>
      <c r="E801" s="522" t="str">
        <f t="shared" ca="1" si="12"/>
        <v>=IFERROR(Ratios!$N$65,"NA")</v>
      </c>
    </row>
    <row r="802" spans="1:5" x14ac:dyDescent="0.25">
      <c r="A802" s="533" t="s">
        <v>1591</v>
      </c>
      <c r="B802" s="534">
        <f>IFERROR(Ratios!$O$65,"NA")</f>
        <v>1.0948778696814776</v>
      </c>
      <c r="E802" s="522" t="str">
        <f t="shared" ca="1" si="12"/>
        <v>=IFERROR(Ratios!$O$65,"NA")</v>
      </c>
    </row>
    <row r="803" spans="1:5" x14ac:dyDescent="0.25">
      <c r="A803" s="533" t="s">
        <v>1644</v>
      </c>
      <c r="B803" s="534">
        <f>IFERROR(Ratios!$P$65,"NA")</f>
        <v>7.2006472491909399</v>
      </c>
      <c r="E803" s="522" t="str">
        <f t="shared" ca="1" si="12"/>
        <v>=IFERROR(Ratios!$P$65,"NA")</v>
      </c>
    </row>
    <row r="804" spans="1:5" x14ac:dyDescent="0.25">
      <c r="A804" s="533" t="s">
        <v>896</v>
      </c>
      <c r="B804" s="534">
        <f>IFERROR(Ratios!$C$66,"NA")</f>
        <v>0.11868597574040757</v>
      </c>
      <c r="E804" s="522" t="str">
        <f t="shared" ca="1" si="12"/>
        <v>=IFERROR(Ratios!$C$66,"NA")</v>
      </c>
    </row>
    <row r="805" spans="1:5" x14ac:dyDescent="0.25">
      <c r="A805" s="533" t="s">
        <v>954</v>
      </c>
      <c r="B805" s="534">
        <f>IFERROR(Ratios!$D$66,"NA")</f>
        <v>0.10035426001866821</v>
      </c>
      <c r="E805" s="522" t="str">
        <f t="shared" ca="1" si="12"/>
        <v>=IFERROR(Ratios!$D$66,"NA")</v>
      </c>
    </row>
    <row r="806" spans="1:5" x14ac:dyDescent="0.25">
      <c r="A806" s="533" t="s">
        <v>1012</v>
      </c>
      <c r="B806" s="534">
        <f>IFERROR(Ratios!$E$66,"NA")</f>
        <v>0.10261368070745623</v>
      </c>
      <c r="E806" s="522" t="str">
        <f t="shared" ca="1" si="12"/>
        <v>=IFERROR(Ratios!$E$66,"NA")</v>
      </c>
    </row>
    <row r="807" spans="1:5" x14ac:dyDescent="0.25">
      <c r="A807" s="533" t="s">
        <v>1070</v>
      </c>
      <c r="B807" s="534">
        <f>IFERROR(Ratios!$F$66,"NA")</f>
        <v>1.6825731690449097E-3</v>
      </c>
      <c r="E807" s="522" t="str">
        <f t="shared" ca="1" si="12"/>
        <v>=IFERROR(Ratios!$F$66,"NA")</v>
      </c>
    </row>
    <row r="808" spans="1:5" x14ac:dyDescent="0.25">
      <c r="A808" s="533" t="s">
        <v>1128</v>
      </c>
      <c r="B808" s="534">
        <f>IFERROR(Ratios!$G$66,"NA")</f>
        <v>8.3231063324221578E-3</v>
      </c>
      <c r="E808" s="522" t="str">
        <f t="shared" ca="1" si="12"/>
        <v>=IFERROR(Ratios!$G$66,"NA")</v>
      </c>
    </row>
    <row r="809" spans="1:5" x14ac:dyDescent="0.25">
      <c r="A809" s="533" t="s">
        <v>1186</v>
      </c>
      <c r="B809" s="534">
        <f>IFERROR(Ratios!$H$66,"NA")</f>
        <v>5.4178990570676027E-3</v>
      </c>
      <c r="E809" s="522" t="str">
        <f t="shared" ca="1" si="12"/>
        <v>=IFERROR(Ratios!$H$66,"NA")</v>
      </c>
    </row>
    <row r="810" spans="1:5" x14ac:dyDescent="0.25">
      <c r="A810" s="533" t="s">
        <v>1244</v>
      </c>
      <c r="B810" s="534">
        <f>IFERROR(Ratios!$I$66,"NA")</f>
        <v>0.10090261161121963</v>
      </c>
      <c r="E810" s="522" t="str">
        <f t="shared" ca="1" si="12"/>
        <v>=IFERROR(Ratios!$I$66,"NA")</v>
      </c>
    </row>
    <row r="811" spans="1:5" x14ac:dyDescent="0.25">
      <c r="A811" s="533" t="s">
        <v>1302</v>
      </c>
      <c r="B811" s="534">
        <f>IFERROR(Ratios!$J$66,"NA")</f>
        <v>6.3750427782667041E-2</v>
      </c>
      <c r="E811" s="522" t="str">
        <f t="shared" ca="1" si="12"/>
        <v>=IFERROR(Ratios!$J$66,"NA")</v>
      </c>
    </row>
    <row r="812" spans="1:5" x14ac:dyDescent="0.25">
      <c r="A812" s="533" t="s">
        <v>1360</v>
      </c>
      <c r="B812" s="534">
        <f>IFERROR(Ratios!$K$66,"NA")</f>
        <v>5.200564509949334E-2</v>
      </c>
      <c r="E812" s="522" t="str">
        <f t="shared" ca="1" si="12"/>
        <v>=IFERROR(Ratios!$K$66,"NA")</v>
      </c>
    </row>
    <row r="813" spans="1:5" x14ac:dyDescent="0.25">
      <c r="A813" s="533" t="s">
        <v>1418</v>
      </c>
      <c r="B813" s="534">
        <f>IFERROR(Ratios!$L$66,"NA")</f>
        <v>1.8413383042743831E-2</v>
      </c>
      <c r="E813" s="522" t="str">
        <f t="shared" ca="1" si="12"/>
        <v>=IFERROR(Ratios!$L$66,"NA")</v>
      </c>
    </row>
    <row r="814" spans="1:5" x14ac:dyDescent="0.25">
      <c r="A814" s="533" t="s">
        <v>1476</v>
      </c>
      <c r="B814" s="534">
        <f>IFERROR(Ratios!$M$66,"NA")</f>
        <v>3.6479530143651753E-2</v>
      </c>
      <c r="E814" s="522" t="str">
        <f t="shared" ca="1" si="12"/>
        <v>=IFERROR(Ratios!$M$66,"NA")</v>
      </c>
    </row>
    <row r="815" spans="1:5" x14ac:dyDescent="0.25">
      <c r="A815" s="533" t="s">
        <v>1534</v>
      </c>
      <c r="B815" s="534">
        <f>IFERROR(Ratios!$N$66,"NA")</f>
        <v>3.3075197244442453E-2</v>
      </c>
      <c r="E815" s="522" t="str">
        <f t="shared" ca="1" si="12"/>
        <v>=IFERROR(Ratios!$N$66,"NA")</v>
      </c>
    </row>
    <row r="816" spans="1:5" x14ac:dyDescent="0.25">
      <c r="A816" s="533" t="s">
        <v>1592</v>
      </c>
      <c r="B816" s="534">
        <f>IFERROR(Ratios!$O$66,"NA")</f>
        <v>-8.0252378736286548E-3</v>
      </c>
      <c r="E816" s="522" t="str">
        <f t="shared" ca="1" si="12"/>
        <v>=IFERROR(Ratios!$O$66,"NA")</v>
      </c>
    </row>
    <row r="817" spans="1:5" x14ac:dyDescent="0.25">
      <c r="A817" s="533" t="s">
        <v>1645</v>
      </c>
      <c r="B817" s="534">
        <f>IFERROR(Ratios!$P$66,"NA")</f>
        <v>6.8827854458321708E-2</v>
      </c>
      <c r="E817" s="522" t="str">
        <f t="shared" ca="1" si="12"/>
        <v>=IFERROR(Ratios!$P$66,"NA")</v>
      </c>
    </row>
    <row r="818" spans="1:5" x14ac:dyDescent="0.25">
      <c r="A818" s="533" t="s">
        <v>897</v>
      </c>
      <c r="B818" s="534">
        <f>IFERROR(Ratios!$C$70,"NA")</f>
        <v>0.93707730059062566</v>
      </c>
      <c r="E818" s="522" t="str">
        <f t="shared" ca="1" si="12"/>
        <v>=IFERROR(Ratios!$C$70,"NA")</v>
      </c>
    </row>
    <row r="819" spans="1:5" x14ac:dyDescent="0.25">
      <c r="A819" s="533" t="s">
        <v>955</v>
      </c>
      <c r="B819" s="534">
        <f>IFERROR(Ratios!$D$70,"NA")</f>
        <v>0.51633515384848794</v>
      </c>
      <c r="E819" s="522" t="str">
        <f t="shared" ca="1" si="12"/>
        <v>=IFERROR(Ratios!$D$70,"NA")</v>
      </c>
    </row>
    <row r="820" spans="1:5" x14ac:dyDescent="0.25">
      <c r="A820" s="533" t="s">
        <v>1013</v>
      </c>
      <c r="B820" s="534">
        <f>IFERROR(Ratios!$E$70,"NA")</f>
        <v>0.30266328401947851</v>
      </c>
      <c r="E820" s="522" t="str">
        <f t="shared" ca="1" si="12"/>
        <v>=IFERROR(Ratios!$E$70,"NA")</v>
      </c>
    </row>
    <row r="821" spans="1:5" x14ac:dyDescent="0.25">
      <c r="A821" s="533" t="s">
        <v>1071</v>
      </c>
      <c r="B821" s="534">
        <f>IFERROR(Ratios!$F$70,"NA")</f>
        <v>0.46024212473834636</v>
      </c>
      <c r="E821" s="522" t="str">
        <f t="shared" ca="1" si="12"/>
        <v>=IFERROR(Ratios!$F$70,"NA")</v>
      </c>
    </row>
    <row r="822" spans="1:5" x14ac:dyDescent="0.25">
      <c r="A822" s="533" t="s">
        <v>1129</v>
      </c>
      <c r="B822" s="534">
        <f>IFERROR(Ratios!$G$70,"NA")</f>
        <v>-35.720833333333459</v>
      </c>
      <c r="E822" s="522" t="str">
        <f t="shared" ca="1" si="12"/>
        <v>=IFERROR(Ratios!$G$70,"NA")</v>
      </c>
    </row>
    <row r="823" spans="1:5" x14ac:dyDescent="0.25">
      <c r="A823" s="533" t="s">
        <v>1187</v>
      </c>
      <c r="B823" s="534">
        <f>IFERROR(Ratios!$H$70,"NA")</f>
        <v>0.34464157706093196</v>
      </c>
      <c r="E823" s="522" t="str">
        <f t="shared" ca="1" si="12"/>
        <v>=IFERROR(Ratios!$H$70,"NA")</v>
      </c>
    </row>
    <row r="824" spans="1:5" x14ac:dyDescent="0.25">
      <c r="A824" s="533" t="s">
        <v>1245</v>
      </c>
      <c r="B824" s="534">
        <f>IFERROR(Ratios!$I$70,"NA")</f>
        <v>-0.14264288830715535</v>
      </c>
      <c r="E824" s="522" t="str">
        <f t="shared" ca="1" si="12"/>
        <v>=IFERROR(Ratios!$I$70,"NA")</v>
      </c>
    </row>
    <row r="825" spans="1:5" x14ac:dyDescent="0.25">
      <c r="A825" s="533" t="s">
        <v>1303</v>
      </c>
      <c r="B825" s="534">
        <f>IFERROR(Ratios!$J$70,"NA")</f>
        <v>0.3179845422116529</v>
      </c>
      <c r="E825" s="522" t="str">
        <f t="shared" ca="1" si="12"/>
        <v>=IFERROR(Ratios!$J$70,"NA")</v>
      </c>
    </row>
    <row r="826" spans="1:5" x14ac:dyDescent="0.25">
      <c r="A826" s="533" t="s">
        <v>1361</v>
      </c>
      <c r="B826" s="534">
        <f>IFERROR(Ratios!$K$70,"NA")</f>
        <v>-6.522583871960605E-2</v>
      </c>
      <c r="E826" s="522" t="str">
        <f t="shared" ca="1" si="12"/>
        <v>=IFERROR(Ratios!$K$70,"NA")</v>
      </c>
    </row>
    <row r="827" spans="1:5" x14ac:dyDescent="0.25">
      <c r="A827" s="533" t="s">
        <v>1419</v>
      </c>
      <c r="B827" s="534">
        <f>IFERROR(Ratios!$L$70,"NA")</f>
        <v>0.1029317269076305</v>
      </c>
      <c r="E827" s="522" t="str">
        <f t="shared" ca="1" si="12"/>
        <v>=IFERROR(Ratios!$L$70,"NA")</v>
      </c>
    </row>
    <row r="828" spans="1:5" x14ac:dyDescent="0.25">
      <c r="A828" s="533" t="s">
        <v>1477</v>
      </c>
      <c r="B828" s="534">
        <f>IFERROR(Ratios!$M$70,"NA")</f>
        <v>2.9336489898989897</v>
      </c>
      <c r="E828" s="522" t="str">
        <f t="shared" ca="1" si="12"/>
        <v>=IFERROR(Ratios!$M$70,"NA")</v>
      </c>
    </row>
    <row r="829" spans="1:5" x14ac:dyDescent="0.25">
      <c r="A829" s="533" t="s">
        <v>1535</v>
      </c>
      <c r="B829" s="534">
        <f>IFERROR(Ratios!$N$70,"NA")</f>
        <v>1.5758333333333321</v>
      </c>
      <c r="E829" s="522" t="str">
        <f t="shared" ca="1" si="12"/>
        <v>=IFERROR(Ratios!$N$70,"NA")</v>
      </c>
    </row>
    <row r="830" spans="1:5" x14ac:dyDescent="0.25">
      <c r="A830" s="533" t="s">
        <v>1593</v>
      </c>
      <c r="B830" s="534">
        <f>IFERROR(Ratios!$O$70,"NA")</f>
        <v>0.68915300546448066</v>
      </c>
      <c r="E830" s="522" t="str">
        <f t="shared" ca="1" si="12"/>
        <v>=IFERROR(Ratios!$O$70,"NA")</v>
      </c>
    </row>
    <row r="831" spans="1:5" x14ac:dyDescent="0.25">
      <c r="A831" s="533" t="s">
        <v>1646</v>
      </c>
      <c r="B831" s="534">
        <f>IFERROR(Ratios!$P$70,"NA")</f>
        <v>-4.4818600922028468E-2</v>
      </c>
      <c r="E831" s="522" t="str">
        <f t="shared" ca="1" si="12"/>
        <v>=IFERROR(Ratios!$P$70,"NA")</v>
      </c>
    </row>
    <row r="832" spans="1:5" x14ac:dyDescent="0.25">
      <c r="A832" s="533" t="s">
        <v>898</v>
      </c>
      <c r="B832" s="534">
        <f>IFERROR(Ratios!$C$71,"NA")</f>
        <v>10.24750323350054</v>
      </c>
      <c r="E832" s="522" t="str">
        <f t="shared" ca="1" si="12"/>
        <v>=IFERROR(Ratios!$C$71,"NA")</v>
      </c>
    </row>
    <row r="833" spans="1:5" x14ac:dyDescent="0.25">
      <c r="A833" s="533" t="s">
        <v>956</v>
      </c>
      <c r="B833" s="534">
        <f>IFERROR(Ratios!$D$71,"NA")</f>
        <v>11.368129274216891</v>
      </c>
      <c r="E833" s="522" t="str">
        <f t="shared" ca="1" si="12"/>
        <v>=IFERROR(Ratios!$D$71,"NA")</v>
      </c>
    </row>
    <row r="834" spans="1:5" x14ac:dyDescent="0.25">
      <c r="A834" s="533" t="s">
        <v>1014</v>
      </c>
      <c r="B834" s="534">
        <f>IFERROR(Ratios!$E$71,"NA")</f>
        <v>13.871045495048705</v>
      </c>
      <c r="E834" s="522" t="str">
        <f t="shared" ca="1" si="12"/>
        <v>=IFERROR(Ratios!$E$71,"NA")</v>
      </c>
    </row>
    <row r="835" spans="1:5" x14ac:dyDescent="0.25">
      <c r="A835" s="533" t="s">
        <v>1072</v>
      </c>
      <c r="B835" s="534">
        <f>IFERROR(Ratios!$F$71,"NA")</f>
        <v>21.092877094972067</v>
      </c>
      <c r="E835" s="522" t="str">
        <f t="shared" ref="E835:E898" ca="1" si="13">_xlfn.FORMULATEXT(B835)</f>
        <v>=IFERROR(Ratios!$F$71,"NA")</v>
      </c>
    </row>
    <row r="836" spans="1:5" x14ac:dyDescent="0.25">
      <c r="A836" s="533" t="s">
        <v>1130</v>
      </c>
      <c r="B836" s="534">
        <f>IFERROR(Ratios!$G$71,"NA")</f>
        <v>19.844907407407408</v>
      </c>
      <c r="E836" s="522" t="str">
        <f t="shared" ca="1" si="13"/>
        <v>=IFERROR(Ratios!$G$71,"NA")</v>
      </c>
    </row>
    <row r="837" spans="1:5" x14ac:dyDescent="0.25">
      <c r="A837" s="533" t="s">
        <v>1188</v>
      </c>
      <c r="B837" s="534">
        <f>IFERROR(Ratios!$H$71,"NA")</f>
        <v>62.846405228758172</v>
      </c>
      <c r="E837" s="522" t="str">
        <f t="shared" ca="1" si="13"/>
        <v>=IFERROR(Ratios!$H$71,"NA")</v>
      </c>
    </row>
    <row r="838" spans="1:5" x14ac:dyDescent="0.25">
      <c r="A838" s="533" t="s">
        <v>1246</v>
      </c>
      <c r="B838" s="534">
        <f>IFERROR(Ratios!$I$71,"NA")</f>
        <v>12.224247522901479</v>
      </c>
      <c r="E838" s="522" t="str">
        <f t="shared" ca="1" si="13"/>
        <v>=IFERROR(Ratios!$I$71,"NA")</v>
      </c>
    </row>
    <row r="839" spans="1:5" x14ac:dyDescent="0.25">
      <c r="A839" s="533" t="s">
        <v>1304</v>
      </c>
      <c r="B839" s="534">
        <f>IFERROR(Ratios!$J$71,"NA")</f>
        <v>28.389065817409772</v>
      </c>
      <c r="E839" s="522" t="str">
        <f t="shared" ca="1" si="13"/>
        <v>=IFERROR(Ratios!$J$71,"NA")</v>
      </c>
    </row>
    <row r="840" spans="1:5" x14ac:dyDescent="0.25">
      <c r="A840" s="533" t="s">
        <v>1362</v>
      </c>
      <c r="B840" s="534">
        <f>IFERROR(Ratios!$K$71,"NA")</f>
        <v>5.3575717355580847</v>
      </c>
      <c r="E840" s="522" t="str">
        <f t="shared" ca="1" si="13"/>
        <v>=IFERROR(Ratios!$K$71,"NA")</v>
      </c>
    </row>
    <row r="841" spans="1:5" x14ac:dyDescent="0.25">
      <c r="A841" s="533" t="s">
        <v>1420</v>
      </c>
      <c r="B841" s="534">
        <f>IFERROR(Ratios!$L$71,"NA")</f>
        <v>17.488911634254521</v>
      </c>
      <c r="E841" s="522" t="str">
        <f t="shared" ca="1" si="13"/>
        <v>=IFERROR(Ratios!$L$71,"NA")</v>
      </c>
    </row>
    <row r="842" spans="1:5" x14ac:dyDescent="0.25">
      <c r="A842" s="533" t="s">
        <v>1478</v>
      </c>
      <c r="B842" s="534">
        <f>IFERROR(Ratios!$M$71,"NA")</f>
        <v>21.253658982802783</v>
      </c>
      <c r="E842" s="522" t="str">
        <f t="shared" ca="1" si="13"/>
        <v>=IFERROR(Ratios!$M$71,"NA")</v>
      </c>
    </row>
    <row r="843" spans="1:5" x14ac:dyDescent="0.25">
      <c r="A843" s="533" t="s">
        <v>1536</v>
      </c>
      <c r="B843" s="534">
        <f>IFERROR(Ratios!$N$71,"NA")</f>
        <v>16.216202582728005</v>
      </c>
      <c r="E843" s="522" t="str">
        <f t="shared" ca="1" si="13"/>
        <v>=IFERROR(Ratios!$N$71,"NA")</v>
      </c>
    </row>
    <row r="844" spans="1:5" x14ac:dyDescent="0.25">
      <c r="A844" s="533" t="s">
        <v>1594</v>
      </c>
      <c r="B844" s="534">
        <f>IFERROR(Ratios!$O$71,"NA")</f>
        <v>15.604429596634496</v>
      </c>
      <c r="E844" s="522" t="str">
        <f t="shared" ca="1" si="13"/>
        <v>=IFERROR(Ratios!$O$71,"NA")</v>
      </c>
    </row>
    <row r="845" spans="1:5" x14ac:dyDescent="0.25">
      <c r="A845" s="533" t="s">
        <v>1647</v>
      </c>
      <c r="B845" s="534">
        <f>IFERROR(Ratios!$P$71,"NA")</f>
        <v>3.189956487623939</v>
      </c>
      <c r="E845" s="522" t="str">
        <f t="shared" ca="1" si="13"/>
        <v>=IFERROR(Ratios!$P$71,"NA")</v>
      </c>
    </row>
    <row r="846" spans="1:5" x14ac:dyDescent="0.25">
      <c r="A846" s="533" t="s">
        <v>899</v>
      </c>
      <c r="B846" s="534">
        <f>IFERROR(Ratios!$C$72,"NA")</f>
        <v>1.6009719687326203</v>
      </c>
      <c r="E846" s="522" t="str">
        <f t="shared" ca="1" si="13"/>
        <v>=IFERROR(Ratios!$C$72,"NA")</v>
      </c>
    </row>
    <row r="847" spans="1:5" x14ac:dyDescent="0.25">
      <c r="A847" s="533" t="s">
        <v>957</v>
      </c>
      <c r="B847" s="534">
        <f>IFERROR(Ratios!$D$72,"NA")</f>
        <v>1.6681613324903632</v>
      </c>
      <c r="E847" s="522" t="str">
        <f t="shared" ca="1" si="13"/>
        <v>=IFERROR(Ratios!$D$72,"NA")</v>
      </c>
    </row>
    <row r="848" spans="1:5" x14ac:dyDescent="0.25">
      <c r="A848" s="533" t="s">
        <v>1015</v>
      </c>
      <c r="B848" s="534">
        <f>IFERROR(Ratios!$E$72,"NA")</f>
        <v>1.7320238699303427</v>
      </c>
      <c r="E848" s="522" t="str">
        <f t="shared" ca="1" si="13"/>
        <v>=IFERROR(Ratios!$E$72,"NA")</v>
      </c>
    </row>
    <row r="849" spans="1:5" x14ac:dyDescent="0.25">
      <c r="A849" s="533" t="s">
        <v>1073</v>
      </c>
      <c r="B849" s="534">
        <f>IFERROR(Ratios!$F$72,"NA")</f>
        <v>1.8464131030701751</v>
      </c>
      <c r="E849" s="522" t="str">
        <f t="shared" ca="1" si="13"/>
        <v>=IFERROR(Ratios!$F$72,"NA")</v>
      </c>
    </row>
    <row r="850" spans="1:5" x14ac:dyDescent="0.25">
      <c r="A850" s="533" t="s">
        <v>1131</v>
      </c>
      <c r="B850" s="534">
        <f>IFERROR(Ratios!$G$72,"NA")</f>
        <v>1.8040839090880474</v>
      </c>
      <c r="E850" s="522" t="str">
        <f t="shared" ca="1" si="13"/>
        <v>=IFERROR(Ratios!$G$72,"NA")</v>
      </c>
    </row>
    <row r="851" spans="1:5" x14ac:dyDescent="0.25">
      <c r="A851" s="533" t="s">
        <v>1189</v>
      </c>
      <c r="B851" s="534">
        <f>IFERROR(Ratios!$H$72,"NA")</f>
        <v>2.1849692145457018</v>
      </c>
      <c r="E851" s="522" t="str">
        <f t="shared" ca="1" si="13"/>
        <v>=IFERROR(Ratios!$H$72,"NA")</v>
      </c>
    </row>
    <row r="852" spans="1:5" x14ac:dyDescent="0.25">
      <c r="A852" s="533" t="s">
        <v>1247</v>
      </c>
      <c r="B852" s="534">
        <f>IFERROR(Ratios!$I$72,"NA")</f>
        <v>2.8642301742387235</v>
      </c>
      <c r="E852" s="522" t="str">
        <f t="shared" ca="1" si="13"/>
        <v>=IFERROR(Ratios!$I$72,"NA")</v>
      </c>
    </row>
    <row r="853" spans="1:5" x14ac:dyDescent="0.25">
      <c r="A853" s="533" t="s">
        <v>1305</v>
      </c>
      <c r="B853" s="534">
        <f>IFERROR(Ratios!$J$72,"NA")</f>
        <v>3.4971949111857898</v>
      </c>
      <c r="E853" s="522" t="str">
        <f t="shared" ca="1" si="13"/>
        <v>=IFERROR(Ratios!$J$72,"NA")</v>
      </c>
    </row>
    <row r="854" spans="1:5" x14ac:dyDescent="0.25">
      <c r="A854" s="533" t="s">
        <v>1363</v>
      </c>
      <c r="B854" s="534">
        <f>IFERROR(Ratios!$K$72,"NA")</f>
        <v>4.3330712593094116</v>
      </c>
      <c r="E854" s="522" t="str">
        <f t="shared" ca="1" si="13"/>
        <v>=IFERROR(Ratios!$K$72,"NA")</v>
      </c>
    </row>
    <row r="855" spans="1:5" x14ac:dyDescent="0.25">
      <c r="A855" s="533" t="s">
        <v>1421</v>
      </c>
      <c r="B855" s="534">
        <f>IFERROR(Ratios!$L$72,"NA")</f>
        <v>3.5568216875496446</v>
      </c>
      <c r="E855" s="522" t="str">
        <f t="shared" ca="1" si="13"/>
        <v>=IFERROR(Ratios!$L$72,"NA")</v>
      </c>
    </row>
    <row r="856" spans="1:5" x14ac:dyDescent="0.25">
      <c r="A856" s="533" t="s">
        <v>1479</v>
      </c>
      <c r="B856" s="534">
        <f>IFERROR(Ratios!$M$72,"NA")</f>
        <v>3.6470838293303456</v>
      </c>
      <c r="E856" s="522" t="str">
        <f t="shared" ca="1" si="13"/>
        <v>=IFERROR(Ratios!$M$72,"NA")</v>
      </c>
    </row>
    <row r="857" spans="1:5" x14ac:dyDescent="0.25">
      <c r="A857" s="533" t="s">
        <v>1537</v>
      </c>
      <c r="B857" s="534">
        <f>IFERROR(Ratios!$N$72,"NA")</f>
        <v>2.9359799813780256</v>
      </c>
      <c r="E857" s="522" t="str">
        <f t="shared" ca="1" si="13"/>
        <v>=IFERROR(Ratios!$N$72,"NA")</v>
      </c>
    </row>
    <row r="858" spans="1:5" x14ac:dyDescent="0.25">
      <c r="A858" s="533" t="s">
        <v>1595</v>
      </c>
      <c r="B858" s="534">
        <f>IFERROR(Ratios!$O$72,"NA")</f>
        <v>2.6680113618178907</v>
      </c>
      <c r="E858" s="522" t="str">
        <f t="shared" ca="1" si="13"/>
        <v>=IFERROR(Ratios!$O$72,"NA")</v>
      </c>
    </row>
    <row r="859" spans="1:5" x14ac:dyDescent="0.25">
      <c r="A859" s="533" t="s">
        <v>1648</v>
      </c>
      <c r="B859" s="534">
        <f>IFERROR(Ratios!$P$72,"NA")</f>
        <v>-19.115607843137258</v>
      </c>
      <c r="E859" s="522" t="str">
        <f t="shared" ca="1" si="13"/>
        <v>=IFERROR(Ratios!$P$72,"NA")</v>
      </c>
    </row>
    <row r="860" spans="1:5" x14ac:dyDescent="0.25">
      <c r="A860" s="533" t="s">
        <v>900</v>
      </c>
      <c r="B860" s="534">
        <f>IFERROR(Ratios!$C$73,"NA")</f>
        <v>0.65650446003195417</v>
      </c>
      <c r="E860" s="522" t="str">
        <f t="shared" ca="1" si="13"/>
        <v>=IFERROR(Ratios!$C$73,"NA")</v>
      </c>
    </row>
    <row r="861" spans="1:5" x14ac:dyDescent="0.25">
      <c r="A861" s="533" t="s">
        <v>958</v>
      </c>
      <c r="B861" s="534">
        <f>IFERROR(Ratios!$D$73,"NA")</f>
        <v>0.72081344380623846</v>
      </c>
      <c r="E861" s="522" t="str">
        <f t="shared" ca="1" si="13"/>
        <v>=IFERROR(Ratios!$D$73,"NA")</v>
      </c>
    </row>
    <row r="862" spans="1:5" x14ac:dyDescent="0.25">
      <c r="A862" s="533" t="s">
        <v>1016</v>
      </c>
      <c r="B862" s="534">
        <f>IFERROR(Ratios!$E$73,"NA")</f>
        <v>0.79155644556146931</v>
      </c>
      <c r="E862" s="522" t="str">
        <f t="shared" ca="1" si="13"/>
        <v>=IFERROR(Ratios!$E$73,"NA")</v>
      </c>
    </row>
    <row r="863" spans="1:5" x14ac:dyDescent="0.25">
      <c r="A863" s="533" t="s">
        <v>1074</v>
      </c>
      <c r="B863" s="534">
        <f>IFERROR(Ratios!$F$73,"NA")</f>
        <v>0.93395937326677758</v>
      </c>
      <c r="E863" s="522" t="str">
        <f t="shared" ca="1" si="13"/>
        <v>=IFERROR(Ratios!$F$73,"NA")</v>
      </c>
    </row>
    <row r="864" spans="1:5" x14ac:dyDescent="0.25">
      <c r="A864" s="533" t="s">
        <v>1132</v>
      </c>
      <c r="B864" s="534">
        <f>IFERROR(Ratios!$G$73,"NA")</f>
        <v>0.90110587327044023</v>
      </c>
      <c r="E864" s="522" t="str">
        <f t="shared" ca="1" si="13"/>
        <v>=IFERROR(Ratios!$G$73,"NA")</v>
      </c>
    </row>
    <row r="865" spans="1:5" x14ac:dyDescent="0.25">
      <c r="A865" s="533" t="s">
        <v>1190</v>
      </c>
      <c r="B865" s="534">
        <f>IFERROR(Ratios!$H$73,"NA")</f>
        <v>1.1362582037538256</v>
      </c>
      <c r="E865" s="522" t="str">
        <f t="shared" ca="1" si="13"/>
        <v>=IFERROR(Ratios!$H$73,"NA")</v>
      </c>
    </row>
    <row r="866" spans="1:5" x14ac:dyDescent="0.25">
      <c r="A866" s="533" t="s">
        <v>1248</v>
      </c>
      <c r="B866" s="534">
        <f>IFERROR(Ratios!$I$73,"NA")</f>
        <v>1.3578857674432969</v>
      </c>
      <c r="E866" s="522" t="str">
        <f t="shared" ca="1" si="13"/>
        <v>=IFERROR(Ratios!$I$73,"NA")</v>
      </c>
    </row>
    <row r="867" spans="1:5" x14ac:dyDescent="0.25">
      <c r="A867" s="533" t="s">
        <v>1306</v>
      </c>
      <c r="B867" s="534">
        <f>IFERROR(Ratios!$J$73,"NA")</f>
        <v>1.7581351064343296</v>
      </c>
      <c r="E867" s="522" t="str">
        <f t="shared" ca="1" si="13"/>
        <v>=IFERROR(Ratios!$J$73,"NA")</v>
      </c>
    </row>
    <row r="868" spans="1:5" x14ac:dyDescent="0.25">
      <c r="A868" s="533" t="s">
        <v>1364</v>
      </c>
      <c r="B868" s="534">
        <f>IFERROR(Ratios!$K$73,"NA")</f>
        <v>2.0089817672909915</v>
      </c>
      <c r="E868" s="522" t="str">
        <f t="shared" ca="1" si="13"/>
        <v>=IFERROR(Ratios!$K$73,"NA")</v>
      </c>
    </row>
    <row r="869" spans="1:5" x14ac:dyDescent="0.25">
      <c r="A869" s="533" t="s">
        <v>1422</v>
      </c>
      <c r="B869" s="534">
        <f>IFERROR(Ratios!$L$73,"NA")</f>
        <v>1.224221963523477</v>
      </c>
      <c r="E869" s="522" t="str">
        <f t="shared" ca="1" si="13"/>
        <v>=IFERROR(Ratios!$L$73,"NA")</v>
      </c>
    </row>
    <row r="870" spans="1:5" x14ac:dyDescent="0.25">
      <c r="A870" s="533" t="s">
        <v>1480</v>
      </c>
      <c r="B870" s="534">
        <f>IFERROR(Ratios!$M$73,"NA")</f>
        <v>1.5450151038731177</v>
      </c>
      <c r="E870" s="522" t="str">
        <f t="shared" ca="1" si="13"/>
        <v>=IFERROR(Ratios!$M$73,"NA")</v>
      </c>
    </row>
    <row r="871" spans="1:5" x14ac:dyDescent="0.25">
      <c r="A871" s="533" t="s">
        <v>1538</v>
      </c>
      <c r="B871" s="534">
        <f>IFERROR(Ratios!$N$73,"NA")</f>
        <v>1.1243982107835424</v>
      </c>
      <c r="E871" s="522" t="str">
        <f t="shared" ca="1" si="13"/>
        <v>=IFERROR(Ratios!$N$73,"NA")</v>
      </c>
    </row>
    <row r="872" spans="1:5" x14ac:dyDescent="0.25">
      <c r="A872" s="533" t="s">
        <v>1596</v>
      </c>
      <c r="B872" s="534">
        <f>IFERROR(Ratios!$O$73,"NA")</f>
        <v>1.0148030944902979</v>
      </c>
      <c r="E872" s="522" t="str">
        <f t="shared" ca="1" si="13"/>
        <v>=IFERROR(Ratios!$O$73,"NA")</v>
      </c>
    </row>
    <row r="873" spans="1:5" x14ac:dyDescent="0.25">
      <c r="A873" s="533" t="s">
        <v>1649</v>
      </c>
      <c r="B873" s="534">
        <f>IFERROR(Ratios!$P$73,"NA")</f>
        <v>0.77452609835544617</v>
      </c>
      <c r="E873" s="522" t="str">
        <f t="shared" ca="1" si="13"/>
        <v>=IFERROR(Ratios!$P$73,"NA")</v>
      </c>
    </row>
    <row r="874" spans="1:5" x14ac:dyDescent="0.25">
      <c r="A874" s="533" t="s">
        <v>901</v>
      </c>
      <c r="B874" s="534">
        <f>IFERROR(Ratios!$C$74,"NA")</f>
        <v>8.4349564243374378</v>
      </c>
      <c r="E874" s="522" t="str">
        <f t="shared" ca="1" si="13"/>
        <v>=IFERROR(Ratios!$C$74,"NA")</v>
      </c>
    </row>
    <row r="875" spans="1:5" x14ac:dyDescent="0.25">
      <c r="A875" s="533" t="s">
        <v>959</v>
      </c>
      <c r="B875" s="534">
        <f>IFERROR(Ratios!$D$74,"NA")</f>
        <v>9.3231995409330111</v>
      </c>
      <c r="E875" s="522" t="str">
        <f t="shared" ca="1" si="13"/>
        <v>=IFERROR(Ratios!$D$74,"NA")</v>
      </c>
    </row>
    <row r="876" spans="1:5" x14ac:dyDescent="0.25">
      <c r="A876" s="533" t="s">
        <v>1017</v>
      </c>
      <c r="B876" s="534">
        <f>IFERROR(Ratios!$E$74,"NA")</f>
        <v>9.4091501291851127</v>
      </c>
      <c r="E876" s="522" t="str">
        <f t="shared" ca="1" si="13"/>
        <v>=IFERROR(Ratios!$E$74,"NA")</v>
      </c>
    </row>
    <row r="877" spans="1:5" x14ac:dyDescent="0.25">
      <c r="A877" s="533" t="s">
        <v>1075</v>
      </c>
      <c r="B877" s="534">
        <f>IFERROR(Ratios!$F$74,"NA")</f>
        <v>10.013451437066403</v>
      </c>
      <c r="E877" s="522" t="str">
        <f t="shared" ca="1" si="13"/>
        <v>=IFERROR(Ratios!$F$74,"NA")</v>
      </c>
    </row>
    <row r="878" spans="1:5" x14ac:dyDescent="0.25">
      <c r="A878" s="533" t="s">
        <v>1133</v>
      </c>
      <c r="B878" s="534">
        <f>IFERROR(Ratios!$G$74,"NA")</f>
        <v>7.4274667625712807</v>
      </c>
      <c r="E878" s="522" t="str">
        <f t="shared" ca="1" si="13"/>
        <v>=IFERROR(Ratios!$G$74,"NA")</v>
      </c>
    </row>
    <row r="879" spans="1:5" x14ac:dyDescent="0.25">
      <c r="A879" s="533" t="s">
        <v>1191</v>
      </c>
      <c r="B879" s="534">
        <f>IFERROR(Ratios!$H$74,"NA")</f>
        <v>113.28313932980602</v>
      </c>
      <c r="E879" s="522" t="str">
        <f t="shared" ca="1" si="13"/>
        <v>=IFERROR(Ratios!$H$74,"NA")</v>
      </c>
    </row>
    <row r="880" spans="1:5" x14ac:dyDescent="0.25">
      <c r="A880" s="533" t="s">
        <v>1249</v>
      </c>
      <c r="B880" s="534">
        <f>IFERROR(Ratios!$I$74,"NA")</f>
        <v>8.3782211584262161</v>
      </c>
      <c r="E880" s="522" t="str">
        <f t="shared" ca="1" si="13"/>
        <v>=IFERROR(Ratios!$I$74,"NA")</v>
      </c>
    </row>
    <row r="881" spans="1:5" x14ac:dyDescent="0.25">
      <c r="A881" s="533" t="s">
        <v>1307</v>
      </c>
      <c r="B881" s="534">
        <f>IFERROR(Ratios!$J$74,"NA")</f>
        <v>13.101901079136693</v>
      </c>
      <c r="E881" s="522" t="str">
        <f t="shared" ca="1" si="13"/>
        <v>=IFERROR(Ratios!$J$74,"NA")</v>
      </c>
    </row>
    <row r="882" spans="1:5" x14ac:dyDescent="0.25">
      <c r="A882" s="533" t="s">
        <v>1365</v>
      </c>
      <c r="B882" s="534">
        <f>IFERROR(Ratios!$K$74,"NA")</f>
        <v>13.573586956521741</v>
      </c>
      <c r="E882" s="522" t="str">
        <f t="shared" ca="1" si="13"/>
        <v>=IFERROR(Ratios!$K$74,"NA")</v>
      </c>
    </row>
    <row r="883" spans="1:5" x14ac:dyDescent="0.25">
      <c r="A883" s="533" t="s">
        <v>1423</v>
      </c>
      <c r="B883" s="534">
        <f>IFERROR(Ratios!$L$74,"NA")</f>
        <v>12.021484368234173</v>
      </c>
      <c r="E883" s="522" t="str">
        <f t="shared" ca="1" si="13"/>
        <v>=IFERROR(Ratios!$L$74,"NA")</v>
      </c>
    </row>
    <row r="884" spans="1:5" x14ac:dyDescent="0.25">
      <c r="A884" s="533" t="s">
        <v>1481</v>
      </c>
      <c r="B884" s="534">
        <f>IFERROR(Ratios!$M$74,"NA")</f>
        <v>15.247073819281811</v>
      </c>
      <c r="E884" s="522" t="str">
        <f t="shared" ca="1" si="13"/>
        <v>=IFERROR(Ratios!$M$74,"NA")</v>
      </c>
    </row>
    <row r="885" spans="1:5" x14ac:dyDescent="0.25">
      <c r="A885" s="533" t="s">
        <v>1539</v>
      </c>
      <c r="B885" s="534">
        <f>IFERROR(Ratios!$N$74,"NA")</f>
        <v>11.421140406945774</v>
      </c>
      <c r="E885" s="522" t="str">
        <f t="shared" ca="1" si="13"/>
        <v>=IFERROR(Ratios!$N$74,"NA")</v>
      </c>
    </row>
    <row r="886" spans="1:5" x14ac:dyDescent="0.25">
      <c r="A886" s="533" t="s">
        <v>1597</v>
      </c>
      <c r="B886" s="534">
        <f>IFERROR(Ratios!$O$74,"NA")</f>
        <v>11.022347613380933</v>
      </c>
      <c r="E886" s="522" t="str">
        <f t="shared" ca="1" si="13"/>
        <v>=IFERROR(Ratios!$O$74,"NA")</v>
      </c>
    </row>
    <row r="887" spans="1:5" x14ac:dyDescent="0.25">
      <c r="A887" s="533" t="s">
        <v>1650</v>
      </c>
      <c r="B887" s="534">
        <f>IFERROR(Ratios!$P$74,"NA")</f>
        <v>7.388374384236454</v>
      </c>
      <c r="E887" s="522" t="str">
        <f t="shared" ca="1" si="13"/>
        <v>=IFERROR(Ratios!$P$74,"NA")</v>
      </c>
    </row>
    <row r="888" spans="1:5" x14ac:dyDescent="0.25">
      <c r="A888" s="533" t="s">
        <v>902</v>
      </c>
      <c r="B888" s="534">
        <f>IFERROR(Ratios!$C$75,"NA")</f>
        <v>5.8550847589734348E-2</v>
      </c>
      <c r="E888" s="522" t="str">
        <f t="shared" ca="1" si="13"/>
        <v>=IFERROR(Ratios!$C$75,"NA")</v>
      </c>
    </row>
    <row r="889" spans="1:5" x14ac:dyDescent="0.25">
      <c r="A889" s="533" t="s">
        <v>960</v>
      </c>
      <c r="B889" s="534">
        <f>IFERROR(Ratios!$D$75,"NA")</f>
        <v>5.2779132390833206E-2</v>
      </c>
      <c r="E889" s="522" t="str">
        <f t="shared" ca="1" si="13"/>
        <v>=IFERROR(Ratios!$D$75,"NA")</v>
      </c>
    </row>
    <row r="890" spans="1:5" x14ac:dyDescent="0.25">
      <c r="A890" s="533" t="s">
        <v>1018</v>
      </c>
      <c r="B890" s="534">
        <f>IFERROR(Ratios!$E$75,"NA")</f>
        <v>3.9650940529055545E-2</v>
      </c>
      <c r="E890" s="522" t="str">
        <f t="shared" ca="1" si="13"/>
        <v>=IFERROR(Ratios!$E$75,"NA")</v>
      </c>
    </row>
    <row r="891" spans="1:5" x14ac:dyDescent="0.25">
      <c r="A891" s="533" t="s">
        <v>1076</v>
      </c>
      <c r="B891" s="534">
        <f>IFERROR(Ratios!$F$75,"NA")</f>
        <v>3.5755669591127304E-2</v>
      </c>
      <c r="E891" s="522" t="str">
        <f t="shared" ca="1" si="13"/>
        <v>=IFERROR(Ratios!$F$75,"NA")</v>
      </c>
    </row>
    <row r="892" spans="1:5" x14ac:dyDescent="0.25">
      <c r="A892" s="533" t="s">
        <v>1134</v>
      </c>
      <c r="B892" s="534" t="str">
        <f>IFERROR(Ratios!$G$75,"NA")</f>
        <v>NA</v>
      </c>
      <c r="E892" s="522" t="str">
        <f t="shared" ca="1" si="13"/>
        <v>=IFERROR(Ratios!$G$75,"NA")</v>
      </c>
    </row>
    <row r="893" spans="1:5" x14ac:dyDescent="0.25">
      <c r="A893" s="533" t="s">
        <v>1192</v>
      </c>
      <c r="B893" s="534" t="str">
        <f>IFERROR(Ratios!$H$75,"NA")</f>
        <v>NA</v>
      </c>
      <c r="E893" s="522" t="str">
        <f t="shared" ca="1" si="13"/>
        <v>=IFERROR(Ratios!$H$75,"NA")</v>
      </c>
    </row>
    <row r="894" spans="1:5" x14ac:dyDescent="0.25">
      <c r="A894" s="533" t="s">
        <v>1250</v>
      </c>
      <c r="B894" s="534">
        <f>IFERROR(Ratios!$I$75,"NA")</f>
        <v>5.0927164978015679E-2</v>
      </c>
      <c r="E894" s="522" t="str">
        <f t="shared" ca="1" si="13"/>
        <v>=IFERROR(Ratios!$I$75,"NA")</v>
      </c>
    </row>
    <row r="895" spans="1:5" x14ac:dyDescent="0.25">
      <c r="A895" s="533" t="s">
        <v>1308</v>
      </c>
      <c r="B895" s="534">
        <f>IFERROR(Ratios!$J$75,"NA")</f>
        <v>3.8889408245302418E-2</v>
      </c>
      <c r="E895" s="522" t="str">
        <f t="shared" ca="1" si="13"/>
        <v>=IFERROR(Ratios!$J$75,"NA")</v>
      </c>
    </row>
    <row r="896" spans="1:5" x14ac:dyDescent="0.25">
      <c r="A896" s="533" t="s">
        <v>1366</v>
      </c>
      <c r="B896" s="534">
        <f>IFERROR(Ratios!$K$75,"NA")</f>
        <v>3.3621376117025974E-2</v>
      </c>
      <c r="E896" s="522" t="str">
        <f t="shared" ca="1" si="13"/>
        <v>=IFERROR(Ratios!$K$75,"NA")</v>
      </c>
    </row>
    <row r="897" spans="1:5" x14ac:dyDescent="0.25">
      <c r="A897" s="533" t="s">
        <v>1424</v>
      </c>
      <c r="B897" s="534">
        <f>IFERROR(Ratios!$L$75,"NA")</f>
        <v>2.7799453765119001E-2</v>
      </c>
      <c r="E897" s="522" t="str">
        <f t="shared" ca="1" si="13"/>
        <v>=IFERROR(Ratios!$L$75,"NA")</v>
      </c>
    </row>
    <row r="898" spans="1:5" x14ac:dyDescent="0.25">
      <c r="A898" s="533" t="s">
        <v>1482</v>
      </c>
      <c r="B898" s="534">
        <f>IFERROR(Ratios!$M$75,"NA")</f>
        <v>2.375777399987088E-2</v>
      </c>
      <c r="E898" s="522" t="str">
        <f t="shared" ca="1" si="13"/>
        <v>=IFERROR(Ratios!$M$75,"NA")</v>
      </c>
    </row>
    <row r="899" spans="1:5" x14ac:dyDescent="0.25">
      <c r="A899" s="533" t="s">
        <v>1540</v>
      </c>
      <c r="B899" s="534">
        <f>IFERROR(Ratios!$N$75,"NA")</f>
        <v>2.9862817681276643E-2</v>
      </c>
      <c r="E899" s="522" t="str">
        <f t="shared" ref="E899:E962" ca="1" si="14">_xlfn.FORMULATEXT(B899)</f>
        <v>=IFERROR(Ratios!$N$75,"NA")</v>
      </c>
    </row>
    <row r="900" spans="1:5" x14ac:dyDescent="0.25">
      <c r="A900" s="533" t="s">
        <v>1598</v>
      </c>
      <c r="B900" s="534">
        <f>IFERROR(Ratios!$O$75,"NA")</f>
        <v>3.2113547159338701E-2</v>
      </c>
      <c r="E900" s="522" t="str">
        <f t="shared" ca="1" si="14"/>
        <v>=IFERROR(Ratios!$O$75,"NA")</v>
      </c>
    </row>
    <row r="901" spans="1:5" x14ac:dyDescent="0.25">
      <c r="A901" s="533" t="s">
        <v>1651</v>
      </c>
      <c r="B901" s="534">
        <f>IFERROR(Ratios!$P$75,"NA")</f>
        <v>3.7567084078711989E-2</v>
      </c>
      <c r="E901" s="522" t="str">
        <f t="shared" ca="1" si="14"/>
        <v>=IFERROR(Ratios!$P$75,"NA")</v>
      </c>
    </row>
    <row r="902" spans="1:5" x14ac:dyDescent="0.25">
      <c r="A902" s="533" t="s">
        <v>903</v>
      </c>
      <c r="B902" s="534">
        <f>IFERROR(Ratios!$C$76,"NA")</f>
        <v>0.3394110057311418</v>
      </c>
      <c r="E902" s="522" t="str">
        <f t="shared" ca="1" si="14"/>
        <v>=IFERROR(Ratios!$C$76,"NA")</v>
      </c>
    </row>
    <row r="903" spans="1:5" x14ac:dyDescent="0.25">
      <c r="A903" s="533" t="s">
        <v>961</v>
      </c>
      <c r="B903" s="534">
        <f>IFERROR(Ratios!$D$76,"NA")</f>
        <v>0.36329230228455367</v>
      </c>
      <c r="E903" s="522" t="str">
        <f t="shared" ca="1" si="14"/>
        <v>=IFERROR(Ratios!$D$76,"NA")</v>
      </c>
    </row>
    <row r="904" spans="1:5" x14ac:dyDescent="0.25">
      <c r="A904" s="533" t="s">
        <v>1019</v>
      </c>
      <c r="B904" s="534">
        <f>IFERROR(Ratios!$E$76,"NA")</f>
        <v>0.43519904326615666</v>
      </c>
      <c r="E904" s="522" t="str">
        <f t="shared" ca="1" si="14"/>
        <v>=IFERROR(Ratios!$E$76,"NA")</v>
      </c>
    </row>
    <row r="905" spans="1:5" x14ac:dyDescent="0.25">
      <c r="A905" s="533" t="s">
        <v>1077</v>
      </c>
      <c r="B905" s="534">
        <f>IFERROR(Ratios!$F$76,"NA")</f>
        <v>0.25311203319502062</v>
      </c>
      <c r="E905" s="522" t="str">
        <f t="shared" ca="1" si="14"/>
        <v>=IFERROR(Ratios!$F$76,"NA")</v>
      </c>
    </row>
    <row r="906" spans="1:5" x14ac:dyDescent="0.25">
      <c r="A906" s="533" t="s">
        <v>1135</v>
      </c>
      <c r="B906" s="534" t="str">
        <f>IFERROR(Ratios!$G$76,"NA")</f>
        <v>NA</v>
      </c>
      <c r="E906" s="522" t="str">
        <f t="shared" ca="1" si="14"/>
        <v>=IFERROR(Ratios!$G$76,"NA")</v>
      </c>
    </row>
    <row r="907" spans="1:5" x14ac:dyDescent="0.25">
      <c r="A907" s="533" t="s">
        <v>1193</v>
      </c>
      <c r="B907" s="534" t="str">
        <f>IFERROR(Ratios!$H$76,"NA")</f>
        <v>NA</v>
      </c>
      <c r="E907" s="522" t="str">
        <f t="shared" ca="1" si="14"/>
        <v>=IFERROR(Ratios!$H$76,"NA")</v>
      </c>
    </row>
    <row r="908" spans="1:5" x14ac:dyDescent="0.25">
      <c r="A908" s="533" t="s">
        <v>1251</v>
      </c>
      <c r="B908" s="534">
        <f>IFERROR(Ratios!$I$76,"NA")</f>
        <v>0.3718166383701188</v>
      </c>
      <c r="E908" s="522" t="str">
        <f t="shared" ca="1" si="14"/>
        <v>=IFERROR(Ratios!$I$76,"NA")</v>
      </c>
    </row>
    <row r="909" spans="1:5" x14ac:dyDescent="0.25">
      <c r="A909" s="533" t="s">
        <v>1309</v>
      </c>
      <c r="B909" s="534">
        <f>IFERROR(Ratios!$J$76,"NA")</f>
        <v>0.7092535644394744</v>
      </c>
      <c r="E909" s="522" t="str">
        <f t="shared" ca="1" si="14"/>
        <v>=IFERROR(Ratios!$J$76,"NA")</v>
      </c>
    </row>
    <row r="910" spans="1:5" x14ac:dyDescent="0.25">
      <c r="A910" s="533" t="s">
        <v>1367</v>
      </c>
      <c r="B910" s="534">
        <f>IFERROR(Ratios!$K$76,"NA")</f>
        <v>3.3227383863080684</v>
      </c>
      <c r="E910" s="522" t="str">
        <f t="shared" ca="1" si="14"/>
        <v>=IFERROR(Ratios!$K$76,"NA")</v>
      </c>
    </row>
    <row r="911" spans="1:5" x14ac:dyDescent="0.25">
      <c r="A911" s="533" t="s">
        <v>1425</v>
      </c>
      <c r="B911" s="534">
        <f>IFERROR(Ratios!$L$76,"NA")</f>
        <v>0.22512234910277329</v>
      </c>
      <c r="E911" s="522" t="str">
        <f t="shared" ca="1" si="14"/>
        <v>=IFERROR(Ratios!$L$76,"NA")</v>
      </c>
    </row>
    <row r="912" spans="1:5" x14ac:dyDescent="0.25">
      <c r="A912" s="533" t="s">
        <v>1483</v>
      </c>
      <c r="B912" s="534">
        <f>IFERROR(Ratios!$M$76,"NA")</f>
        <v>0.48574622694242586</v>
      </c>
      <c r="E912" s="522" t="str">
        <f t="shared" ca="1" si="14"/>
        <v>=IFERROR(Ratios!$M$76,"NA")</v>
      </c>
    </row>
    <row r="913" spans="1:5" x14ac:dyDescent="0.25">
      <c r="A913" s="533" t="s">
        <v>1541</v>
      </c>
      <c r="B913" s="534">
        <f>IFERROR(Ratios!$N$76,"NA")</f>
        <v>0.49206349206349198</v>
      </c>
      <c r="E913" s="522" t="str">
        <f t="shared" ca="1" si="14"/>
        <v>=IFERROR(Ratios!$N$76,"NA")</v>
      </c>
    </row>
    <row r="914" spans="1:5" x14ac:dyDescent="0.25">
      <c r="A914" s="533" t="s">
        <v>1599</v>
      </c>
      <c r="B914" s="534">
        <f>IFERROR(Ratios!$O$76,"NA")</f>
        <v>0.82292759706190977</v>
      </c>
      <c r="E914" s="522" t="str">
        <f t="shared" ca="1" si="14"/>
        <v>=IFERROR(Ratios!$O$76,"NA")</v>
      </c>
    </row>
    <row r="915" spans="1:5" x14ac:dyDescent="0.25">
      <c r="A915" s="533" t="s">
        <v>1652</v>
      </c>
      <c r="B915" s="534">
        <f>IFERROR(Ratios!$P$76,"NA")</f>
        <v>1.172946263125386</v>
      </c>
      <c r="E915" s="522" t="str">
        <f t="shared" ca="1" si="14"/>
        <v>=IFERROR(Ratios!$P$76,"NA")</v>
      </c>
    </row>
    <row r="916" spans="1:5" x14ac:dyDescent="0.25">
      <c r="A916" s="533" t="s">
        <v>904</v>
      </c>
      <c r="B916" s="534">
        <f>IFERROR(Ratios!$C$77,"NA")</f>
        <v>4.4092825282132111</v>
      </c>
      <c r="E916" s="522" t="str">
        <f t="shared" ca="1" si="14"/>
        <v>=IFERROR(Ratios!$C$77,"NA")</v>
      </c>
    </row>
    <row r="917" spans="1:5" x14ac:dyDescent="0.25">
      <c r="A917" s="533" t="s">
        <v>962</v>
      </c>
      <c r="B917" s="534">
        <f>IFERROR(Ratios!$D$77,"NA")</f>
        <v>4.6427739303044939</v>
      </c>
      <c r="E917" s="522" t="str">
        <f t="shared" ca="1" si="14"/>
        <v>=IFERROR(Ratios!$D$77,"NA")</v>
      </c>
    </row>
    <row r="918" spans="1:5" x14ac:dyDescent="0.25">
      <c r="A918" s="533" t="s">
        <v>1020</v>
      </c>
      <c r="B918" s="534">
        <f>IFERROR(Ratios!$E$77,"NA")</f>
        <v>5.1145796411248297</v>
      </c>
      <c r="E918" s="522" t="str">
        <f t="shared" ca="1" si="14"/>
        <v>=IFERROR(Ratios!$E$77,"NA")</v>
      </c>
    </row>
    <row r="919" spans="1:5" x14ac:dyDescent="0.25">
      <c r="A919" s="533" t="s">
        <v>1078</v>
      </c>
      <c r="B919" s="534">
        <f>IFERROR(Ratios!$F$77,"NA")</f>
        <v>6.2364006791009077</v>
      </c>
      <c r="E919" s="522" t="str">
        <f t="shared" ca="1" si="14"/>
        <v>=IFERROR(Ratios!$F$77,"NA")</v>
      </c>
    </row>
    <row r="920" spans="1:5" x14ac:dyDescent="0.25">
      <c r="A920" s="533" t="s">
        <v>1136</v>
      </c>
      <c r="B920" s="534">
        <f>IFERROR(Ratios!$G$77,"NA")</f>
        <v>6.3385319744143036</v>
      </c>
      <c r="E920" s="522" t="str">
        <f t="shared" ca="1" si="14"/>
        <v>=IFERROR(Ratios!$G$77,"NA")</v>
      </c>
    </row>
    <row r="921" spans="1:5" x14ac:dyDescent="0.25">
      <c r="A921" s="533" t="s">
        <v>1194</v>
      </c>
      <c r="B921" s="534">
        <f>IFERROR(Ratios!$H$77,"NA")</f>
        <v>8.4560966172523191</v>
      </c>
      <c r="E921" s="522" t="str">
        <f t="shared" ca="1" si="14"/>
        <v>=IFERROR(Ratios!$H$77,"NA")</v>
      </c>
    </row>
    <row r="922" spans="1:5" x14ac:dyDescent="0.25">
      <c r="A922" s="533" t="s">
        <v>1252</v>
      </c>
      <c r="B922" s="534">
        <f>IFERROR(Ratios!$I$77,"NA")</f>
        <v>7.2488999544211499</v>
      </c>
      <c r="E922" s="522" t="str">
        <f t="shared" ca="1" si="14"/>
        <v>=IFERROR(Ratios!$I$77,"NA")</v>
      </c>
    </row>
    <row r="923" spans="1:5" x14ac:dyDescent="0.25">
      <c r="A923" s="533" t="s">
        <v>1310</v>
      </c>
      <c r="B923" s="534">
        <f>IFERROR(Ratios!$J$77,"NA")</f>
        <v>13.533733075068868</v>
      </c>
      <c r="E923" s="522" t="str">
        <f t="shared" ca="1" si="14"/>
        <v>=IFERROR(Ratios!$J$77,"NA")</v>
      </c>
    </row>
    <row r="924" spans="1:5" x14ac:dyDescent="0.25">
      <c r="A924" s="533" t="s">
        <v>1368</v>
      </c>
      <c r="B924" s="534">
        <f>IFERROR(Ratios!$K$77,"NA")</f>
        <v>8.5508314159597223</v>
      </c>
      <c r="E924" s="522" t="str">
        <f t="shared" ca="1" si="14"/>
        <v>=IFERROR(Ratios!$K$77,"NA")</v>
      </c>
    </row>
    <row r="925" spans="1:5" x14ac:dyDescent="0.25">
      <c r="A925" s="533" t="s">
        <v>1426</v>
      </c>
      <c r="B925" s="534">
        <f>IFERROR(Ratios!$L$77,"NA")</f>
        <v>9.0103194905819315</v>
      </c>
      <c r="E925" s="522" t="str">
        <f t="shared" ca="1" si="14"/>
        <v>=IFERROR(Ratios!$L$77,"NA")</v>
      </c>
    </row>
    <row r="926" spans="1:5" x14ac:dyDescent="0.25">
      <c r="A926" s="533" t="s">
        <v>1484</v>
      </c>
      <c r="B926" s="534">
        <f>IFERROR(Ratios!$M$77,"NA")</f>
        <v>11.453629453590311</v>
      </c>
      <c r="E926" s="522" t="str">
        <f t="shared" ca="1" si="14"/>
        <v>=IFERROR(Ratios!$M$77,"NA")</v>
      </c>
    </row>
    <row r="927" spans="1:5" x14ac:dyDescent="0.25">
      <c r="A927" s="533" t="s">
        <v>1542</v>
      </c>
      <c r="B927" s="534">
        <f>IFERROR(Ratios!$N$77,"NA")</f>
        <v>8.9825903477898876</v>
      </c>
      <c r="E927" s="522" t="str">
        <f t="shared" ca="1" si="14"/>
        <v>=IFERROR(Ratios!$N$77,"NA")</v>
      </c>
    </row>
    <row r="928" spans="1:5" x14ac:dyDescent="0.25">
      <c r="A928" s="533" t="s">
        <v>1600</v>
      </c>
      <c r="B928" s="534">
        <f>IFERROR(Ratios!$O$77,"NA")</f>
        <v>4.2026249875164554</v>
      </c>
      <c r="E928" s="522" t="str">
        <f t="shared" ca="1" si="14"/>
        <v>=IFERROR(Ratios!$O$77,"NA")</v>
      </c>
    </row>
    <row r="929" spans="1:5" x14ac:dyDescent="0.25">
      <c r="A929" s="533" t="s">
        <v>1653</v>
      </c>
      <c r="B929" s="534">
        <f>IFERROR(Ratios!$P$77,"NA")</f>
        <v>-3.8533072855446715</v>
      </c>
      <c r="E929" s="522" t="str">
        <f t="shared" ca="1" si="14"/>
        <v>=IFERROR(Ratios!$P$77,"NA")</v>
      </c>
    </row>
    <row r="930" spans="1:5" x14ac:dyDescent="0.25">
      <c r="A930" s="533" t="s">
        <v>905</v>
      </c>
      <c r="B930" s="534">
        <f>IFERROR(Ratios!$C$78,"NA")</f>
        <v>0.7774089322177663</v>
      </c>
      <c r="E930" s="522" t="str">
        <f t="shared" ca="1" si="14"/>
        <v>=IFERROR(Ratios!$C$78,"NA")</v>
      </c>
    </row>
    <row r="931" spans="1:5" x14ac:dyDescent="0.25">
      <c r="A931" s="533" t="s">
        <v>963</v>
      </c>
      <c r="B931" s="534">
        <f>IFERROR(Ratios!$D$78,"NA")</f>
        <v>0.82270377486308532</v>
      </c>
      <c r="E931" s="522" t="str">
        <f t="shared" ca="1" si="14"/>
        <v>=IFERROR(Ratios!$D$78,"NA")</v>
      </c>
    </row>
    <row r="932" spans="1:5" x14ac:dyDescent="0.25">
      <c r="A932" s="533" t="s">
        <v>1021</v>
      </c>
      <c r="B932" s="534">
        <f>IFERROR(Ratios!$E$78,"NA")</f>
        <v>0.87427162994237451</v>
      </c>
      <c r="E932" s="522" t="str">
        <f t="shared" ca="1" si="14"/>
        <v>=IFERROR(Ratios!$E$78,"NA")</v>
      </c>
    </row>
    <row r="933" spans="1:5" x14ac:dyDescent="0.25">
      <c r="A933" s="533" t="s">
        <v>1079</v>
      </c>
      <c r="B933" s="534">
        <f>IFERROR(Ratios!$F$78,"NA")</f>
        <v>1.0045228492635729</v>
      </c>
      <c r="E933" s="522" t="str">
        <f t="shared" ca="1" si="14"/>
        <v>=IFERROR(Ratios!$F$78,"NA")</v>
      </c>
    </row>
    <row r="934" spans="1:5" x14ac:dyDescent="0.25">
      <c r="A934" s="533" t="s">
        <v>1137</v>
      </c>
      <c r="B934" s="534">
        <f>IFERROR(Ratios!$G$78,"NA")</f>
        <v>0.96991498702830192</v>
      </c>
      <c r="E934" s="522" t="str">
        <f t="shared" ca="1" si="14"/>
        <v>=IFERROR(Ratios!$G$78,"NA")</v>
      </c>
    </row>
    <row r="935" spans="1:5" x14ac:dyDescent="0.25">
      <c r="A935" s="533" t="s">
        <v>1195</v>
      </c>
      <c r="B935" s="534">
        <f>IFERROR(Ratios!$H$78,"NA")</f>
        <v>1.2260285495055638</v>
      </c>
      <c r="E935" s="522" t="str">
        <f t="shared" ca="1" si="14"/>
        <v>=IFERROR(Ratios!$H$78,"NA")</v>
      </c>
    </row>
    <row r="936" spans="1:5" x14ac:dyDescent="0.25">
      <c r="A936" s="533" t="s">
        <v>1253</v>
      </c>
      <c r="B936" s="534">
        <f>IFERROR(Ratios!$I$78,"NA")</f>
        <v>1.4733509194497201</v>
      </c>
      <c r="E936" s="522" t="str">
        <f t="shared" ca="1" si="14"/>
        <v>=IFERROR(Ratios!$I$78,"NA")</v>
      </c>
    </row>
    <row r="937" spans="1:5" x14ac:dyDescent="0.25">
      <c r="A937" s="533" t="s">
        <v>1311</v>
      </c>
      <c r="B937" s="534">
        <f>IFERROR(Ratios!$J$78,"NA")</f>
        <v>1.8970874571607856</v>
      </c>
      <c r="E937" s="522" t="str">
        <f t="shared" ca="1" si="14"/>
        <v>=IFERROR(Ratios!$J$78,"NA")</v>
      </c>
    </row>
    <row r="938" spans="1:5" x14ac:dyDescent="0.25">
      <c r="A938" s="533" t="s">
        <v>1369</v>
      </c>
      <c r="B938" s="534">
        <f>IFERROR(Ratios!$K$78,"NA")</f>
        <v>2.1620889522514042</v>
      </c>
      <c r="E938" s="522" t="str">
        <f t="shared" ca="1" si="14"/>
        <v>=IFERROR(Ratios!$K$78,"NA")</v>
      </c>
    </row>
    <row r="939" spans="1:5" x14ac:dyDescent="0.25">
      <c r="A939" s="533" t="s">
        <v>1427</v>
      </c>
      <c r="B939" s="534">
        <f>IFERROR(Ratios!$L$78,"NA")</f>
        <v>1.3204614154496064</v>
      </c>
      <c r="E939" s="522" t="str">
        <f t="shared" ca="1" si="14"/>
        <v>=IFERROR(Ratios!$L$78,"NA")</v>
      </c>
    </row>
    <row r="940" spans="1:5" x14ac:dyDescent="0.25">
      <c r="A940" s="533" t="s">
        <v>1485</v>
      </c>
      <c r="B940" s="534">
        <f>IFERROR(Ratios!$M$78,"NA")</f>
        <v>1.6923416187100158</v>
      </c>
      <c r="E940" s="522" t="str">
        <f t="shared" ca="1" si="14"/>
        <v>=IFERROR(Ratios!$M$78,"NA")</v>
      </c>
    </row>
    <row r="941" spans="1:5" x14ac:dyDescent="0.25">
      <c r="A941" s="533" t="s">
        <v>1543</v>
      </c>
      <c r="B941" s="534">
        <f>IFERROR(Ratios!$N$78,"NA")</f>
        <v>1.2446694110583225</v>
      </c>
      <c r="E941" s="522" t="str">
        <f t="shared" ca="1" si="14"/>
        <v>=IFERROR(Ratios!$N$78,"NA")</v>
      </c>
    </row>
    <row r="942" spans="1:5" x14ac:dyDescent="0.25">
      <c r="A942" s="533" t="s">
        <v>1601</v>
      </c>
      <c r="B942" s="534">
        <f>IFERROR(Ratios!$O$78,"NA")</f>
        <v>1.1270131941908308</v>
      </c>
      <c r="E942" s="522" t="str">
        <f t="shared" ca="1" si="14"/>
        <v>=IFERROR(Ratios!$O$78,"NA")</v>
      </c>
    </row>
    <row r="943" spans="1:5" x14ac:dyDescent="0.25">
      <c r="A943" s="533" t="s">
        <v>1654</v>
      </c>
      <c r="B943" s="534">
        <f>IFERROR(Ratios!$P$78,"NA")</f>
        <v>0.85947089887714823</v>
      </c>
      <c r="E943" s="522" t="str">
        <f t="shared" ca="1" si="14"/>
        <v>=IFERROR(Ratios!$P$78,"NA")</v>
      </c>
    </row>
    <row r="944" spans="1:5" x14ac:dyDescent="0.25">
      <c r="A944" s="533" t="s">
        <v>906</v>
      </c>
      <c r="B944" s="534">
        <f>IFERROR(Ratios!$C$83,"NA")</f>
        <v>27868.213892606997</v>
      </c>
      <c r="E944" s="522" t="str">
        <f t="shared" ca="1" si="14"/>
        <v>=IFERROR(Ratios!$C$83,"NA")</v>
      </c>
    </row>
    <row r="945" spans="1:5" x14ac:dyDescent="0.25">
      <c r="A945" s="533" t="s">
        <v>964</v>
      </c>
      <c r="B945" s="534">
        <f>IFERROR(Ratios!$D$83,"NA")</f>
        <v>27444.354615219996</v>
      </c>
      <c r="E945" s="522" t="str">
        <f t="shared" ca="1" si="14"/>
        <v>=IFERROR(Ratios!$D$83,"NA")</v>
      </c>
    </row>
    <row r="946" spans="1:5" x14ac:dyDescent="0.25">
      <c r="A946" s="533" t="s">
        <v>1022</v>
      </c>
      <c r="B946" s="534">
        <f>IFERROR(Ratios!$E$83,"NA")</f>
        <v>27252.321783399995</v>
      </c>
      <c r="E946" s="522" t="str">
        <f t="shared" ca="1" si="14"/>
        <v>=IFERROR(Ratios!$E$83,"NA")</v>
      </c>
    </row>
    <row r="947" spans="1:5" x14ac:dyDescent="0.25">
      <c r="A947" s="533" t="s">
        <v>1080</v>
      </c>
      <c r="B947" s="534">
        <f>IFERROR(Ratios!$F$83,"NA")</f>
        <v>27252.321783399995</v>
      </c>
      <c r="E947" s="522" t="str">
        <f t="shared" ca="1" si="14"/>
        <v>=IFERROR(Ratios!$F$83,"NA")</v>
      </c>
    </row>
    <row r="948" spans="1:5" x14ac:dyDescent="0.25">
      <c r="A948" s="533" t="s">
        <v>1138</v>
      </c>
      <c r="B948" s="534">
        <f>IFERROR(Ratios!$G$83,"NA")</f>
        <v>24593</v>
      </c>
      <c r="E948" s="522" t="str">
        <f t="shared" ca="1" si="14"/>
        <v>=IFERROR(Ratios!$G$83,"NA")</v>
      </c>
    </row>
    <row r="949" spans="1:5" x14ac:dyDescent="0.25">
      <c r="A949" s="533" t="s">
        <v>1196</v>
      </c>
      <c r="B949" s="534">
        <f>IFERROR(Ratios!$H$83,"NA")</f>
        <v>23942</v>
      </c>
      <c r="E949" s="522" t="str">
        <f t="shared" ca="1" si="14"/>
        <v>=IFERROR(Ratios!$H$83,"NA")</v>
      </c>
    </row>
    <row r="950" spans="1:5" x14ac:dyDescent="0.25">
      <c r="A950" s="533" t="s">
        <v>1254</v>
      </c>
      <c r="B950" s="534" t="str">
        <f>IFERROR(Ratios!$I$83,"NA")</f>
        <v>NA</v>
      </c>
      <c r="E950" s="522" t="str">
        <f t="shared" ca="1" si="14"/>
        <v>=IFERROR(Ratios!$I$83,"NA")</v>
      </c>
    </row>
    <row r="951" spans="1:5" x14ac:dyDescent="0.25">
      <c r="A951" s="533" t="s">
        <v>1312</v>
      </c>
      <c r="B951" s="534" t="str">
        <f>IFERROR(Ratios!$J$83,"NA")</f>
        <v>NA</v>
      </c>
      <c r="E951" s="522" t="str">
        <f t="shared" ca="1" si="14"/>
        <v>=IFERROR(Ratios!$J$83,"NA")</v>
      </c>
    </row>
    <row r="952" spans="1:5" x14ac:dyDescent="0.25">
      <c r="A952" s="533" t="s">
        <v>1370</v>
      </c>
      <c r="B952" s="534" t="str">
        <f>IFERROR(Ratios!$K$83,"NA")</f>
        <v>NA</v>
      </c>
      <c r="E952" s="522" t="str">
        <f t="shared" ca="1" si="14"/>
        <v>=IFERROR(Ratios!$K$83,"NA")</v>
      </c>
    </row>
    <row r="953" spans="1:5" x14ac:dyDescent="0.25">
      <c r="A953" s="533" t="s">
        <v>1428</v>
      </c>
      <c r="B953" s="534">
        <f>IFERROR(Ratios!$L$83,"NA")</f>
        <v>23749</v>
      </c>
      <c r="E953" s="522" t="str">
        <f t="shared" ca="1" si="14"/>
        <v>=IFERROR(Ratios!$L$83,"NA")</v>
      </c>
    </row>
    <row r="954" spans="1:5" x14ac:dyDescent="0.25">
      <c r="A954" s="533" t="s">
        <v>1486</v>
      </c>
      <c r="B954" s="534" t="str">
        <f>IFERROR(Ratios!$M$83,"NA")</f>
        <v>NA</v>
      </c>
      <c r="E954" s="522" t="str">
        <f t="shared" ca="1" si="14"/>
        <v>=IFERROR(Ratios!$M$83,"NA")</v>
      </c>
    </row>
    <row r="955" spans="1:5" x14ac:dyDescent="0.25">
      <c r="A955" s="533" t="s">
        <v>1544</v>
      </c>
      <c r="B955" s="534" t="str">
        <f>IFERROR(Ratios!$N$83,"NA")</f>
        <v>NA</v>
      </c>
      <c r="E955" s="522" t="str">
        <f t="shared" ca="1" si="14"/>
        <v>=IFERROR(Ratios!$N$83,"NA")</v>
      </c>
    </row>
    <row r="956" spans="1:5" x14ac:dyDescent="0.25">
      <c r="A956" s="533" t="s">
        <v>1602</v>
      </c>
      <c r="B956" s="534" t="str">
        <f>IFERROR(Ratios!$O$83,"NA")</f>
        <v>NA</v>
      </c>
      <c r="E956" s="522" t="str">
        <f t="shared" ca="1" si="14"/>
        <v>=IFERROR(Ratios!$O$83,"NA")</v>
      </c>
    </row>
    <row r="957" spans="1:5" x14ac:dyDescent="0.25">
      <c r="A957" s="533" t="s">
        <v>1655</v>
      </c>
      <c r="B957" s="534" t="str">
        <f>IFERROR(Ratios!$P$83,"NA")</f>
        <v>NA</v>
      </c>
      <c r="E957" s="522" t="str">
        <f t="shared" ca="1" si="14"/>
        <v>=IFERROR(Ratios!$P$83,"NA")</v>
      </c>
    </row>
    <row r="958" spans="1:5" x14ac:dyDescent="0.25">
      <c r="A958" s="533" t="s">
        <v>907</v>
      </c>
      <c r="B958" s="534">
        <f>IFERROR(Ratios!$C$84,"NA")</f>
        <v>10525.574722504998</v>
      </c>
      <c r="E958" s="522" t="str">
        <f t="shared" ca="1" si="14"/>
        <v>=IFERROR(Ratios!$C$84,"NA")</v>
      </c>
    </row>
    <row r="959" spans="1:5" x14ac:dyDescent="0.25">
      <c r="A959" s="533" t="s">
        <v>965</v>
      </c>
      <c r="B959" s="534">
        <f>IFERROR(Ratios!$D$84,"NA")</f>
        <v>10209.245916299998</v>
      </c>
      <c r="E959" s="522" t="str">
        <f t="shared" ca="1" si="14"/>
        <v>=IFERROR(Ratios!$D$84,"NA")</v>
      </c>
    </row>
    <row r="960" spans="1:5" x14ac:dyDescent="0.25">
      <c r="A960" s="533" t="s">
        <v>1023</v>
      </c>
      <c r="B960" s="534">
        <f>IFERROR(Ratios!$E$84,"NA")</f>
        <v>9889.0084100000022</v>
      </c>
      <c r="E960" s="522" t="str">
        <f t="shared" ca="1" si="14"/>
        <v>=IFERROR(Ratios!$E$84,"NA")</v>
      </c>
    </row>
    <row r="961" spans="1:5" x14ac:dyDescent="0.25">
      <c r="A961" s="533" t="s">
        <v>1081</v>
      </c>
      <c r="B961" s="534">
        <f>IFERROR(Ratios!$F$84,"NA")</f>
        <v>4468</v>
      </c>
      <c r="E961" s="522" t="str">
        <f t="shared" ca="1" si="14"/>
        <v>=IFERROR(Ratios!$F$84,"NA")</v>
      </c>
    </row>
    <row r="962" spans="1:5" x14ac:dyDescent="0.25">
      <c r="A962" s="533" t="s">
        <v>1139</v>
      </c>
      <c r="B962" s="534">
        <f>IFERROR(Ratios!$G$84,"NA")</f>
        <v>4149</v>
      </c>
      <c r="E962" s="522" t="str">
        <f t="shared" ca="1" si="14"/>
        <v>=IFERROR(Ratios!$G$84,"NA")</v>
      </c>
    </row>
    <row r="963" spans="1:5" x14ac:dyDescent="0.25">
      <c r="A963" s="533" t="s">
        <v>1197</v>
      </c>
      <c r="B963" s="534">
        <f>IFERROR(Ratios!$H$84,"NA")</f>
        <v>4227</v>
      </c>
      <c r="E963" s="522" t="str">
        <f t="shared" ref="E963:E1026" ca="1" si="15">_xlfn.FORMULATEXT(B963)</f>
        <v>=IFERROR(Ratios!$H$84,"NA")</v>
      </c>
    </row>
    <row r="964" spans="1:5" x14ac:dyDescent="0.25">
      <c r="A964" s="533" t="s">
        <v>1255</v>
      </c>
      <c r="B964" s="534">
        <f>IFERROR(Ratios!$I$84,"NA")</f>
        <v>4334</v>
      </c>
      <c r="E964" s="522" t="str">
        <f t="shared" ca="1" si="15"/>
        <v>=IFERROR(Ratios!$I$84,"NA")</v>
      </c>
    </row>
    <row r="965" spans="1:5" x14ac:dyDescent="0.25">
      <c r="A965" s="533" t="s">
        <v>1313</v>
      </c>
      <c r="B965" s="534">
        <f>IFERROR(Ratios!$J$84,"NA")</f>
        <v>3957</v>
      </c>
      <c r="E965" s="522" t="str">
        <f t="shared" ca="1" si="15"/>
        <v>=IFERROR(Ratios!$J$84,"NA")</v>
      </c>
    </row>
    <row r="966" spans="1:5" x14ac:dyDescent="0.25">
      <c r="A966" s="533" t="s">
        <v>1371</v>
      </c>
      <c r="B966" s="534">
        <f>IFERROR(Ratios!$K$84,"NA")</f>
        <v>10334</v>
      </c>
      <c r="E966" s="522" t="str">
        <f t="shared" ca="1" si="15"/>
        <v>=IFERROR(Ratios!$K$84,"NA")</v>
      </c>
    </row>
    <row r="967" spans="1:5" x14ac:dyDescent="0.25">
      <c r="A967" s="533" t="s">
        <v>1429</v>
      </c>
      <c r="B967" s="534">
        <f>IFERROR(Ratios!$L$84,"NA")</f>
        <v>10128</v>
      </c>
      <c r="E967" s="522" t="str">
        <f t="shared" ca="1" si="15"/>
        <v>=IFERROR(Ratios!$L$84,"NA")</v>
      </c>
    </row>
    <row r="968" spans="1:5" x14ac:dyDescent="0.25">
      <c r="A968" s="533" t="s">
        <v>1487</v>
      </c>
      <c r="B968" s="534">
        <f>IFERROR(Ratios!$M$84,"NA")</f>
        <v>9042</v>
      </c>
      <c r="E968" s="522" t="str">
        <f t="shared" ca="1" si="15"/>
        <v>=IFERROR(Ratios!$M$84,"NA")</v>
      </c>
    </row>
    <row r="969" spans="1:5" x14ac:dyDescent="0.25">
      <c r="A969" s="533" t="s">
        <v>1545</v>
      </c>
      <c r="B969" s="534">
        <f>IFERROR(Ratios!$N$84,"NA")</f>
        <v>7861</v>
      </c>
      <c r="E969" s="522" t="str">
        <f t="shared" ca="1" si="15"/>
        <v>=IFERROR(Ratios!$N$84,"NA")</v>
      </c>
    </row>
    <row r="970" spans="1:5" x14ac:dyDescent="0.25">
      <c r="A970" s="533" t="s">
        <v>1603</v>
      </c>
      <c r="B970" s="534">
        <f>IFERROR(Ratios!$O$84,"NA")</f>
        <v>6846</v>
      </c>
      <c r="E970" s="522" t="str">
        <f t="shared" ca="1" si="15"/>
        <v>=IFERROR(Ratios!$O$84,"NA")</v>
      </c>
    </row>
    <row r="971" spans="1:5" x14ac:dyDescent="0.25">
      <c r="A971" s="533" t="s">
        <v>1656</v>
      </c>
      <c r="B971" s="534">
        <f>IFERROR(Ratios!$P$84,"NA")</f>
        <v>15852</v>
      </c>
      <c r="E971" s="522" t="str">
        <f t="shared" ca="1" si="15"/>
        <v>=IFERROR(Ratios!$P$84,"NA")</v>
      </c>
    </row>
    <row r="972" spans="1:5" x14ac:dyDescent="0.25">
      <c r="A972" s="533" t="s">
        <v>908</v>
      </c>
      <c r="B972" s="534">
        <f>IFERROR(Ratios!$C$85,"NA")</f>
        <v>17342.639170101997</v>
      </c>
      <c r="E972" s="522" t="str">
        <f t="shared" ca="1" si="15"/>
        <v>=IFERROR(Ratios!$C$85,"NA")</v>
      </c>
    </row>
    <row r="973" spans="1:5" x14ac:dyDescent="0.25">
      <c r="A973" s="533" t="s">
        <v>966</v>
      </c>
      <c r="B973" s="534">
        <f>IFERROR(Ratios!$D$85,"NA")</f>
        <v>17235.108698919998</v>
      </c>
      <c r="E973" s="522" t="str">
        <f t="shared" ca="1" si="15"/>
        <v>=IFERROR(Ratios!$D$85,"NA")</v>
      </c>
    </row>
    <row r="974" spans="1:5" x14ac:dyDescent="0.25">
      <c r="A974" s="533" t="s">
        <v>1024</v>
      </c>
      <c r="B974" s="534">
        <f>IFERROR(Ratios!$E$85,"NA")</f>
        <v>17363.313373399993</v>
      </c>
      <c r="E974" s="522" t="str">
        <f t="shared" ca="1" si="15"/>
        <v>=IFERROR(Ratios!$E$85,"NA")</v>
      </c>
    </row>
    <row r="975" spans="1:5" x14ac:dyDescent="0.25">
      <c r="A975" s="533" t="s">
        <v>1082</v>
      </c>
      <c r="B975" s="534">
        <f>IFERROR(Ratios!$F$85,"NA")</f>
        <v>22784.321783399995</v>
      </c>
      <c r="E975" s="522" t="str">
        <f t="shared" ca="1" si="15"/>
        <v>=IFERROR(Ratios!$F$85,"NA")</v>
      </c>
    </row>
    <row r="976" spans="1:5" x14ac:dyDescent="0.25">
      <c r="A976" s="533" t="s">
        <v>1140</v>
      </c>
      <c r="B976" s="534">
        <f>IFERROR(Ratios!$G$85,"NA")</f>
        <v>20444</v>
      </c>
      <c r="E976" s="522" t="str">
        <f t="shared" ca="1" si="15"/>
        <v>=IFERROR(Ratios!$G$85,"NA")</v>
      </c>
    </row>
    <row r="977" spans="1:5" x14ac:dyDescent="0.25">
      <c r="A977" s="533" t="s">
        <v>1198</v>
      </c>
      <c r="B977" s="534">
        <f>IFERROR(Ratios!$H$85,"NA")</f>
        <v>19715</v>
      </c>
      <c r="E977" s="522" t="str">
        <f t="shared" ca="1" si="15"/>
        <v>=IFERROR(Ratios!$H$85,"NA")</v>
      </c>
    </row>
    <row r="978" spans="1:5" x14ac:dyDescent="0.25">
      <c r="A978" s="533" t="s">
        <v>1256</v>
      </c>
      <c r="B978" s="534" t="str">
        <f>IFERROR(Ratios!$I$85,"NA")</f>
        <v>NA</v>
      </c>
      <c r="E978" s="522" t="str">
        <f t="shared" ca="1" si="15"/>
        <v>=IFERROR(Ratios!$I$85,"NA")</v>
      </c>
    </row>
    <row r="979" spans="1:5" x14ac:dyDescent="0.25">
      <c r="A979" s="533" t="s">
        <v>1314</v>
      </c>
      <c r="B979" s="534" t="str">
        <f>IFERROR(Ratios!$J$85,"NA")</f>
        <v>NA</v>
      </c>
      <c r="E979" s="522" t="str">
        <f t="shared" ca="1" si="15"/>
        <v>=IFERROR(Ratios!$J$85,"NA")</v>
      </c>
    </row>
    <row r="980" spans="1:5" x14ac:dyDescent="0.25">
      <c r="A980" s="533" t="s">
        <v>1372</v>
      </c>
      <c r="B980" s="534" t="str">
        <f>IFERROR(Ratios!$K$85,"NA")</f>
        <v>NA</v>
      </c>
      <c r="E980" s="522" t="str">
        <f t="shared" ca="1" si="15"/>
        <v>=IFERROR(Ratios!$K$85,"NA")</v>
      </c>
    </row>
    <row r="981" spans="1:5" x14ac:dyDescent="0.25">
      <c r="A981" s="533" t="s">
        <v>1430</v>
      </c>
      <c r="B981" s="534">
        <f>IFERROR(Ratios!$L$85,"NA")</f>
        <v>13621</v>
      </c>
      <c r="E981" s="522" t="str">
        <f t="shared" ca="1" si="15"/>
        <v>=IFERROR(Ratios!$L$85,"NA")</v>
      </c>
    </row>
    <row r="982" spans="1:5" x14ac:dyDescent="0.25">
      <c r="A982" s="533" t="s">
        <v>1488</v>
      </c>
      <c r="B982" s="534" t="str">
        <f>IFERROR(Ratios!$M$85,"NA")</f>
        <v>NA</v>
      </c>
      <c r="E982" s="522" t="str">
        <f t="shared" ca="1" si="15"/>
        <v>=IFERROR(Ratios!$M$85,"NA")</v>
      </c>
    </row>
    <row r="983" spans="1:5" x14ac:dyDescent="0.25">
      <c r="A983" s="533" t="s">
        <v>1546</v>
      </c>
      <c r="B983" s="534" t="str">
        <f>IFERROR(Ratios!$N$85,"NA")</f>
        <v>NA</v>
      </c>
      <c r="E983" s="522" t="str">
        <f t="shared" ca="1" si="15"/>
        <v>=IFERROR(Ratios!$N$85,"NA")</v>
      </c>
    </row>
    <row r="984" spans="1:5" x14ac:dyDescent="0.25">
      <c r="A984" s="533" t="s">
        <v>1604</v>
      </c>
      <c r="B984" s="534" t="str">
        <f>IFERROR(Ratios!$O$85,"NA")</f>
        <v>NA</v>
      </c>
      <c r="E984" s="522" t="str">
        <f t="shared" ca="1" si="15"/>
        <v>=IFERROR(Ratios!$O$85,"NA")</v>
      </c>
    </row>
    <row r="985" spans="1:5" x14ac:dyDescent="0.25">
      <c r="A985" s="533" t="s">
        <v>1657</v>
      </c>
      <c r="B985" s="534" t="str">
        <f>IFERROR(Ratios!$P$85,"NA")</f>
        <v>NA</v>
      </c>
      <c r="E985" s="522" t="str">
        <f t="shared" ca="1" si="15"/>
        <v>=IFERROR(Ratios!$P$85,"NA")</v>
      </c>
    </row>
    <row r="986" spans="1:5" x14ac:dyDescent="0.25">
      <c r="A986" s="533" t="s">
        <v>909</v>
      </c>
      <c r="B986" s="534">
        <f>IFERROR(Ratios!$C$88,"NA")</f>
        <v>17.676905671712682</v>
      </c>
      <c r="E986" s="522" t="str">
        <f t="shared" ca="1" si="15"/>
        <v>=IFERROR(Ratios!$C$88,"NA")</v>
      </c>
    </row>
    <row r="987" spans="1:5" x14ac:dyDescent="0.25">
      <c r="A987" s="533" t="s">
        <v>967</v>
      </c>
      <c r="B987" s="534">
        <f>IFERROR(Ratios!$D$88,"NA")</f>
        <v>17.641208075017616</v>
      </c>
      <c r="E987" s="522" t="str">
        <f t="shared" ca="1" si="15"/>
        <v>=IFERROR(Ratios!$D$88,"NA")</v>
      </c>
    </row>
    <row r="988" spans="1:5" x14ac:dyDescent="0.25">
      <c r="A988" s="533" t="s">
        <v>1025</v>
      </c>
      <c r="B988" s="534">
        <f>IFERROR(Ratios!$E$88,"NA")</f>
        <v>17.457129760171323</v>
      </c>
      <c r="E988" s="522" t="str">
        <f t="shared" ca="1" si="15"/>
        <v>=IFERROR(Ratios!$E$88,"NA")</v>
      </c>
    </row>
    <row r="989" spans="1:5" x14ac:dyDescent="0.25">
      <c r="A989" s="533" t="s">
        <v>1083</v>
      </c>
      <c r="B989" s="534">
        <f>IFERROR(Ratios!$F$88,"NA")</f>
        <v>19.789354984212903</v>
      </c>
      <c r="E989" s="522" t="str">
        <f t="shared" ca="1" si="15"/>
        <v>=IFERROR(Ratios!$F$88,"NA")</v>
      </c>
    </row>
    <row r="990" spans="1:5" x14ac:dyDescent="0.25">
      <c r="A990" s="533" t="s">
        <v>1141</v>
      </c>
      <c r="B990" s="534">
        <f>IFERROR(Ratios!$G$88,"NA")</f>
        <v>31.344901377000372</v>
      </c>
      <c r="E990" s="522" t="str">
        <f t="shared" ca="1" si="15"/>
        <v>=IFERROR(Ratios!$G$88,"NA")</v>
      </c>
    </row>
    <row r="991" spans="1:5" x14ac:dyDescent="0.25">
      <c r="A991" s="533" t="s">
        <v>1199</v>
      </c>
      <c r="B991" s="534">
        <f>IFERROR(Ratios!$H$88,"NA")</f>
        <v>32.928134556574925</v>
      </c>
      <c r="E991" s="522" t="str">
        <f t="shared" ca="1" si="15"/>
        <v>=IFERROR(Ratios!$H$88,"NA")</v>
      </c>
    </row>
    <row r="992" spans="1:5" x14ac:dyDescent="0.25">
      <c r="A992" s="533" t="s">
        <v>1257</v>
      </c>
      <c r="B992" s="534">
        <f>IFERROR(Ratios!$I$88,"NA")</f>
        <v>19.752417159485592</v>
      </c>
      <c r="E992" s="522" t="str">
        <f t="shared" ca="1" si="15"/>
        <v>=IFERROR(Ratios!$I$88,"NA")</v>
      </c>
    </row>
    <row r="993" spans="1:5" x14ac:dyDescent="0.25">
      <c r="A993" s="533" t="s">
        <v>1315</v>
      </c>
      <c r="B993" s="534">
        <f>IFERROR(Ratios!$J$88,"NA")</f>
        <v>27.699006175221921</v>
      </c>
      <c r="E993" s="522" t="str">
        <f t="shared" ca="1" si="15"/>
        <v>=IFERROR(Ratios!$J$88,"NA")</v>
      </c>
    </row>
    <row r="994" spans="1:5" x14ac:dyDescent="0.25">
      <c r="A994" s="533" t="s">
        <v>1373</v>
      </c>
      <c r="B994" s="534">
        <f>IFERROR(Ratios!$K$88,"NA")</f>
        <v>37.837439188489803</v>
      </c>
      <c r="E994" s="522" t="str">
        <f t="shared" ca="1" si="15"/>
        <v>=IFERROR(Ratios!$K$88,"NA")</v>
      </c>
    </row>
    <row r="995" spans="1:5" x14ac:dyDescent="0.25">
      <c r="A995" s="533" t="s">
        <v>1431</v>
      </c>
      <c r="B995" s="534">
        <f>IFERROR(Ratios!$L$88,"NA")</f>
        <v>18.205471096096097</v>
      </c>
      <c r="E995" s="522" t="str">
        <f t="shared" ca="1" si="15"/>
        <v>=IFERROR(Ratios!$L$88,"NA")</v>
      </c>
    </row>
    <row r="996" spans="1:5" x14ac:dyDescent="0.25">
      <c r="A996" s="533" t="s">
        <v>1489</v>
      </c>
      <c r="B996" s="534">
        <f>IFERROR(Ratios!$M$88,"NA")</f>
        <v>20.16861937935402</v>
      </c>
      <c r="E996" s="522" t="str">
        <f t="shared" ca="1" si="15"/>
        <v>=IFERROR(Ratios!$M$88,"NA")</v>
      </c>
    </row>
    <row r="997" spans="1:5" x14ac:dyDescent="0.25">
      <c r="A997" s="533" t="s">
        <v>1547</v>
      </c>
      <c r="B997" s="534">
        <f>IFERROR(Ratios!$N$88,"NA")</f>
        <v>19.013962802435945</v>
      </c>
      <c r="E997" s="522" t="str">
        <f t="shared" ca="1" si="15"/>
        <v>=IFERROR(Ratios!$N$88,"NA")</v>
      </c>
    </row>
    <row r="998" spans="1:5" x14ac:dyDescent="0.25">
      <c r="A998" s="533" t="s">
        <v>1605</v>
      </c>
      <c r="B998" s="534">
        <f>IFERROR(Ratios!$O$88,"NA")</f>
        <v>20.268660071942445</v>
      </c>
      <c r="E998" s="522" t="str">
        <f t="shared" ca="1" si="15"/>
        <v>=IFERROR(Ratios!$O$88,"NA")</v>
      </c>
    </row>
    <row r="999" spans="1:5" x14ac:dyDescent="0.25">
      <c r="A999" s="533" t="s">
        <v>1658</v>
      </c>
      <c r="B999" s="534">
        <f>IFERROR(Ratios!$P$88,"NA")</f>
        <v>20.471270680304798</v>
      </c>
      <c r="E999" s="522" t="str">
        <f t="shared" ca="1" si="15"/>
        <v>=IFERROR(Ratios!$P$88,"NA")</v>
      </c>
    </row>
    <row r="1000" spans="1:5" x14ac:dyDescent="0.25">
      <c r="A1000" s="533" t="s">
        <v>910</v>
      </c>
      <c r="B1000" s="534">
        <f>IFERROR(Ratios!$C$89,"NA")</f>
        <v>47.918555894878729</v>
      </c>
      <c r="E1000" s="522" t="str">
        <f t="shared" ca="1" si="15"/>
        <v>=IFERROR(Ratios!$C$89,"NA")</v>
      </c>
    </row>
    <row r="1001" spans="1:5" x14ac:dyDescent="0.25">
      <c r="A1001" s="533" t="s">
        <v>968</v>
      </c>
      <c r="B1001" s="534">
        <f>IFERROR(Ratios!$D$89,"NA")</f>
        <v>47.821786849757743</v>
      </c>
      <c r="E1001" s="522" t="str">
        <f t="shared" ca="1" si="15"/>
        <v>=IFERROR(Ratios!$D$89,"NA")</v>
      </c>
    </row>
    <row r="1002" spans="1:5" x14ac:dyDescent="0.25">
      <c r="A1002" s="533" t="s">
        <v>1026</v>
      </c>
      <c r="B1002" s="534">
        <f>IFERROR(Ratios!$E$89,"NA")</f>
        <v>46.78926281144544</v>
      </c>
      <c r="E1002" s="522" t="str">
        <f t="shared" ca="1" si="15"/>
        <v>=IFERROR(Ratios!$E$89,"NA")</v>
      </c>
    </row>
    <row r="1003" spans="1:5" x14ac:dyDescent="0.25">
      <c r="A1003" s="533" t="s">
        <v>1084</v>
      </c>
      <c r="B1003" s="534">
        <f>IFERROR(Ratios!$F$89,"NA")</f>
        <v>49.648502495840262</v>
      </c>
      <c r="E1003" s="522" t="str">
        <f t="shared" ca="1" si="15"/>
        <v>=IFERROR(Ratios!$F$89,"NA")</v>
      </c>
    </row>
    <row r="1004" spans="1:5" x14ac:dyDescent="0.25">
      <c r="A1004" s="533" t="s">
        <v>1142</v>
      </c>
      <c r="B1004" s="534">
        <f>IFERROR(Ratios!$G$89,"NA")</f>
        <v>48.603537735849059</v>
      </c>
      <c r="E1004" s="522" t="str">
        <f t="shared" ca="1" si="15"/>
        <v>=IFERROR(Ratios!$G$89,"NA")</v>
      </c>
    </row>
    <row r="1005" spans="1:5" x14ac:dyDescent="0.25">
      <c r="A1005" s="533" t="s">
        <v>1200</v>
      </c>
      <c r="B1005" s="534">
        <f>IFERROR(Ratios!$H$89,"NA")</f>
        <v>50.092341983760548</v>
      </c>
      <c r="E1005" s="522" t="str">
        <f t="shared" ca="1" si="15"/>
        <v>=IFERROR(Ratios!$H$89,"NA")</v>
      </c>
    </row>
    <row r="1006" spans="1:5" x14ac:dyDescent="0.25">
      <c r="A1006" s="533" t="s">
        <v>1258</v>
      </c>
      <c r="B1006" s="534">
        <f>IFERROR(Ratios!$I$89,"NA")</f>
        <v>40.838274121080175</v>
      </c>
      <c r="E1006" s="522" t="str">
        <f t="shared" ca="1" si="15"/>
        <v>=IFERROR(Ratios!$I$89,"NA")</v>
      </c>
    </row>
    <row r="1007" spans="1:5" x14ac:dyDescent="0.25">
      <c r="A1007" s="533" t="s">
        <v>1316</v>
      </c>
      <c r="B1007" s="534">
        <f>IFERROR(Ratios!$J$89,"NA")</f>
        <v>51.586619684317228</v>
      </c>
      <c r="E1007" s="522" t="str">
        <f t="shared" ca="1" si="15"/>
        <v>=IFERROR(Ratios!$J$89,"NA")</v>
      </c>
    </row>
    <row r="1008" spans="1:5" x14ac:dyDescent="0.25">
      <c r="A1008" s="533" t="s">
        <v>1374</v>
      </c>
      <c r="B1008" s="534">
        <f>IFERROR(Ratios!$K$89,"NA")</f>
        <v>69.070053364026364</v>
      </c>
      <c r="E1008" s="522" t="str">
        <f t="shared" ca="1" si="15"/>
        <v>=IFERROR(Ratios!$K$89,"NA")</v>
      </c>
    </row>
    <row r="1009" spans="1:5" x14ac:dyDescent="0.25">
      <c r="A1009" s="533" t="s">
        <v>1432</v>
      </c>
      <c r="B1009" s="534">
        <f>IFERROR(Ratios!$L$89,"NA")</f>
        <v>37.237802942110278</v>
      </c>
      <c r="E1009" s="522" t="str">
        <f t="shared" ca="1" si="15"/>
        <v>=IFERROR(Ratios!$L$89,"NA")</v>
      </c>
    </row>
    <row r="1010" spans="1:5" x14ac:dyDescent="0.25">
      <c r="A1010" s="533" t="s">
        <v>1490</v>
      </c>
      <c r="B1010" s="534">
        <f>IFERROR(Ratios!$M$89,"NA")</f>
        <v>40.835261487348347</v>
      </c>
      <c r="E1010" s="522" t="str">
        <f t="shared" ca="1" si="15"/>
        <v>=IFERROR(Ratios!$M$89,"NA")</v>
      </c>
    </row>
    <row r="1011" spans="1:5" x14ac:dyDescent="0.25">
      <c r="A1011" s="533" t="s">
        <v>1548</v>
      </c>
      <c r="B1011" s="534">
        <f>IFERROR(Ratios!$N$89,"NA")</f>
        <v>38.615376144479754</v>
      </c>
      <c r="E1011" s="522" t="str">
        <f t="shared" ca="1" si="15"/>
        <v>=IFERROR(Ratios!$N$89,"NA")</v>
      </c>
    </row>
    <row r="1012" spans="1:5" x14ac:dyDescent="0.25">
      <c r="A1012" s="533" t="s">
        <v>1606</v>
      </c>
      <c r="B1012" s="534">
        <f>IFERROR(Ratios!$O$89,"NA")</f>
        <v>39.936454605215104</v>
      </c>
      <c r="E1012" s="522" t="str">
        <f t="shared" ca="1" si="15"/>
        <v>=IFERROR(Ratios!$O$89,"NA")</v>
      </c>
    </row>
    <row r="1013" spans="1:5" x14ac:dyDescent="0.25">
      <c r="A1013" s="533" t="s">
        <v>1659</v>
      </c>
      <c r="B1013" s="534">
        <f>IFERROR(Ratios!$P$89,"NA")</f>
        <v>41.090410741240959</v>
      </c>
      <c r="E1013" s="522" t="str">
        <f t="shared" ca="1" si="15"/>
        <v>=IFERROR(Ratios!$P$89,"NA")</v>
      </c>
    </row>
    <row r="1014" spans="1:5" x14ac:dyDescent="0.25">
      <c r="A1014" s="533" t="s">
        <v>911</v>
      </c>
      <c r="B1014" s="534">
        <f>IFERROR(Ratios!$C$90,"NA")</f>
        <v>42.424573612110422</v>
      </c>
      <c r="E1014" s="522" t="str">
        <f t="shared" ca="1" si="15"/>
        <v>=IFERROR(Ratios!$C$90,"NA")</v>
      </c>
    </row>
    <row r="1015" spans="1:5" x14ac:dyDescent="0.25">
      <c r="A1015" s="533" t="s">
        <v>969</v>
      </c>
      <c r="B1015" s="534">
        <f>IFERROR(Ratios!$D$90,"NA")</f>
        <v>42.338899380042271</v>
      </c>
      <c r="E1015" s="522" t="str">
        <f t="shared" ca="1" si="15"/>
        <v>=IFERROR(Ratios!$D$90,"NA")</v>
      </c>
    </row>
    <row r="1016" spans="1:5" x14ac:dyDescent="0.25">
      <c r="A1016" s="533" t="s">
        <v>1027</v>
      </c>
      <c r="B1016" s="534">
        <f>IFERROR(Ratios!$E$90,"NA")</f>
        <v>41.526234467474737</v>
      </c>
      <c r="E1016" s="522" t="str">
        <f t="shared" ca="1" si="15"/>
        <v>=IFERROR(Ratios!$E$90,"NA")</v>
      </c>
    </row>
    <row r="1017" spans="1:5" x14ac:dyDescent="0.25">
      <c r="A1017" s="533" t="s">
        <v>1085</v>
      </c>
      <c r="B1017" s="534">
        <f>IFERROR(Ratios!$F$90,"NA")</f>
        <v>39.512855209742895</v>
      </c>
      <c r="E1017" s="522" t="str">
        <f t="shared" ca="1" si="15"/>
        <v>=IFERROR(Ratios!$F$90,"NA")</v>
      </c>
    </row>
    <row r="1018" spans="1:5" x14ac:dyDescent="0.25">
      <c r="A1018" s="533" t="s">
        <v>1143</v>
      </c>
      <c r="B1018" s="534">
        <f>IFERROR(Ratios!$G$90,"NA")</f>
        <v>36.099274283587647</v>
      </c>
      <c r="E1018" s="522" t="str">
        <f t="shared" ca="1" si="15"/>
        <v>=IFERROR(Ratios!$G$90,"NA")</v>
      </c>
    </row>
    <row r="1019" spans="1:5" x14ac:dyDescent="0.25">
      <c r="A1019" s="533" t="s">
        <v>1201</v>
      </c>
      <c r="B1019" s="534">
        <f>IFERROR(Ratios!$H$90,"NA")</f>
        <v>44.239041794087662</v>
      </c>
      <c r="E1019" s="522" t="str">
        <f t="shared" ca="1" si="15"/>
        <v>=IFERROR(Ratios!$H$90,"NA")</v>
      </c>
    </row>
    <row r="1020" spans="1:5" x14ac:dyDescent="0.25">
      <c r="A1020" s="533" t="s">
        <v>1259</v>
      </c>
      <c r="B1020" s="534">
        <f>IFERROR(Ratios!$I$90,"NA")</f>
        <v>43.153806439500613</v>
      </c>
      <c r="E1020" s="522" t="str">
        <f t="shared" ca="1" si="15"/>
        <v>=IFERROR(Ratios!$I$90,"NA")</v>
      </c>
    </row>
    <row r="1021" spans="1:5" x14ac:dyDescent="0.25">
      <c r="A1021" s="533" t="s">
        <v>1317</v>
      </c>
      <c r="B1021" s="534">
        <f>IFERROR(Ratios!$J$90,"NA")</f>
        <v>52.474913160941718</v>
      </c>
      <c r="E1021" s="522" t="str">
        <f t="shared" ca="1" si="15"/>
        <v>=IFERROR(Ratios!$J$90,"NA")</v>
      </c>
    </row>
    <row r="1022" spans="1:5" x14ac:dyDescent="0.25">
      <c r="A1022" s="533" t="s">
        <v>1375</v>
      </c>
      <c r="B1022" s="534">
        <f>IFERROR(Ratios!$K$90,"NA")</f>
        <v>79.150709036331648</v>
      </c>
      <c r="E1022" s="522" t="str">
        <f t="shared" ca="1" si="15"/>
        <v>=IFERROR(Ratios!$K$90,"NA")</v>
      </c>
    </row>
    <row r="1023" spans="1:5" x14ac:dyDescent="0.25">
      <c r="A1023" s="533" t="s">
        <v>1433</v>
      </c>
      <c r="B1023" s="534">
        <f>IFERROR(Ratios!$L$90,"NA")</f>
        <v>43.141657282282281</v>
      </c>
      <c r="E1023" s="522" t="str">
        <f t="shared" ca="1" si="15"/>
        <v>=IFERROR(Ratios!$L$90,"NA")</v>
      </c>
    </row>
    <row r="1024" spans="1:5" x14ac:dyDescent="0.25">
      <c r="A1024" s="533" t="s">
        <v>1491</v>
      </c>
      <c r="B1024" s="534">
        <f>IFERROR(Ratios!$M$90,"NA")</f>
        <v>47.021585391598059</v>
      </c>
      <c r="E1024" s="522" t="str">
        <f t="shared" ca="1" si="15"/>
        <v>=IFERROR(Ratios!$M$90,"NA")</v>
      </c>
    </row>
    <row r="1025" spans="1:5" x14ac:dyDescent="0.25">
      <c r="A1025" s="533" t="s">
        <v>1549</v>
      </c>
      <c r="B1025" s="534">
        <f>IFERROR(Ratios!$N$90,"NA")</f>
        <v>41.442228562023374</v>
      </c>
      <c r="E1025" s="522" t="str">
        <f t="shared" ca="1" si="15"/>
        <v>=IFERROR(Ratios!$N$90,"NA")</v>
      </c>
    </row>
    <row r="1026" spans="1:5" x14ac:dyDescent="0.25">
      <c r="A1026" s="533" t="s">
        <v>1607</v>
      </c>
      <c r="B1026" s="534">
        <f>IFERROR(Ratios!$O$90,"NA")</f>
        <v>44.206545477903397</v>
      </c>
      <c r="E1026" s="522" t="str">
        <f t="shared" ca="1" si="15"/>
        <v>=IFERROR(Ratios!$O$90,"NA")</v>
      </c>
    </row>
    <row r="1027" spans="1:5" x14ac:dyDescent="0.25">
      <c r="A1027" s="533" t="s">
        <v>1660</v>
      </c>
      <c r="B1027" s="534">
        <f>IFERROR(Ratios!$P$90,"NA")</f>
        <v>47.031303631495845</v>
      </c>
      <c r="E1027" s="522" t="str">
        <f t="shared" ref="E1027" ca="1" si="16">_xlfn.FORMULATEXT(B1027)</f>
        <v>=IFERROR(Ratios!$P$90,"NA")</v>
      </c>
    </row>
    <row r="1028" spans="1:5" x14ac:dyDescent="0.25">
      <c r="E1028" s="522"/>
    </row>
    <row r="1029" spans="1:5" x14ac:dyDescent="0.25">
      <c r="E1029" s="522"/>
    </row>
    <row r="1030" spans="1:5" x14ac:dyDescent="0.25">
      <c r="E1030" s="522"/>
    </row>
    <row r="1031" spans="1:5" x14ac:dyDescent="0.25">
      <c r="E1031" s="522"/>
    </row>
    <row r="1032" spans="1:5" x14ac:dyDescent="0.25">
      <c r="E1032" s="522"/>
    </row>
    <row r="1033" spans="1:5" x14ac:dyDescent="0.25">
      <c r="E1033" s="522"/>
    </row>
    <row r="1034" spans="1:5" x14ac:dyDescent="0.25">
      <c r="E1034" s="522"/>
    </row>
    <row r="1035" spans="1:5" x14ac:dyDescent="0.25">
      <c r="E1035" s="522"/>
    </row>
    <row r="1036" spans="1:5" x14ac:dyDescent="0.25">
      <c r="E1036" s="522"/>
    </row>
    <row r="1037" spans="1:5" x14ac:dyDescent="0.25">
      <c r="E1037" s="522"/>
    </row>
    <row r="1038" spans="1:5" x14ac:dyDescent="0.25">
      <c r="E1038" s="522"/>
    </row>
    <row r="1039" spans="1:5" x14ac:dyDescent="0.25">
      <c r="E1039" s="522"/>
    </row>
    <row r="1040" spans="1:5" x14ac:dyDescent="0.25">
      <c r="E1040" s="522"/>
    </row>
    <row r="1041" spans="5:5" x14ac:dyDescent="0.25">
      <c r="E1041" s="522"/>
    </row>
  </sheetData>
  <sheetProtection algorithmName="SHA-512" hashValue="eFHRiimC6c8+w/fUNsI1gmC5SDT6M2ae7e1udIsnCtXOlt5IUBjFgHETCsqDADQ+GMw2c/t+bgNP55cML2QFXg==" saltValue="I0qoIr4XilsgMFnHPBnYKg==" spinCount="100000" sheet="1" objects="1" scenarios="1" formatCells="0" formatColumns="0" formatRows="0"/>
  <phoneticPr fontId="55"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0E4B8-FE3D-42EE-BC3F-FFB05019CDE9}">
  <sheetPr codeName="Sheet4">
    <tabColor theme="0" tint="-0.499984740745262"/>
  </sheetPr>
  <dimension ref="B3:F20"/>
  <sheetViews>
    <sheetView workbookViewId="0">
      <selection activeCell="D15" sqref="D15"/>
    </sheetView>
  </sheetViews>
  <sheetFormatPr defaultRowHeight="13" x14ac:dyDescent="0.3"/>
  <cols>
    <col min="2" max="2" width="37" bestFit="1" customWidth="1"/>
    <col min="4" max="4" width="39.109375" bestFit="1" customWidth="1"/>
  </cols>
  <sheetData>
    <row r="3" spans="2:6" x14ac:dyDescent="0.3">
      <c r="B3" s="2" t="s">
        <v>608</v>
      </c>
      <c r="C3" s="2"/>
      <c r="D3" s="2" t="s">
        <v>609</v>
      </c>
    </row>
    <row r="4" spans="2:6" x14ac:dyDescent="0.3">
      <c r="B4" t="s">
        <v>582</v>
      </c>
      <c r="D4" t="s">
        <v>583</v>
      </c>
      <c r="E4" t="s">
        <v>584</v>
      </c>
      <c r="F4" t="s">
        <v>585</v>
      </c>
    </row>
    <row r="5" spans="2:6" x14ac:dyDescent="0.3">
      <c r="B5" t="s">
        <v>586</v>
      </c>
      <c r="D5" t="s">
        <v>152</v>
      </c>
    </row>
    <row r="6" spans="2:6" x14ac:dyDescent="0.3">
      <c r="B6" t="s">
        <v>587</v>
      </c>
      <c r="D6" t="s">
        <v>427</v>
      </c>
      <c r="E6" t="s">
        <v>585</v>
      </c>
    </row>
    <row r="7" spans="2:6" x14ac:dyDescent="0.3">
      <c r="B7" t="s">
        <v>588</v>
      </c>
      <c r="D7" t="s">
        <v>353</v>
      </c>
    </row>
    <row r="8" spans="2:6" x14ac:dyDescent="0.3">
      <c r="B8" t="s">
        <v>165</v>
      </c>
      <c r="D8" t="s">
        <v>589</v>
      </c>
    </row>
    <row r="9" spans="2:6" x14ac:dyDescent="0.3">
      <c r="B9" t="s">
        <v>590</v>
      </c>
      <c r="D9" t="s">
        <v>591</v>
      </c>
    </row>
    <row r="10" spans="2:6" x14ac:dyDescent="0.3">
      <c r="B10" t="s">
        <v>592</v>
      </c>
      <c r="D10" t="s">
        <v>426</v>
      </c>
    </row>
    <row r="11" spans="2:6" x14ac:dyDescent="0.3">
      <c r="B11" t="s">
        <v>593</v>
      </c>
      <c r="D11" t="s">
        <v>594</v>
      </c>
      <c r="E11" t="s">
        <v>585</v>
      </c>
    </row>
    <row r="12" spans="2:6" x14ac:dyDescent="0.3">
      <c r="B12" t="s">
        <v>595</v>
      </c>
      <c r="D12" t="s">
        <v>425</v>
      </c>
    </row>
    <row r="13" spans="2:6" x14ac:dyDescent="0.3">
      <c r="B13" t="s">
        <v>596</v>
      </c>
      <c r="D13" t="s">
        <v>422</v>
      </c>
    </row>
    <row r="14" spans="2:6" x14ac:dyDescent="0.3">
      <c r="B14" t="s">
        <v>597</v>
      </c>
      <c r="D14" t="s">
        <v>598</v>
      </c>
    </row>
    <row r="15" spans="2:6" x14ac:dyDescent="0.3">
      <c r="B15" t="s">
        <v>599</v>
      </c>
      <c r="D15" t="s">
        <v>600</v>
      </c>
    </row>
    <row r="16" spans="2:6" x14ac:dyDescent="0.3">
      <c r="B16" t="s">
        <v>601</v>
      </c>
      <c r="D16" t="s">
        <v>166</v>
      </c>
    </row>
    <row r="17" spans="2:4" x14ac:dyDescent="0.3">
      <c r="B17" t="s">
        <v>602</v>
      </c>
      <c r="D17" t="s">
        <v>603</v>
      </c>
    </row>
    <row r="18" spans="2:4" x14ac:dyDescent="0.3">
      <c r="B18" t="s">
        <v>604</v>
      </c>
      <c r="D18" t="s">
        <v>605</v>
      </c>
    </row>
    <row r="19" spans="2:4" x14ac:dyDescent="0.3">
      <c r="B19" t="s">
        <v>606</v>
      </c>
      <c r="D19" t="s">
        <v>607</v>
      </c>
    </row>
    <row r="20" spans="2:4" x14ac:dyDescent="0.3">
      <c r="B20" t="s">
        <v>171</v>
      </c>
      <c r="D20" t="s">
        <v>429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E2993-04A7-4A03-B281-7C9AFE0D0F71}">
  <sheetPr codeName="Sheet21"/>
  <dimension ref="B2:AE18"/>
  <sheetViews>
    <sheetView workbookViewId="0">
      <selection activeCell="H41" sqref="H41"/>
    </sheetView>
  </sheetViews>
  <sheetFormatPr defaultRowHeight="13" x14ac:dyDescent="0.3"/>
  <cols>
    <col min="2" max="2" width="10" bestFit="1" customWidth="1"/>
    <col min="3" max="3" width="41.109375" bestFit="1" customWidth="1"/>
  </cols>
  <sheetData>
    <row r="2" spans="2:31" x14ac:dyDescent="0.3">
      <c r="B2" s="2" t="s">
        <v>622</v>
      </c>
      <c r="C2" s="2" t="s">
        <v>808</v>
      </c>
      <c r="D2" s="2" t="s">
        <v>739</v>
      </c>
      <c r="AA2" s="9"/>
      <c r="AB2" s="10"/>
      <c r="AC2" s="11"/>
      <c r="AD2" s="12"/>
      <c r="AE2" s="13"/>
    </row>
    <row r="3" spans="2:31" x14ac:dyDescent="0.3">
      <c r="B3" s="3">
        <v>44232</v>
      </c>
      <c r="C3" t="s">
        <v>810</v>
      </c>
      <c r="D3" t="s">
        <v>740</v>
      </c>
    </row>
    <row r="4" spans="2:31" x14ac:dyDescent="0.3">
      <c r="B4" s="3">
        <v>44239</v>
      </c>
      <c r="C4" t="s">
        <v>810</v>
      </c>
      <c r="D4" t="s">
        <v>741</v>
      </c>
    </row>
    <row r="5" spans="2:31" x14ac:dyDescent="0.3">
      <c r="B5" s="3">
        <v>44278</v>
      </c>
      <c r="C5" t="s">
        <v>809</v>
      </c>
      <c r="D5" t="s">
        <v>742</v>
      </c>
    </row>
    <row r="6" spans="2:31" x14ac:dyDescent="0.3">
      <c r="B6" s="3">
        <v>44278</v>
      </c>
      <c r="C6" t="s">
        <v>809</v>
      </c>
      <c r="D6" t="s">
        <v>743</v>
      </c>
    </row>
    <row r="7" spans="2:31" x14ac:dyDescent="0.3">
      <c r="B7" s="3">
        <v>44300</v>
      </c>
      <c r="C7" t="s">
        <v>809</v>
      </c>
      <c r="D7" t="s">
        <v>744</v>
      </c>
    </row>
    <row r="8" spans="2:31" x14ac:dyDescent="0.3">
      <c r="B8" s="3">
        <v>44300</v>
      </c>
      <c r="C8" t="s">
        <v>809</v>
      </c>
      <c r="D8" t="s">
        <v>745</v>
      </c>
    </row>
    <row r="9" spans="2:31" x14ac:dyDescent="0.3">
      <c r="B9" s="3">
        <v>44307</v>
      </c>
      <c r="C9" t="s">
        <v>809</v>
      </c>
      <c r="D9" t="s">
        <v>751</v>
      </c>
    </row>
    <row r="10" spans="2:31" x14ac:dyDescent="0.3">
      <c r="B10" s="3">
        <v>44308</v>
      </c>
      <c r="C10" t="s">
        <v>809</v>
      </c>
      <c r="D10" t="s">
        <v>758</v>
      </c>
    </row>
    <row r="11" spans="2:31" x14ac:dyDescent="0.3">
      <c r="B11" s="3">
        <v>44308</v>
      </c>
      <c r="C11" t="s">
        <v>809</v>
      </c>
      <c r="D11" t="s">
        <v>759</v>
      </c>
    </row>
    <row r="12" spans="2:31" x14ac:dyDescent="0.3">
      <c r="B12" s="3">
        <v>44321</v>
      </c>
      <c r="C12" t="s">
        <v>809</v>
      </c>
      <c r="D12" t="s">
        <v>816</v>
      </c>
    </row>
    <row r="13" spans="2:31" x14ac:dyDescent="0.3">
      <c r="B13" s="3">
        <v>44321</v>
      </c>
      <c r="C13" t="s">
        <v>809</v>
      </c>
      <c r="D13" t="s">
        <v>817</v>
      </c>
    </row>
    <row r="14" spans="2:31" x14ac:dyDescent="0.3">
      <c r="B14" s="3">
        <v>44327</v>
      </c>
      <c r="C14" t="s">
        <v>809</v>
      </c>
      <c r="D14" t="s">
        <v>837</v>
      </c>
    </row>
    <row r="15" spans="2:31" x14ac:dyDescent="0.3">
      <c r="B15" s="3">
        <v>44342</v>
      </c>
      <c r="C15" t="s">
        <v>1763</v>
      </c>
      <c r="D15" t="s">
        <v>1764</v>
      </c>
    </row>
    <row r="16" spans="2:31" x14ac:dyDescent="0.3">
      <c r="B16" s="3">
        <v>44347</v>
      </c>
      <c r="C16" t="s">
        <v>1763</v>
      </c>
      <c r="D16" t="s">
        <v>1765</v>
      </c>
    </row>
    <row r="17" spans="2:4" x14ac:dyDescent="0.3">
      <c r="B17" s="3">
        <v>44354</v>
      </c>
      <c r="C17" t="s">
        <v>1858</v>
      </c>
      <c r="D17" t="s">
        <v>1859</v>
      </c>
    </row>
    <row r="18" spans="2:4" x14ac:dyDescent="0.3">
      <c r="B18" s="3">
        <v>44354</v>
      </c>
      <c r="C18" t="s">
        <v>1858</v>
      </c>
      <c r="D18" t="s">
        <v>1860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Help</vt:lpstr>
      <vt:lpstr>Frontend</vt:lpstr>
      <vt:lpstr>Summary</vt:lpstr>
      <vt:lpstr>Fcsts</vt:lpstr>
      <vt:lpstr>WACC &amp; EV</vt:lpstr>
      <vt:lpstr>DCF</vt:lpstr>
      <vt:lpstr>NAV</vt:lpstr>
      <vt:lpstr>Divisional Resi</vt:lpstr>
      <vt:lpstr>Ratios</vt:lpstr>
      <vt:lpstr>Charts</vt:lpstr>
      <vt:lpstr>Details</vt:lpstr>
      <vt:lpstr>Financials DF</vt:lpstr>
      <vt:lpstr>Financials DF (Live)</vt:lpstr>
      <vt:lpstr>DF_Upload</vt:lpstr>
      <vt:lpstr>Mnemonic Changes</vt:lpstr>
      <vt:lpstr>Log</vt:lpstr>
      <vt:lpstr>DCF_year</vt:lpstr>
      <vt:lpstr>DCF_year_ends</vt:lpstr>
      <vt:lpstr>IConnect_01</vt:lpstr>
      <vt:lpstr>IConnect_03</vt:lpstr>
      <vt:lpstr>int_term_period</vt:lpstr>
      <vt:lpstr>int_term_rate_finish</vt:lpstr>
      <vt:lpstr>int_term_rate_start</vt:lpstr>
      <vt:lpstr>tax_rate</vt:lpstr>
      <vt:lpstr>valuation_date</vt:lpstr>
      <vt:lpstr>WACC</vt:lpstr>
      <vt:lpstr>year_base</vt:lpstr>
      <vt:lpstr>year_end_day</vt:lpstr>
      <vt:lpstr>year_end_month</vt:lpstr>
      <vt:lpstr>year_last</vt:lpstr>
    </vt:vector>
  </TitlesOfParts>
  <Company>Merrill Lynch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DebenKar</dc:creator>
  <cp:lastModifiedBy>Rayhaan Joosub</cp:lastModifiedBy>
  <dcterms:created xsi:type="dcterms:W3CDTF">1999-12-15T09:32:32Z</dcterms:created>
  <dcterms:modified xsi:type="dcterms:W3CDTF">2023-08-22T17:17:32Z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SettingsXml">
    <vt:lpwstr>&lt;Settings&gt;&lt;ForceRecalculate Value="null" /&gt;&lt;Formatting Value="null" /&gt;&lt;/Settings&gt;</vt:lpwstr>
  </property>
  <property fmtid="{D5CDD505-2E9C-101B-9397-08002B2CF9AE}" pid="3" name="FxVersion">
    <vt:lpwstr>1</vt:lpwstr>
  </property>
</Properties>
</file>